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ic\Desktop\PRAÇA VILA\ORÇAMENTO\"/>
    </mc:Choice>
  </mc:AlternateContent>
  <workbookProtection workbookAlgorithmName="SHA-512" workbookHashValue="b6So+TQMiYklwRMtoaQ4/TyyeW3nStBr23bOSqqGOf1TiDj75P1ztZHGIpHHz7oOYOnWPhG0MrJ51+bc2L5u8g==" workbookSaltValue="OQQXM2uImFWTuzJ97HAYEA==" workbookSpinCount="100000" lockStructure="1"/>
  <bookViews>
    <workbookView xWindow="0" yWindow="0" windowWidth="28800" windowHeight="12315" tabRatio="920"/>
  </bookViews>
  <sheets>
    <sheet name="ORÇAMENTO" sheetId="4" r:id="rId1"/>
    <sheet name="QCI" sheetId="3" state="hidden" r:id="rId2"/>
    <sheet name="CRONOGRAMA" sheetId="35" state="hidden" r:id="rId3"/>
    <sheet name="TERRAPL." sheetId="21" state="hidden" r:id="rId4"/>
    <sheet name="DIM. DREN." sheetId="19" state="hidden" r:id="rId5"/>
    <sheet name="BACIAS" sheetId="20" state="hidden" r:id="rId6"/>
    <sheet name="DRENAGEM" sheetId="31" state="hidden" r:id="rId7"/>
    <sheet name="PAVIM." sheetId="7" state="hidden" r:id="rId8"/>
    <sheet name="SINALIZAÇÃO" sheetId="33" state="hidden" r:id="rId9"/>
    <sheet name="BDI" sheetId="8" state="hidden" r:id="rId10"/>
    <sheet name="COMP. SINAPI" sheetId="28" state="hidden" r:id="rId11"/>
    <sheet name="COMP. SICRO" sheetId="13" state="hidden" r:id="rId12"/>
    <sheet name="COTAÇÃO" sheetId="30" state="hidden" r:id="rId13"/>
    <sheet name="REAJUSTE" sheetId="34" state="hidden" r:id="rId14"/>
    <sheet name="MAT. BET." sheetId="14" state="hidden" r:id="rId15"/>
  </sheets>
  <externalReferences>
    <externalReference r:id="rId16"/>
    <externalReference r:id="rId17"/>
    <externalReference r:id="rId18"/>
  </externalReferences>
  <definedNames>
    <definedName name="_xlnm._FilterDatabase" localSheetId="3" hidden="1">TERRAPL.!#REF!</definedName>
    <definedName name="_Toc328556484" localSheetId="13">REAJUSTE!#REF!</definedName>
    <definedName name="_xlnm.Print_Area" localSheetId="9">BDI!$A$1:$J$50</definedName>
    <definedName name="_xlnm.Print_Area" localSheetId="11">'COMP. SICRO'!$A$1:$H$111</definedName>
    <definedName name="_xlnm.Print_Area" localSheetId="10">'COMP. SINAPI'!$A$1:$F$30</definedName>
    <definedName name="_xlnm.Print_Area" localSheetId="12">COTAÇÃO!$A$1:$F$180</definedName>
    <definedName name="_xlnm.Print_Area" localSheetId="2">CRONOGRAMA!$A$1:$Y$58</definedName>
    <definedName name="_xlnm.Print_Area" localSheetId="4">'DIM. DREN.'!$A$2:$K$67</definedName>
    <definedName name="_xlnm.Print_Area" localSheetId="6">DRENAGEM!$A$1:$AF$33</definedName>
    <definedName name="_xlnm.Print_Area" localSheetId="14">'MAT. BET.'!$A$1:$E$35</definedName>
    <definedName name="_xlnm.Print_Area" localSheetId="0">ORÇAMENTO!$A$2:$L$246</definedName>
    <definedName name="_xlnm.Print_Area" localSheetId="7">PAVIM.!$A$1:$M$68</definedName>
    <definedName name="_xlnm.Print_Area" localSheetId="13">REAJUSTE!$A$1:$E$65</definedName>
    <definedName name="_xlnm.Print_Area" localSheetId="8">SINALIZAÇÃO!$A$1:$M$36</definedName>
    <definedName name="_xlnm.Print_Area" localSheetId="3">TERRAPL.!$A$1:$J$39</definedName>
    <definedName name="matriz">[1]BDI!$Q$17:$V$21</definedName>
    <definedName name="matriz2">[1]BDI!$Q$23:$V$27</definedName>
    <definedName name="ORÇAMENTO.BancoRef" hidden="1">ORÇAMENTO!$F$8</definedName>
    <definedName name="REFERENCIA.Descricao" hidden="1">IF(ISNUMBER(ORÇAMENTO!$AF1),OFFSET(INDIRECT(ORÇAMENTO.BancoRef),ORÇAMENTO!$AF1-1,3,1),ORÇAMENTO!$AF1)</definedName>
    <definedName name="TESTE">[2]BDI!XEV:XEV*[2]BDI!XEW:XEW</definedName>
    <definedName name="_xlnm.Print_Titles" localSheetId="10">'COMP. SINAPI'!$1:$4</definedName>
    <definedName name="_xlnm.Print_Titles" localSheetId="12">COTAÇÃO!$1:$1</definedName>
    <definedName name="_xlnm.Print_Titles" localSheetId="4">'DIM. DREN.'!$2:$7</definedName>
    <definedName name="_xlnm.Print_Titles" localSheetId="6">DRENAGEM!$1:$5</definedName>
    <definedName name="_xlnm.Print_Titles" localSheetId="7">PAVIM.!$1:$3</definedName>
    <definedName name="_xlnm.Print_Titles" localSheetId="3">TERRAPL.!$1:$4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45" i="4" l="1"/>
  <c r="I203" i="4"/>
  <c r="J203" i="4" s="1"/>
  <c r="I218" i="4"/>
  <c r="J218" i="4" s="1"/>
  <c r="I231" i="4"/>
  <c r="J231" i="4"/>
  <c r="I225" i="4"/>
  <c r="J225" i="4" s="1"/>
  <c r="I238" i="4"/>
  <c r="J238" i="4" s="1"/>
  <c r="I239" i="4"/>
  <c r="J239" i="4" s="1"/>
  <c r="I240" i="4"/>
  <c r="J240" i="4" s="1"/>
  <c r="I241" i="4"/>
  <c r="J241" i="4"/>
  <c r="J237" i="4"/>
  <c r="I237" i="4"/>
  <c r="I191" i="4" l="1"/>
  <c r="J191" i="4"/>
  <c r="I189" i="4"/>
  <c r="J189" i="4" s="1"/>
  <c r="I185" i="4"/>
  <c r="J185" i="4" s="1"/>
  <c r="I140" i="4"/>
  <c r="J140" i="4" s="1"/>
  <c r="J152" i="4"/>
  <c r="I152" i="4"/>
  <c r="J166" i="4"/>
  <c r="J167" i="4"/>
  <c r="I166" i="4"/>
  <c r="I167" i="4"/>
  <c r="J14" i="4" l="1"/>
  <c r="I23" i="4"/>
  <c r="J23" i="4" s="1"/>
  <c r="I24" i="4"/>
  <c r="J24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31" i="4"/>
  <c r="J31" i="4" s="1"/>
  <c r="I32" i="4"/>
  <c r="J32" i="4" s="1"/>
  <c r="I33" i="4"/>
  <c r="J33" i="4" s="1"/>
  <c r="I35" i="4"/>
  <c r="J35" i="4" s="1"/>
  <c r="I36" i="4"/>
  <c r="J36" i="4" s="1"/>
  <c r="I37" i="4"/>
  <c r="J37" i="4" s="1"/>
  <c r="I38" i="4"/>
  <c r="J38" i="4" s="1"/>
  <c r="I39" i="4"/>
  <c r="J39" i="4" s="1"/>
  <c r="I41" i="4"/>
  <c r="J41" i="4" s="1"/>
  <c r="I42" i="4"/>
  <c r="J42" i="4" s="1"/>
  <c r="I43" i="4"/>
  <c r="J43" i="4" s="1"/>
  <c r="I44" i="4"/>
  <c r="J44" i="4" s="1"/>
  <c r="I46" i="4"/>
  <c r="J46" i="4" s="1"/>
  <c r="I47" i="4"/>
  <c r="J47" i="4" s="1"/>
  <c r="I48" i="4"/>
  <c r="J48" i="4" s="1"/>
  <c r="I49" i="4"/>
  <c r="J49" i="4" s="1"/>
  <c r="I51" i="4"/>
  <c r="J51" i="4" s="1"/>
  <c r="I52" i="4"/>
  <c r="J52" i="4" s="1"/>
  <c r="I53" i="4"/>
  <c r="J53" i="4" s="1"/>
  <c r="I55" i="4"/>
  <c r="J55" i="4" s="1"/>
  <c r="I56" i="4"/>
  <c r="J56" i="4" s="1"/>
  <c r="I57" i="4"/>
  <c r="J57" i="4" s="1"/>
  <c r="I58" i="4"/>
  <c r="J58" i="4" s="1"/>
  <c r="I59" i="4"/>
  <c r="J59" i="4" s="1"/>
  <c r="I60" i="4"/>
  <c r="J60" i="4" s="1"/>
  <c r="I62" i="4"/>
  <c r="J62" i="4" s="1"/>
  <c r="I63" i="4"/>
  <c r="J63" i="4" s="1"/>
  <c r="I64" i="4"/>
  <c r="J64" i="4" s="1"/>
  <c r="I65" i="4"/>
  <c r="J65" i="4" s="1"/>
  <c r="I66" i="4"/>
  <c r="J66" i="4" s="1"/>
  <c r="I67" i="4"/>
  <c r="J67" i="4" s="1"/>
  <c r="I68" i="4"/>
  <c r="J68" i="4" s="1"/>
  <c r="I71" i="4"/>
  <c r="J71" i="4" s="1"/>
  <c r="I73" i="4"/>
  <c r="J73" i="4" s="1"/>
  <c r="I74" i="4"/>
  <c r="J74" i="4" s="1"/>
  <c r="I75" i="4"/>
  <c r="J75" i="4" s="1"/>
  <c r="I76" i="4"/>
  <c r="J76" i="4" s="1"/>
  <c r="I77" i="4"/>
  <c r="J77" i="4" s="1"/>
  <c r="I78" i="4"/>
  <c r="J78" i="4" s="1"/>
  <c r="I79" i="4"/>
  <c r="J79" i="4" s="1"/>
  <c r="I80" i="4"/>
  <c r="J80" i="4" s="1"/>
  <c r="I81" i="4"/>
  <c r="J81" i="4" s="1"/>
  <c r="I83" i="4"/>
  <c r="J83" i="4" s="1"/>
  <c r="I84" i="4"/>
  <c r="J84" i="4" s="1"/>
  <c r="I85" i="4"/>
  <c r="J85" i="4" s="1"/>
  <c r="I86" i="4"/>
  <c r="J86" i="4" s="1"/>
  <c r="I87" i="4"/>
  <c r="J87" i="4" s="1"/>
  <c r="I89" i="4"/>
  <c r="J89" i="4" s="1"/>
  <c r="I90" i="4"/>
  <c r="J90" i="4" s="1"/>
  <c r="I91" i="4"/>
  <c r="J91" i="4" s="1"/>
  <c r="I92" i="4"/>
  <c r="J92" i="4" s="1"/>
  <c r="I93" i="4"/>
  <c r="J93" i="4" s="1"/>
  <c r="I94" i="4"/>
  <c r="J94" i="4" s="1"/>
  <c r="I95" i="4"/>
  <c r="J95" i="4" s="1"/>
  <c r="I97" i="4"/>
  <c r="J97" i="4" s="1"/>
  <c r="I98" i="4"/>
  <c r="J98" i="4" s="1"/>
  <c r="I99" i="4"/>
  <c r="J99" i="4" s="1"/>
  <c r="I100" i="4"/>
  <c r="J100" i="4" s="1"/>
  <c r="I102" i="4"/>
  <c r="J102" i="4" s="1"/>
  <c r="I103" i="4"/>
  <c r="J103" i="4" s="1"/>
  <c r="I105" i="4"/>
  <c r="J105" i="4" s="1"/>
  <c r="I106" i="4"/>
  <c r="J106" i="4" s="1"/>
  <c r="I107" i="4"/>
  <c r="J107" i="4" s="1"/>
  <c r="I108" i="4"/>
  <c r="J108" i="4" s="1"/>
  <c r="I109" i="4"/>
  <c r="J109" i="4" s="1"/>
  <c r="I110" i="4"/>
  <c r="J110" i="4" s="1"/>
  <c r="I112" i="4"/>
  <c r="J112" i="4" s="1"/>
  <c r="I113" i="4"/>
  <c r="J113" i="4" s="1"/>
  <c r="I114" i="4"/>
  <c r="J114" i="4" s="1"/>
  <c r="I116" i="4"/>
  <c r="J116" i="4" s="1"/>
  <c r="I117" i="4"/>
  <c r="J117" i="4" s="1"/>
  <c r="I118" i="4"/>
  <c r="J118" i="4" s="1"/>
  <c r="I119" i="4"/>
  <c r="J119" i="4" s="1"/>
  <c r="I120" i="4"/>
  <c r="J120" i="4" s="1"/>
  <c r="I121" i="4"/>
  <c r="J121" i="4" s="1"/>
  <c r="I122" i="4"/>
  <c r="J122" i="4" s="1"/>
  <c r="I123" i="4"/>
  <c r="J123" i="4" s="1"/>
  <c r="I124" i="4"/>
  <c r="J124" i="4" s="1"/>
  <c r="I125" i="4"/>
  <c r="J125" i="4" s="1"/>
  <c r="I126" i="4"/>
  <c r="J126" i="4" s="1"/>
  <c r="I127" i="4"/>
  <c r="J127" i="4" s="1"/>
  <c r="I128" i="4"/>
  <c r="J128" i="4" s="1"/>
  <c r="I129" i="4"/>
  <c r="J129" i="4" s="1"/>
  <c r="I130" i="4"/>
  <c r="J130" i="4" s="1"/>
  <c r="I131" i="4"/>
  <c r="J131" i="4" s="1"/>
  <c r="I133" i="4"/>
  <c r="J133" i="4" s="1"/>
  <c r="I134" i="4"/>
  <c r="J134" i="4" s="1"/>
  <c r="I135" i="4"/>
  <c r="J135" i="4" s="1"/>
  <c r="I136" i="4"/>
  <c r="J136" i="4" s="1"/>
  <c r="I137" i="4"/>
  <c r="J137" i="4" s="1"/>
  <c r="I138" i="4"/>
  <c r="J138" i="4" s="1"/>
  <c r="I139" i="4"/>
  <c r="J139" i="4" s="1"/>
  <c r="I141" i="4"/>
  <c r="J141" i="4" s="1"/>
  <c r="I142" i="4"/>
  <c r="J142" i="4" s="1"/>
  <c r="I143" i="4"/>
  <c r="J143" i="4" s="1"/>
  <c r="I145" i="4"/>
  <c r="J145" i="4" s="1"/>
  <c r="I146" i="4"/>
  <c r="J146" i="4" s="1"/>
  <c r="I147" i="4"/>
  <c r="J147" i="4" s="1"/>
  <c r="I149" i="4"/>
  <c r="J149" i="4" s="1"/>
  <c r="I150" i="4"/>
  <c r="J150" i="4" s="1"/>
  <c r="I151" i="4"/>
  <c r="J151" i="4" s="1"/>
  <c r="I153" i="4"/>
  <c r="J153" i="4" s="1"/>
  <c r="I154" i="4"/>
  <c r="J154" i="4" s="1"/>
  <c r="I155" i="4"/>
  <c r="J155" i="4" s="1"/>
  <c r="I156" i="4"/>
  <c r="J156" i="4" s="1"/>
  <c r="I158" i="4"/>
  <c r="J158" i="4" s="1"/>
  <c r="I159" i="4"/>
  <c r="J159" i="4" s="1"/>
  <c r="I160" i="4"/>
  <c r="J160" i="4" s="1"/>
  <c r="I161" i="4"/>
  <c r="J161" i="4" s="1"/>
  <c r="I163" i="4"/>
  <c r="J163" i="4" s="1"/>
  <c r="I164" i="4"/>
  <c r="J164" i="4" s="1"/>
  <c r="I165" i="4"/>
  <c r="J165" i="4" s="1"/>
  <c r="I168" i="4"/>
  <c r="J168" i="4" s="1"/>
  <c r="I169" i="4"/>
  <c r="J169" i="4" s="1"/>
  <c r="I170" i="4"/>
  <c r="J170" i="4" s="1"/>
  <c r="I173" i="4"/>
  <c r="J173" i="4" s="1"/>
  <c r="I174" i="4"/>
  <c r="J174" i="4" s="1"/>
  <c r="I175" i="4"/>
  <c r="J175" i="4" s="1"/>
  <c r="I176" i="4"/>
  <c r="J176" i="4" s="1"/>
  <c r="I178" i="4"/>
  <c r="J178" i="4" s="1"/>
  <c r="I179" i="4"/>
  <c r="J179" i="4" s="1"/>
  <c r="I180" i="4"/>
  <c r="J180" i="4" s="1"/>
  <c r="I181" i="4"/>
  <c r="J181" i="4" s="1"/>
  <c r="I182" i="4"/>
  <c r="J182" i="4" s="1"/>
  <c r="I183" i="4"/>
  <c r="J183" i="4" s="1"/>
  <c r="I184" i="4"/>
  <c r="J184" i="4" s="1"/>
  <c r="I186" i="4"/>
  <c r="J186" i="4" s="1"/>
  <c r="I187" i="4"/>
  <c r="J187" i="4" s="1"/>
  <c r="I188" i="4"/>
  <c r="J188" i="4" s="1"/>
  <c r="I192" i="4"/>
  <c r="J192" i="4" s="1"/>
  <c r="I193" i="4"/>
  <c r="J193" i="4" s="1"/>
  <c r="I195" i="4"/>
  <c r="J195" i="4" s="1"/>
  <c r="I197" i="4"/>
  <c r="J197" i="4" s="1"/>
  <c r="I198" i="4"/>
  <c r="J198" i="4" s="1"/>
  <c r="I199" i="4"/>
  <c r="J199" i="4" s="1"/>
  <c r="I200" i="4"/>
  <c r="J200" i="4" s="1"/>
  <c r="I201" i="4"/>
  <c r="J201" i="4" s="1"/>
  <c r="I202" i="4"/>
  <c r="J202" i="4" s="1"/>
  <c r="I204" i="4"/>
  <c r="J204" i="4" s="1"/>
  <c r="I205" i="4"/>
  <c r="J205" i="4" s="1"/>
  <c r="I206" i="4"/>
  <c r="J206" i="4" s="1"/>
  <c r="I207" i="4"/>
  <c r="J207" i="4" s="1"/>
  <c r="I209" i="4"/>
  <c r="J209" i="4" s="1"/>
  <c r="I210" i="4"/>
  <c r="J210" i="4" s="1"/>
  <c r="I211" i="4"/>
  <c r="J211" i="4" s="1"/>
  <c r="I212" i="4"/>
  <c r="J212" i="4" s="1"/>
  <c r="I213" i="4"/>
  <c r="J213" i="4" s="1"/>
  <c r="I214" i="4"/>
  <c r="J214" i="4" s="1"/>
  <c r="I215" i="4"/>
  <c r="J215" i="4" s="1"/>
  <c r="I216" i="4"/>
  <c r="J216" i="4" s="1"/>
  <c r="I217" i="4"/>
  <c r="J217" i="4" s="1"/>
  <c r="I219" i="4"/>
  <c r="J219" i="4" s="1"/>
  <c r="I220" i="4"/>
  <c r="J220" i="4" s="1"/>
  <c r="I221" i="4"/>
  <c r="J221" i="4" s="1"/>
  <c r="I222" i="4"/>
  <c r="J222" i="4" s="1"/>
  <c r="I224" i="4"/>
  <c r="J224" i="4" s="1"/>
  <c r="I226" i="4"/>
  <c r="J226" i="4" s="1"/>
  <c r="I227" i="4"/>
  <c r="J227" i="4" s="1"/>
  <c r="I228" i="4"/>
  <c r="J228" i="4" s="1"/>
  <c r="I229" i="4"/>
  <c r="J229" i="4" s="1"/>
  <c r="I232" i="4"/>
  <c r="J232" i="4" s="1"/>
  <c r="I233" i="4"/>
  <c r="J233" i="4" s="1"/>
  <c r="I234" i="4"/>
  <c r="J234" i="4" s="1"/>
  <c r="I235" i="4"/>
  <c r="J235" i="4" s="1"/>
  <c r="I13" i="4"/>
  <c r="J13" i="4" s="1"/>
  <c r="I14" i="4"/>
  <c r="I15" i="4"/>
  <c r="J15" i="4" s="1"/>
  <c r="I16" i="4"/>
  <c r="J16" i="4" s="1"/>
  <c r="I17" i="4"/>
  <c r="J17" i="4" s="1"/>
  <c r="I18" i="4"/>
  <c r="J18" i="4" s="1"/>
  <c r="I19" i="4"/>
  <c r="J19" i="4" s="1"/>
  <c r="I20" i="4"/>
  <c r="J20" i="4" s="1"/>
  <c r="I21" i="4"/>
  <c r="J21" i="4" s="1"/>
  <c r="E16" i="13" l="1"/>
  <c r="G29" i="33"/>
  <c r="M45" i="7"/>
  <c r="E22" i="28"/>
  <c r="E15" i="28"/>
  <c r="E14" i="28"/>
  <c r="E2" i="28"/>
  <c r="C3" i="28"/>
  <c r="C2" i="28"/>
  <c r="F130" i="30"/>
  <c r="F120" i="30"/>
  <c r="F109" i="30"/>
  <c r="F98" i="30"/>
  <c r="F87" i="30"/>
  <c r="F76" i="30"/>
  <c r="F65" i="30"/>
  <c r="M36" i="33" l="1"/>
  <c r="M13" i="33" l="1"/>
  <c r="M36" i="7"/>
  <c r="M26" i="7"/>
  <c r="G22" i="31"/>
  <c r="G20" i="31"/>
  <c r="G19" i="31"/>
  <c r="J28" i="31"/>
  <c r="AF15" i="31"/>
  <c r="AF8" i="31"/>
  <c r="AF10" i="31"/>
  <c r="AA10" i="31"/>
  <c r="AA15" i="31" s="1"/>
  <c r="Z10" i="31"/>
  <c r="Z15" i="31" s="1"/>
  <c r="W10" i="31"/>
  <c r="R10" i="31"/>
  <c r="U10" i="31" s="1"/>
  <c r="AB10" i="31" s="1"/>
  <c r="Q10" i="31"/>
  <c r="J10" i="31"/>
  <c r="L10" i="31" s="1"/>
  <c r="N10" i="31" s="1"/>
  <c r="AA8" i="31"/>
  <c r="Z8" i="31"/>
  <c r="W8" i="31"/>
  <c r="R8" i="31"/>
  <c r="U8" i="31" s="1"/>
  <c r="AB8" i="31" s="1"/>
  <c r="Q8" i="31"/>
  <c r="J8" i="31"/>
  <c r="L8" i="31" s="1"/>
  <c r="N8" i="31" s="1"/>
  <c r="AF6" i="31"/>
  <c r="AE15" i="31" l="1"/>
  <c r="AE8" i="31"/>
  <c r="J32" i="31"/>
  <c r="M14" i="33"/>
  <c r="AD15" i="31"/>
  <c r="S10" i="31"/>
  <c r="J31" i="31"/>
  <c r="S8" i="31"/>
  <c r="AE10" i="31"/>
  <c r="AD10" i="31"/>
  <c r="AD8" i="31"/>
  <c r="B3" i="21" l="1"/>
  <c r="I34" i="21" l="1"/>
  <c r="F34" i="21"/>
  <c r="D34" i="21"/>
  <c r="I33" i="21"/>
  <c r="F33" i="21"/>
  <c r="D33" i="21"/>
  <c r="I32" i="21"/>
  <c r="F32" i="21"/>
  <c r="D32" i="21"/>
  <c r="I31" i="21"/>
  <c r="F31" i="21"/>
  <c r="D31" i="21"/>
  <c r="I30" i="21"/>
  <c r="F30" i="21"/>
  <c r="D30" i="21"/>
  <c r="I29" i="21"/>
  <c r="F29" i="21"/>
  <c r="D29" i="21"/>
  <c r="I28" i="21"/>
  <c r="F28" i="21"/>
  <c r="D28" i="21"/>
  <c r="I27" i="21"/>
  <c r="F27" i="21"/>
  <c r="D27" i="21"/>
  <c r="I26" i="21"/>
  <c r="F26" i="21"/>
  <c r="D26" i="21"/>
  <c r="I25" i="21"/>
  <c r="F25" i="21"/>
  <c r="D25" i="21"/>
  <c r="I24" i="21"/>
  <c r="F24" i="21"/>
  <c r="D24" i="21"/>
  <c r="I23" i="21"/>
  <c r="F23" i="21"/>
  <c r="D23" i="21"/>
  <c r="I22" i="21"/>
  <c r="F22" i="21"/>
  <c r="D22" i="21"/>
  <c r="I21" i="21"/>
  <c r="F21" i="21"/>
  <c r="D21" i="21"/>
  <c r="I20" i="21"/>
  <c r="F20" i="21"/>
  <c r="D20" i="21"/>
  <c r="I19" i="21"/>
  <c r="F19" i="21"/>
  <c r="D19" i="21"/>
  <c r="I18" i="21"/>
  <c r="F18" i="21"/>
  <c r="D18" i="21"/>
  <c r="I17" i="21"/>
  <c r="F17" i="21"/>
  <c r="D17" i="21"/>
  <c r="I16" i="21"/>
  <c r="F16" i="21"/>
  <c r="D16" i="21"/>
  <c r="I15" i="21"/>
  <c r="F15" i="21"/>
  <c r="D15" i="21"/>
  <c r="I14" i="21"/>
  <c r="F14" i="21"/>
  <c r="D14" i="21"/>
  <c r="I13" i="21"/>
  <c r="F13" i="21"/>
  <c r="D13" i="21"/>
  <c r="I12" i="21"/>
  <c r="F12" i="21"/>
  <c r="D12" i="21"/>
  <c r="I11" i="21"/>
  <c r="F11" i="21"/>
  <c r="D11" i="21"/>
  <c r="I10" i="21"/>
  <c r="F10" i="21"/>
  <c r="D10" i="21"/>
  <c r="I9" i="21"/>
  <c r="J9" i="21" s="1"/>
  <c r="F9" i="21"/>
  <c r="D9" i="21"/>
  <c r="I8" i="21"/>
  <c r="F8" i="21"/>
  <c r="D8" i="21"/>
  <c r="I7" i="21"/>
  <c r="F7" i="21"/>
  <c r="D7" i="21"/>
  <c r="I6" i="21"/>
  <c r="F6" i="21"/>
  <c r="D6" i="21"/>
  <c r="G31" i="21" l="1"/>
  <c r="J6" i="21"/>
  <c r="J8" i="21"/>
  <c r="J10" i="21"/>
  <c r="J12" i="21"/>
  <c r="J14" i="21"/>
  <c r="J22" i="21"/>
  <c r="J24" i="21"/>
  <c r="J26" i="21"/>
  <c r="G10" i="21"/>
  <c r="G13" i="21"/>
  <c r="G14" i="21"/>
  <c r="J15" i="21"/>
  <c r="G18" i="21"/>
  <c r="G22" i="21"/>
  <c r="G26" i="21"/>
  <c r="J27" i="21"/>
  <c r="J31" i="21"/>
  <c r="G25" i="21"/>
  <c r="G34" i="21"/>
  <c r="G20" i="21"/>
  <c r="J21" i="21"/>
  <c r="J25" i="21"/>
  <c r="J28" i="21"/>
  <c r="J30" i="21"/>
  <c r="G6" i="21"/>
  <c r="G15" i="21"/>
  <c r="G30" i="21"/>
  <c r="G24" i="21"/>
  <c r="G7" i="21"/>
  <c r="J11" i="21"/>
  <c r="G12" i="21"/>
  <c r="J13" i="21"/>
  <c r="J16" i="21"/>
  <c r="G17" i="21"/>
  <c r="J19" i="21"/>
  <c r="G23" i="21"/>
  <c r="G28" i="21"/>
  <c r="J29" i="21"/>
  <c r="J32" i="21"/>
  <c r="G33" i="21"/>
  <c r="G8" i="21"/>
  <c r="G19" i="21"/>
  <c r="G29" i="21"/>
  <c r="J7" i="21"/>
  <c r="G9" i="21"/>
  <c r="G11" i="21"/>
  <c r="G16" i="21"/>
  <c r="J17" i="21"/>
  <c r="J18" i="21"/>
  <c r="J20" i="21"/>
  <c r="G21" i="21"/>
  <c r="J23" i="21"/>
  <c r="G27" i="21"/>
  <c r="G32" i="21"/>
  <c r="J33" i="21"/>
  <c r="J34" i="21"/>
  <c r="G35" i="21" l="1"/>
  <c r="I37" i="21" s="1"/>
  <c r="J35" i="21"/>
  <c r="I38" i="21" s="1"/>
  <c r="I39" i="21" l="1"/>
  <c r="AA6" i="31"/>
  <c r="Z6" i="31"/>
  <c r="W6" i="31"/>
  <c r="J6" i="31"/>
  <c r="AE6" i="31" l="1"/>
  <c r="J30" i="31" s="1"/>
  <c r="AD6" i="31"/>
  <c r="J29" i="31" s="1"/>
  <c r="L6" i="31"/>
  <c r="N6" i="31" s="1"/>
  <c r="Q6" i="31"/>
  <c r="R6" i="31"/>
  <c r="U6" i="31" s="1"/>
  <c r="AB6" i="31" s="1"/>
  <c r="S6" i="31" l="1"/>
  <c r="M47" i="7" l="1"/>
  <c r="B3" i="30" l="1"/>
  <c r="K8" i="35"/>
  <c r="K9" i="35"/>
  <c r="K10" i="35"/>
  <c r="K11" i="35"/>
  <c r="I8" i="35"/>
  <c r="I9" i="35"/>
  <c r="I10" i="35"/>
  <c r="I11" i="35"/>
  <c r="K7" i="35"/>
  <c r="I7" i="35"/>
  <c r="D10" i="34" l="1"/>
  <c r="F29" i="28"/>
  <c r="F28" i="28"/>
  <c r="F26" i="28"/>
  <c r="F25" i="28"/>
  <c r="F24" i="28"/>
  <c r="F23" i="28"/>
  <c r="F22" i="28"/>
  <c r="F21" i="28"/>
  <c r="F20" i="28"/>
  <c r="F15" i="28"/>
  <c r="F14" i="28"/>
  <c r="F13" i="28"/>
  <c r="F12" i="28"/>
  <c r="F11" i="28"/>
  <c r="F10" i="28"/>
  <c r="F9" i="28"/>
  <c r="C3" i="14"/>
  <c r="B3" i="14"/>
  <c r="D2" i="14"/>
  <c r="C2" i="14"/>
  <c r="B2" i="14"/>
  <c r="D33" i="34" l="1"/>
  <c r="E33" i="34" s="1"/>
  <c r="D32" i="34"/>
  <c r="E32" i="34" s="1"/>
  <c r="D31" i="34"/>
  <c r="E31" i="34" s="1"/>
  <c r="D30" i="34"/>
  <c r="E30" i="34" s="1"/>
  <c r="D29" i="34"/>
  <c r="E29" i="34" s="1"/>
  <c r="D28" i="34"/>
  <c r="E28" i="34" s="1"/>
  <c r="D27" i="34"/>
  <c r="E27" i="34" s="1"/>
  <c r="D26" i="34"/>
  <c r="E26" i="34" s="1"/>
  <c r="D25" i="34"/>
  <c r="E25" i="34" s="1"/>
  <c r="D24" i="34"/>
  <c r="E24" i="34" s="1"/>
  <c r="D23" i="34"/>
  <c r="E23" i="34" s="1"/>
  <c r="D22" i="34"/>
  <c r="E22" i="34" s="1"/>
  <c r="D21" i="34"/>
  <c r="E21" i="34" s="1"/>
  <c r="D20" i="34"/>
  <c r="E20" i="34" s="1"/>
  <c r="D19" i="34"/>
  <c r="E19" i="34" s="1"/>
  <c r="D18" i="34"/>
  <c r="E18" i="34" s="1"/>
  <c r="D17" i="34"/>
  <c r="E17" i="34" s="1"/>
  <c r="D16" i="34"/>
  <c r="E16" i="34" s="1"/>
  <c r="D15" i="34"/>
  <c r="E15" i="34" s="1"/>
  <c r="D14" i="34"/>
  <c r="E14" i="34" s="1"/>
  <c r="D13" i="34"/>
  <c r="E13" i="34" s="1"/>
  <c r="D12" i="34"/>
  <c r="E12" i="34" s="1"/>
  <c r="D11" i="34"/>
  <c r="E11" i="34" s="1"/>
  <c r="E10" i="34"/>
  <c r="D9" i="34"/>
  <c r="E9" i="34" s="1"/>
  <c r="D8" i="34"/>
  <c r="E8" i="34" s="1"/>
  <c r="D7" i="34"/>
  <c r="E7" i="34" s="1"/>
  <c r="D6" i="34"/>
  <c r="E6" i="34" s="1"/>
  <c r="J42" i="7" l="1"/>
  <c r="I42" i="7"/>
  <c r="M42" i="7" s="1"/>
  <c r="G42" i="7"/>
  <c r="F42" i="7"/>
  <c r="E42" i="7"/>
  <c r="C42" i="7"/>
  <c r="B42" i="7"/>
  <c r="M32" i="7"/>
  <c r="F22" i="8" l="1"/>
  <c r="F2" i="30" l="1"/>
  <c r="F175" i="30" l="1"/>
  <c r="F158" i="30"/>
  <c r="F150" i="30"/>
  <c r="F149" i="30"/>
  <c r="F148" i="30"/>
  <c r="F144" i="30"/>
  <c r="F137" i="30"/>
  <c r="F55" i="30"/>
  <c r="F46" i="30"/>
  <c r="F39" i="30"/>
  <c r="F30" i="30"/>
  <c r="F21" i="30"/>
  <c r="F12" i="30"/>
  <c r="F7" i="28" l="1"/>
  <c r="F8" i="28"/>
  <c r="F27" i="28"/>
  <c r="F30" i="28" s="1"/>
  <c r="F151" i="30"/>
  <c r="F16" i="28" l="1"/>
  <c r="M25" i="33"/>
  <c r="G7" i="7" l="1"/>
  <c r="D3" i="33" l="1"/>
  <c r="M30" i="33" l="1"/>
  <c r="G7" i="33"/>
  <c r="G35" i="33" s="1"/>
  <c r="F7" i="33"/>
  <c r="F35" i="33" s="1"/>
  <c r="E7" i="33"/>
  <c r="E35" i="33" s="1"/>
  <c r="D7" i="33"/>
  <c r="D35" i="33" s="1"/>
  <c r="C7" i="33"/>
  <c r="C35" i="33" s="1"/>
  <c r="B7" i="33"/>
  <c r="B35" i="33" s="1"/>
  <c r="A7" i="33"/>
  <c r="A35" i="33" s="1"/>
  <c r="H12" i="7"/>
  <c r="H17" i="7" s="1"/>
  <c r="H22" i="7" s="1"/>
  <c r="J27" i="31"/>
  <c r="E8" i="8" l="1"/>
  <c r="D8" i="8"/>
  <c r="E6" i="8"/>
  <c r="D6" i="8"/>
  <c r="J3" i="4"/>
  <c r="H3" i="4"/>
  <c r="B3" i="4"/>
  <c r="N2" i="35"/>
  <c r="R2" i="35"/>
  <c r="V2" i="35"/>
  <c r="B3" i="35"/>
  <c r="B2" i="35"/>
  <c r="A18" i="35"/>
  <c r="A17" i="35"/>
  <c r="A16" i="35"/>
  <c r="A15" i="35"/>
  <c r="A14" i="35"/>
  <c r="A13" i="35"/>
  <c r="A12" i="35"/>
  <c r="G11" i="35" l="1"/>
  <c r="E11" i="35"/>
  <c r="C11" i="35"/>
  <c r="G10" i="35"/>
  <c r="E10" i="35"/>
  <c r="C10" i="35"/>
  <c r="G9" i="35"/>
  <c r="E9" i="35"/>
  <c r="C9" i="35"/>
  <c r="G8" i="35"/>
  <c r="E8" i="35"/>
  <c r="C8" i="35"/>
  <c r="G7" i="35"/>
  <c r="E7" i="35"/>
  <c r="C7" i="35"/>
  <c r="B3" i="3"/>
  <c r="H2" i="3"/>
  <c r="F2" i="3"/>
  <c r="D2" i="3"/>
  <c r="B2" i="3"/>
  <c r="E2" i="34"/>
  <c r="B3" i="34"/>
  <c r="C3" i="34"/>
  <c r="C2" i="34"/>
  <c r="B2" i="34"/>
  <c r="D3" i="30"/>
  <c r="D2" i="30"/>
  <c r="B2" i="30"/>
  <c r="B3" i="28"/>
  <c r="B2" i="28"/>
  <c r="L2" i="33"/>
  <c r="M2" i="33"/>
  <c r="I2" i="33"/>
  <c r="D2" i="33"/>
  <c r="S2" i="31"/>
  <c r="J2" i="21"/>
  <c r="H2" i="21"/>
  <c r="F2" i="21"/>
  <c r="B2" i="21"/>
  <c r="M3" i="7"/>
  <c r="O2" i="31"/>
  <c r="G2" i="31"/>
  <c r="G3" i="31"/>
  <c r="H15" i="31" s="1"/>
  <c r="H19" i="31" s="1"/>
  <c r="H20" i="31" s="1"/>
  <c r="H21" i="31" s="1"/>
  <c r="H22" i="31" s="1"/>
  <c r="D3" i="14" l="1"/>
  <c r="F3" i="30"/>
  <c r="H6" i="8"/>
  <c r="J4" i="4"/>
  <c r="J3" i="21"/>
  <c r="V3" i="35"/>
  <c r="H3" i="3"/>
  <c r="E3" i="34"/>
  <c r="F2" i="28"/>
  <c r="M3" i="33"/>
  <c r="AB2" i="31"/>
  <c r="E8" i="33" l="1"/>
  <c r="F8" i="33"/>
  <c r="G8" i="33"/>
  <c r="D8" i="33"/>
  <c r="G13" i="33" l="1"/>
  <c r="G30" i="33"/>
  <c r="I8" i="33"/>
  <c r="M8" i="33" s="1"/>
  <c r="M29" i="33" l="1"/>
  <c r="B8" i="33"/>
  <c r="M31" i="33" l="1"/>
  <c r="A8" i="33"/>
  <c r="C8" i="33"/>
  <c r="I7" i="33"/>
  <c r="M7" i="33" s="1"/>
  <c r="G12" i="7" l="1"/>
  <c r="G18" i="33" s="1"/>
  <c r="G23" i="33" s="1"/>
  <c r="G24" i="33" s="1"/>
  <c r="F12" i="7"/>
  <c r="F18" i="33" s="1"/>
  <c r="E12" i="7"/>
  <c r="E18" i="33" s="1"/>
  <c r="D12" i="7"/>
  <c r="C12" i="7"/>
  <c r="C18" i="33" s="1"/>
  <c r="B12" i="7"/>
  <c r="B18" i="33" s="1"/>
  <c r="M9" i="33" l="1"/>
  <c r="D18" i="33"/>
  <c r="I18" i="33" s="1"/>
  <c r="M18" i="33" s="1"/>
  <c r="M19" i="33" l="1"/>
  <c r="F30" i="8" l="1"/>
  <c r="H29" i="13"/>
  <c r="H28" i="13"/>
  <c r="H23" i="13"/>
  <c r="G19" i="13"/>
  <c r="G18" i="13"/>
  <c r="G9" i="13"/>
  <c r="G102" i="13"/>
  <c r="H36" i="13"/>
  <c r="H31" i="13"/>
  <c r="H30" i="13"/>
  <c r="G10" i="13"/>
  <c r="H6" i="13"/>
  <c r="I12" i="4" l="1"/>
  <c r="J12" i="4" s="1"/>
  <c r="G11" i="13"/>
  <c r="I10" i="4"/>
  <c r="H32" i="13"/>
  <c r="H7" i="13"/>
  <c r="G12" i="13" l="1"/>
  <c r="H13" i="13" s="1"/>
  <c r="J31" i="7"/>
  <c r="J41" i="7" s="1"/>
  <c r="H31" i="7"/>
  <c r="G17" i="7"/>
  <c r="G22" i="7" s="1"/>
  <c r="G31" i="7" s="1"/>
  <c r="G41" i="7" s="1"/>
  <c r="F17" i="7"/>
  <c r="F22" i="7" s="1"/>
  <c r="F31" i="7" s="1"/>
  <c r="F41" i="7" s="1"/>
  <c r="D17" i="7"/>
  <c r="D22" i="7" l="1"/>
  <c r="D31" i="7" s="1"/>
  <c r="D41" i="7" s="1"/>
  <c r="F11" i="3"/>
  <c r="H41" i="7"/>
  <c r="H32" i="7"/>
  <c r="H42" i="7" s="1"/>
  <c r="A1" i="7"/>
  <c r="E17" i="7" l="1"/>
  <c r="E22" i="7" s="1"/>
  <c r="E31" i="7" s="1"/>
  <c r="E41" i="7" s="1"/>
  <c r="A12" i="7"/>
  <c r="A18" i="33" s="1"/>
  <c r="C17" i="7" l="1"/>
  <c r="A17" i="7"/>
  <c r="B17" i="7"/>
  <c r="A22" i="7" l="1"/>
  <c r="B22" i="7"/>
  <c r="C22" i="7"/>
  <c r="B31" i="7" l="1"/>
  <c r="B41" i="7" s="1"/>
  <c r="A31" i="7"/>
  <c r="A41" i="7" s="1"/>
  <c r="C31" i="7"/>
  <c r="C41" i="7" s="1"/>
  <c r="E132" i="13" l="1"/>
  <c r="E57" i="13"/>
  <c r="E135" i="13"/>
  <c r="E130" i="13"/>
  <c r="E97" i="13"/>
  <c r="E136" i="13" l="1"/>
  <c r="E58" i="13"/>
  <c r="G17" i="13"/>
  <c r="E131" i="13"/>
  <c r="G16" i="13"/>
  <c r="I7" i="7"/>
  <c r="G20" i="13" l="1"/>
  <c r="H21" i="13" s="1"/>
  <c r="G25" i="13" s="1"/>
  <c r="H37" i="13" s="1"/>
  <c r="F8" i="3" s="1"/>
  <c r="M7" i="7"/>
  <c r="H6" i="19"/>
  <c r="H141" i="13"/>
  <c r="G134" i="13"/>
  <c r="G133" i="13"/>
  <c r="G97" i="13"/>
  <c r="G98" i="13" s="1"/>
  <c r="G58" i="13"/>
  <c r="G57" i="13"/>
  <c r="H66" i="13"/>
  <c r="H72" i="13"/>
  <c r="H67" i="13"/>
  <c r="G51" i="13"/>
  <c r="G52" i="13" s="1"/>
  <c r="H48" i="13"/>
  <c r="H47" i="13"/>
  <c r="H46" i="13"/>
  <c r="M8" i="7" l="1"/>
  <c r="H68" i="13"/>
  <c r="G59" i="13"/>
  <c r="H60" i="13" s="1"/>
  <c r="H49" i="13"/>
  <c r="G53" i="13" s="1"/>
  <c r="H54" i="13" s="1"/>
  <c r="G63" i="13" l="1"/>
  <c r="H73" i="13" s="1"/>
  <c r="G11" i="20" l="1"/>
  <c r="G12" i="20" s="1"/>
  <c r="G14" i="20" s="1"/>
  <c r="B10" i="3" l="1"/>
  <c r="A10" i="3"/>
  <c r="A10" i="35" s="1"/>
  <c r="B11" i="3"/>
  <c r="A11" i="3"/>
  <c r="A11" i="35" s="1"/>
  <c r="H184" i="13"/>
  <c r="G91" i="13" l="1"/>
  <c r="G92" i="13" s="1"/>
  <c r="H88" i="13"/>
  <c r="H87" i="13"/>
  <c r="H86" i="13"/>
  <c r="H106" i="13" l="1"/>
  <c r="H110" i="13"/>
  <c r="H89" i="13"/>
  <c r="G93" i="13" s="1"/>
  <c r="H94" i="13" s="1"/>
  <c r="H99" i="13" s="1"/>
  <c r="H111" i="13" s="1"/>
  <c r="H151" i="13" l="1"/>
  <c r="H150" i="13"/>
  <c r="H149" i="13"/>
  <c r="H148" i="13"/>
  <c r="C152" i="13" l="1"/>
  <c r="G132" i="13"/>
  <c r="H185" i="13"/>
  <c r="H142" i="13"/>
  <c r="H143" i="13"/>
  <c r="H144" i="13"/>
  <c r="G131" i="13"/>
  <c r="G135" i="13"/>
  <c r="G136" i="13"/>
  <c r="G130" i="13"/>
  <c r="H118" i="13"/>
  <c r="H119" i="13"/>
  <c r="H120" i="13"/>
  <c r="H121" i="13"/>
  <c r="H180" i="13"/>
  <c r="H181" i="13" s="1"/>
  <c r="G166" i="13"/>
  <c r="G167" i="13" s="1"/>
  <c r="H162" i="13"/>
  <c r="H161" i="13"/>
  <c r="H160" i="13"/>
  <c r="H153" i="13" l="1"/>
  <c r="H163" i="13"/>
  <c r="G168" i="13" s="1"/>
  <c r="H169" i="13" s="1"/>
  <c r="G137" i="13"/>
  <c r="G6" i="20" l="1"/>
  <c r="F6" i="20"/>
  <c r="G5" i="20"/>
  <c r="C10" i="19" s="1"/>
  <c r="F5" i="20"/>
  <c r="E44" i="19"/>
  <c r="I44" i="19" s="1"/>
  <c r="F40" i="19"/>
  <c r="H40" i="19" s="1"/>
  <c r="I40" i="19" s="1"/>
  <c r="C40" i="19"/>
  <c r="E14" i="19"/>
  <c r="I14" i="19" l="1"/>
  <c r="K40" i="19"/>
  <c r="F10" i="19"/>
  <c r="H10" i="19" s="1"/>
  <c r="I10" i="19" s="1"/>
  <c r="K10" i="19" s="1"/>
  <c r="I12" i="7" l="1"/>
  <c r="M12" i="7" s="1"/>
  <c r="M13" i="7" s="1"/>
  <c r="I17" i="7" l="1"/>
  <c r="I22" i="7" l="1"/>
  <c r="I31" i="7" s="1"/>
  <c r="M31" i="7" s="1"/>
  <c r="M33" i="7" s="1"/>
  <c r="M17" i="7"/>
  <c r="M18" i="7" l="1"/>
  <c r="M34" i="7"/>
  <c r="M22" i="7"/>
  <c r="M23" i="7" s="1"/>
  <c r="I41" i="7"/>
  <c r="M41" i="7" l="1"/>
  <c r="M43" i="7" s="1"/>
  <c r="M24" i="7"/>
  <c r="M44" i="7" l="1"/>
  <c r="M25" i="7"/>
  <c r="M46" i="7" l="1"/>
  <c r="H140" i="13"/>
  <c r="H145" i="13" s="1"/>
  <c r="G124" i="13"/>
  <c r="G125" i="13" s="1"/>
  <c r="H117" i="13"/>
  <c r="H122" i="13" s="1"/>
  <c r="G126" i="13" l="1"/>
  <c r="H127" i="13" s="1"/>
  <c r="H138" i="13" s="1"/>
  <c r="H154" i="13" s="1"/>
  <c r="E176" i="13" s="1"/>
  <c r="G176" i="13" s="1"/>
  <c r="G177" i="13" s="1"/>
  <c r="H178" i="13" s="1"/>
  <c r="H186" i="13" l="1"/>
  <c r="H188" i="13" s="1"/>
  <c r="B7" i="3" l="1"/>
  <c r="A7" i="3"/>
  <c r="A7" i="35" s="1"/>
  <c r="B9" i="3"/>
  <c r="B8" i="3"/>
  <c r="A8" i="3" l="1"/>
  <c r="A8" i="35" s="1"/>
  <c r="A9" i="3"/>
  <c r="A9" i="35" s="1"/>
  <c r="H11" i="3" l="1"/>
  <c r="H8" i="3" l="1"/>
  <c r="F9" i="3" l="1"/>
  <c r="M35" i="7"/>
  <c r="F10" i="3" l="1"/>
  <c r="H9" i="3"/>
  <c r="H10" i="3" l="1"/>
  <c r="E31" i="3" l="1"/>
  <c r="J10" i="4"/>
  <c r="F7" i="3" l="1"/>
  <c r="H7" i="3" s="1"/>
  <c r="J26" i="35" s="1"/>
  <c r="J29" i="35" s="1"/>
  <c r="D26" i="35" l="1"/>
  <c r="D29" i="35" s="1"/>
  <c r="H31" i="3"/>
  <c r="H24" i="35" s="1"/>
  <c r="F31" i="3"/>
  <c r="B26" i="35"/>
  <c r="B29" i="35" s="1"/>
  <c r="H26" i="35"/>
  <c r="H29" i="35" s="1"/>
  <c r="F26" i="35"/>
  <c r="F29" i="35" s="1"/>
  <c r="G24" i="35" l="1"/>
  <c r="I9" i="3"/>
  <c r="K24" i="35"/>
  <c r="I7" i="3"/>
  <c r="E24" i="35"/>
  <c r="I8" i="3"/>
  <c r="B24" i="35"/>
  <c r="D24" i="35"/>
  <c r="F24" i="35"/>
  <c r="I11" i="3"/>
  <c r="J24" i="35"/>
  <c r="I24" i="35"/>
  <c r="I10" i="3"/>
  <c r="C24" i="35"/>
  <c r="I31" i="3" l="1"/>
</calcChain>
</file>

<file path=xl/comments1.xml><?xml version="1.0" encoding="utf-8"?>
<comments xmlns="http://schemas.openxmlformats.org/spreadsheetml/2006/main">
  <authors>
    <author>Darcio</author>
  </authors>
  <commentList>
    <comment ref="I6" authorId="0" shapeId="0">
      <text>
        <r>
          <rPr>
            <b/>
            <sz val="16"/>
            <color indexed="81"/>
            <rFont val="Segoe UI"/>
            <family val="2"/>
          </rPr>
          <t>ALGUNS PROJTISTAS ADOTAM SEMPRE 10MIN, EM FAVOR DA SEGURANÇA</t>
        </r>
      </text>
    </comment>
    <comment ref="K6" authorId="0" shapeId="0">
      <text>
        <r>
          <rPr>
            <b/>
            <sz val="22"/>
            <color indexed="81"/>
            <rFont val="Segoe UI"/>
            <family val="2"/>
          </rPr>
          <t>media ponderada conforme áreas e seus respectivos coeficientes</t>
        </r>
      </text>
    </comment>
    <comment ref="N6" authorId="0" shapeId="0">
      <text>
        <r>
          <rPr>
            <b/>
            <sz val="16"/>
            <color indexed="81"/>
            <rFont val="Segoe UI"/>
            <family val="2"/>
          </rPr>
          <t>COMO A VAZÃO DE PROJETO É MENOR Q DA SARJETA ESSE SEGMENTO PODE SER TRANSPORTADO SOMENTE PELA SARJETA</t>
        </r>
      </text>
    </comment>
    <comment ref="S6" authorId="0" shapeId="0">
      <text>
        <r>
          <rPr>
            <b/>
            <sz val="9"/>
            <color indexed="81"/>
            <rFont val="Segoe UI"/>
            <family val="2"/>
          </rPr>
          <t>FORMULA APOSTILA</t>
        </r>
      </text>
    </comment>
    <comment ref="U6" authorId="0" shapeId="0">
      <text>
        <r>
          <rPr>
            <b/>
            <sz val="9"/>
            <color indexed="81"/>
            <rFont val="Segoe UI"/>
            <family val="2"/>
          </rPr>
          <t>FÓRMULA APOSTILA</t>
        </r>
      </text>
    </comment>
    <comment ref="I8" authorId="0" shapeId="0">
      <text>
        <r>
          <rPr>
            <b/>
            <sz val="16"/>
            <color indexed="81"/>
            <rFont val="Segoe UI"/>
            <family val="2"/>
          </rPr>
          <t>ALGUNS PROJTISTAS ADOTAM SEMPRE 10MIN, EM FAVOR DA SEGURANÇA</t>
        </r>
      </text>
    </comment>
    <comment ref="K8" authorId="0" shapeId="0">
      <text>
        <r>
          <rPr>
            <b/>
            <sz val="22"/>
            <color indexed="81"/>
            <rFont val="Segoe UI"/>
            <family val="2"/>
          </rPr>
          <t>media ponderada conforme áreas e seus respectivos coeficientes</t>
        </r>
      </text>
    </comment>
    <comment ref="N8" authorId="0" shapeId="0">
      <text>
        <r>
          <rPr>
            <b/>
            <sz val="16"/>
            <color indexed="81"/>
            <rFont val="Segoe UI"/>
            <family val="2"/>
          </rPr>
          <t>COMO A VAZÃO DE PROJETO É MENOR Q DA SARJETA ESSE SEGMENTO PODE SER TRANSPORTADO SOMENTE PELA SARJETA</t>
        </r>
      </text>
    </comment>
    <comment ref="S8" authorId="0" shapeId="0">
      <text>
        <r>
          <rPr>
            <b/>
            <sz val="9"/>
            <color indexed="81"/>
            <rFont val="Segoe UI"/>
            <family val="2"/>
          </rPr>
          <t>FORMULA APOSTILA</t>
        </r>
      </text>
    </comment>
    <comment ref="U8" authorId="0" shapeId="0">
      <text>
        <r>
          <rPr>
            <b/>
            <sz val="9"/>
            <color indexed="81"/>
            <rFont val="Segoe UI"/>
            <family val="2"/>
          </rPr>
          <t>FÓRMULA APOSTILA</t>
        </r>
      </text>
    </comment>
    <comment ref="I10" authorId="0" shapeId="0">
      <text>
        <r>
          <rPr>
            <b/>
            <sz val="16"/>
            <color indexed="81"/>
            <rFont val="Segoe UI"/>
            <family val="2"/>
          </rPr>
          <t>ALGUNS PROJTISTAS ADOTAM SEMPRE 10MIN, EM FAVOR DA SEGURANÇA</t>
        </r>
      </text>
    </comment>
    <comment ref="K10" authorId="0" shapeId="0">
      <text>
        <r>
          <rPr>
            <b/>
            <sz val="22"/>
            <color indexed="81"/>
            <rFont val="Segoe UI"/>
            <family val="2"/>
          </rPr>
          <t>media ponderada conforme áreas e seus respectivos coeficientes</t>
        </r>
      </text>
    </comment>
    <comment ref="N10" authorId="0" shapeId="0">
      <text>
        <r>
          <rPr>
            <b/>
            <sz val="16"/>
            <color indexed="81"/>
            <rFont val="Segoe UI"/>
            <family val="2"/>
          </rPr>
          <t>COMO A VAZÃO DE PROJETO É MENOR Q DA SARJETA ESSE SEGMENTO PODE SER TRANSPORTADO SOMENTE PELA SARJETA</t>
        </r>
      </text>
    </comment>
    <comment ref="S10" authorId="0" shapeId="0">
      <text>
        <r>
          <rPr>
            <b/>
            <sz val="9"/>
            <color indexed="81"/>
            <rFont val="Segoe UI"/>
            <family val="2"/>
          </rPr>
          <t>FORMULA APOSTILA</t>
        </r>
      </text>
    </comment>
    <comment ref="U10" authorId="0" shapeId="0">
      <text>
        <r>
          <rPr>
            <b/>
            <sz val="9"/>
            <color indexed="81"/>
            <rFont val="Segoe UI"/>
            <family val="2"/>
          </rPr>
          <t>FÓRMULA APOSTILA</t>
        </r>
      </text>
    </comment>
  </commentList>
</comments>
</file>

<file path=xl/sharedStrings.xml><?xml version="1.0" encoding="utf-8"?>
<sst xmlns="http://schemas.openxmlformats.org/spreadsheetml/2006/main" count="2815" uniqueCount="1233">
  <si>
    <t>ORÇAMENTO</t>
  </si>
  <si>
    <t>Nº do Item</t>
  </si>
  <si>
    <t>Descrição</t>
  </si>
  <si>
    <t>Unidade</t>
  </si>
  <si>
    <t>Quantidade</t>
  </si>
  <si>
    <t>Valores</t>
  </si>
  <si>
    <t>Unitário sem BDI</t>
  </si>
  <si>
    <t>BDI</t>
  </si>
  <si>
    <t>Total</t>
  </si>
  <si>
    <t>Fonte</t>
  </si>
  <si>
    <t>Referência de Custo</t>
  </si>
  <si>
    <t>Unitário com BDI</t>
  </si>
  <si>
    <t>un.</t>
  </si>
  <si>
    <t>m³</t>
  </si>
  <si>
    <t>m</t>
  </si>
  <si>
    <t>PREFEITURA MUNICIPAL DE MARACAJÁ</t>
  </si>
  <si>
    <t>m²</t>
  </si>
  <si>
    <t>TOTAL:</t>
  </si>
  <si>
    <t>QCI - QUADRO DE COMPOSIÇÃO DO INVESTIMENTO</t>
  </si>
  <si>
    <t>Outras Fontes</t>
  </si>
  <si>
    <t>INC. %</t>
  </si>
  <si>
    <t>Mês 01</t>
  </si>
  <si>
    <t>No mês</t>
  </si>
  <si>
    <t>Acum.</t>
  </si>
  <si>
    <t>Ítem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</si>
  <si>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</si>
  <si>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</si>
  <si>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</si>
  <si>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</si>
  <si>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</si>
  <si>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</si>
  <si>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</si>
  <si>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</si>
  <si>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</si>
  <si>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</si>
  <si>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</si>
  <si>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TOTAL</t>
  </si>
  <si>
    <t>Recurso</t>
  </si>
  <si>
    <t>C. Fin.</t>
  </si>
  <si>
    <t>C. Fis.</t>
  </si>
  <si>
    <t>Outros F.</t>
  </si>
  <si>
    <t>TOTAL (R$)</t>
  </si>
  <si>
    <t>-</t>
  </si>
  <si>
    <t>FOLHA  :  01 / 01</t>
  </si>
  <si>
    <t>tc</t>
  </si>
  <si>
    <t>Largura (m)</t>
  </si>
  <si>
    <t>Est. inicial</t>
  </si>
  <si>
    <t>Est. Final</t>
  </si>
  <si>
    <t>+</t>
  </si>
  <si>
    <t>Comprimento (m)</t>
  </si>
  <si>
    <t>LE/LD</t>
  </si>
  <si>
    <t xml:space="preserve">Agente Promotor </t>
  </si>
  <si>
    <t>Número do Contrato</t>
  </si>
  <si>
    <t>Empreendimento</t>
  </si>
  <si>
    <t>Localização</t>
  </si>
  <si>
    <t>TIPO DE OBRA</t>
  </si>
  <si>
    <t>COMPOSIÇÃO - BDI para Construção de Rodovias e Ferrovias</t>
  </si>
  <si>
    <t>ITEM</t>
  </si>
  <si>
    <t>DESCRIÇÃO ANALÍTICA</t>
  </si>
  <si>
    <t>SIGLAS</t>
  </si>
  <si>
    <t>PERCENTUAL</t>
  </si>
  <si>
    <t>SITUAÇÃO</t>
  </si>
  <si>
    <t>1° QUARTIL (MÍNIMO)</t>
  </si>
  <si>
    <t>3° QUARTIL (MÁXIMA)</t>
  </si>
  <si>
    <t>ADMINISTRAÇÃO CENTRAL</t>
  </si>
  <si>
    <t>AC</t>
  </si>
  <si>
    <t>OK</t>
  </si>
  <si>
    <t>SEGURO E GARANTIA</t>
  </si>
  <si>
    <t>S + G</t>
  </si>
  <si>
    <t>RISCO</t>
  </si>
  <si>
    <t xml:space="preserve">R </t>
  </si>
  <si>
    <t>DESPESAS FINANCEIRAS</t>
  </si>
  <si>
    <t>DF</t>
  </si>
  <si>
    <t>LUCRO</t>
  </si>
  <si>
    <t>L</t>
  </si>
  <si>
    <t>TAXA REPRESENTATIVA DE TRIBUTOS</t>
  </si>
  <si>
    <t>I= PIS+CONFINS+ISS+CPRB</t>
  </si>
  <si>
    <t>Foi incluída a CPRB com a alíquota de 4,50% sobre a Receita Bruta</t>
  </si>
  <si>
    <t>6.1</t>
  </si>
  <si>
    <t>PIS</t>
  </si>
  <si>
    <t>Alíquota iss:</t>
  </si>
  <si>
    <t>Base de cálculo:</t>
  </si>
  <si>
    <t>6.2</t>
  </si>
  <si>
    <t>CONFINS</t>
  </si>
  <si>
    <t>6.3</t>
  </si>
  <si>
    <t>CONTRIBUIÇÃO PREVIDENCIÁRIA SOBRE A RECEITA BRUTA</t>
  </si>
  <si>
    <t>CPRB</t>
  </si>
  <si>
    <t>Mão-de-obra desonerada</t>
  </si>
  <si>
    <t>6.4</t>
  </si>
  <si>
    <t>ISS</t>
  </si>
  <si>
    <t>LIMITE CONFORME ACÓRDÃO TCU 2.622/2013</t>
  </si>
  <si>
    <t>de 19,60% a 24,23%</t>
  </si>
  <si>
    <t>Fórmula - Acórdão TCU 2.622/2013</t>
  </si>
  <si>
    <t>BDI=</t>
  </si>
  <si>
    <r>
      <t>(1+AC+S+R+G)(1+DF)(1+L)</t>
    </r>
    <r>
      <rPr>
        <sz val="10"/>
        <color theme="1"/>
        <rFont val="Arial"/>
        <family val="2"/>
      </rPr>
      <t xml:space="preserve"> </t>
    </r>
    <r>
      <rPr>
        <u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1</t>
    </r>
  </si>
  <si>
    <t>OK! Percentual do BDI quando calculado sem desoneração atende ao limite estipulado pelo Acórdão TCU 2.622/2013</t>
  </si>
  <si>
    <t xml:space="preserve">                       (1-I)</t>
  </si>
  <si>
    <t>Obs¹: Para pagamento de material em canteiro, quando possível nos programas do Gestor, o BDI de Materiais deve ser limitado a 12,00%</t>
  </si>
  <si>
    <t xml:space="preserve">Eu, responsável técnico pelo orçamento, declaro para os devidos fins que a opção pela desoneração sobre a folha de pagamento é mais adequada para a administração pública. </t>
  </si>
  <si>
    <t>Declaração do Tomador dos Recursos:</t>
  </si>
  <si>
    <t xml:space="preserve">     Declaro, conforme legislação tributária municipal, que a alíquota do ISS é de 3% e a sua base de cálculo é de 100% sobre o valor total do orçamento.</t>
  </si>
  <si>
    <t>Responsável Técnico pela Composição do BDI</t>
  </si>
  <si>
    <t>Nome: DARCIO PAGANI VIEIRA</t>
  </si>
  <si>
    <t>Responsável indicado pelo Tomador</t>
  </si>
  <si>
    <t>Registro: 077.222-9</t>
  </si>
  <si>
    <r>
      <t xml:space="preserve">Nome: </t>
    </r>
    <r>
      <rPr>
        <u/>
        <sz val="11"/>
        <color theme="1"/>
        <rFont val="Arial"/>
        <family val="2"/>
      </rPr>
      <t>HELDER FRANCISCO LOCH</t>
    </r>
  </si>
  <si>
    <t xml:space="preserve">ART: </t>
  </si>
  <si>
    <r>
      <t xml:space="preserve">             Cargo: </t>
    </r>
    <r>
      <rPr>
        <u/>
        <sz val="11"/>
        <color theme="1"/>
        <rFont val="Arial"/>
        <family val="2"/>
      </rPr>
      <t>CONTADOR</t>
    </r>
  </si>
  <si>
    <t xml:space="preserve">             CPF: 288.787.289-34</t>
  </si>
  <si>
    <t>LE</t>
  </si>
  <si>
    <t>LD</t>
  </si>
  <si>
    <t>Lado</t>
  </si>
  <si>
    <t>Construção de Rodovias</t>
  </si>
  <si>
    <t xml:space="preserve">Equipamento/Material: </t>
  </si>
  <si>
    <t>Fornecedor Consultado</t>
  </si>
  <si>
    <t>CNPJ</t>
  </si>
  <si>
    <t xml:space="preserve">Data da coleta da Informação </t>
  </si>
  <si>
    <t>Contato</t>
  </si>
  <si>
    <t>Telefone</t>
  </si>
  <si>
    <t>Data-base do Orçamento:</t>
  </si>
  <si>
    <t>SINALIZAÇÃO HORIZONTAL - PINTURA DE FAIXA</t>
  </si>
  <si>
    <t>Total (m²)</t>
  </si>
  <si>
    <t>Tipo</t>
  </si>
  <si>
    <t>Quantidade (un.)</t>
  </si>
  <si>
    <t>Faixas (un.)</t>
  </si>
  <si>
    <t>MUNICIPIO: MARACAJÁ</t>
  </si>
  <si>
    <t>ESTADO: SC</t>
  </si>
  <si>
    <t>SINALIZAÇÃO VERTICAL - PLACA DE REGULAMENTAÇÃO</t>
  </si>
  <si>
    <t>Est. Inicial</t>
  </si>
  <si>
    <t>REGULARIZACAO E COMPACTAÇÃO DE SUBLEITO</t>
  </si>
  <si>
    <t>Espessura (m)</t>
  </si>
  <si>
    <t>IMPRIMAÇÃO EM LIGANTE COM EMULSÃO ASFÁLTICA</t>
  </si>
  <si>
    <t>PINTURA DE LIGAÇÃO</t>
  </si>
  <si>
    <t>Quantidade (m³)</t>
  </si>
  <si>
    <t>Quantidade (m²)</t>
  </si>
  <si>
    <t>TOTAL (m³):</t>
  </si>
  <si>
    <t>t</t>
  </si>
  <si>
    <t>A - EQUIPAMENTOS</t>
  </si>
  <si>
    <t>Aquecedor de fluido térmico - 12 kW</t>
  </si>
  <si>
    <t>Grupo gerador - 456 kVA</t>
  </si>
  <si>
    <t>Operativa</t>
  </si>
  <si>
    <t>Improdutiva</t>
  </si>
  <si>
    <t>Produtivo</t>
  </si>
  <si>
    <t>Improdutivo</t>
  </si>
  <si>
    <t>Utilização</t>
  </si>
  <si>
    <t>Custo Horário</t>
  </si>
  <si>
    <t>B - MÃO DE OBRA</t>
  </si>
  <si>
    <t>Custo Horário Total</t>
  </si>
  <si>
    <t>P9824</t>
  </si>
  <si>
    <t>Servente</t>
  </si>
  <si>
    <t>h</t>
  </si>
  <si>
    <t>SISTEMA DE CUSTOS REFERENCIAIS DE OBRAS - SICRO</t>
  </si>
  <si>
    <t>Custo Unitário de Referência</t>
  </si>
  <si>
    <t>Santa Catarina</t>
  </si>
  <si>
    <t>Produção da equipe:</t>
  </si>
  <si>
    <t>Valores em reais (R$)</t>
  </si>
  <si>
    <t>C - MATERIAL</t>
  </si>
  <si>
    <t>Custo unitário total de material:</t>
  </si>
  <si>
    <t>Custo horário total de mão de obra:</t>
  </si>
  <si>
    <t>Custo horário total de execução:</t>
  </si>
  <si>
    <t>Custo horário total de equipamentos:</t>
  </si>
  <si>
    <t>D - ATIVIDADES AUXILIARES</t>
  </si>
  <si>
    <t>Custo total de atividades auxiliares:</t>
  </si>
  <si>
    <t>E - TEMPO FIXO</t>
  </si>
  <si>
    <t>Código</t>
  </si>
  <si>
    <t>Custo Unitário</t>
  </si>
  <si>
    <t>Custo unitário total de tempo fixo:</t>
  </si>
  <si>
    <t>Custo unitário direto total:</t>
  </si>
  <si>
    <t>Subtotal:</t>
  </si>
  <si>
    <t>Custo unitário de execução:</t>
  </si>
  <si>
    <t>E9762</t>
  </si>
  <si>
    <t>E9530</t>
  </si>
  <si>
    <t>E9545</t>
  </si>
  <si>
    <t>Custo do FIC:</t>
  </si>
  <si>
    <t>PREÇO MÉDIO MENSAL PONDERADO PRATICADO PELOS DISTRIBUIDORES DE PRODUTOS ASFÁLTICOS (R$/KG)</t>
  </si>
  <si>
    <t>Importante:</t>
  </si>
  <si>
    <t>Quando não houver declaração de venda do produto selecionado, ou quando a declaração de venda do produto ocorrer por menos de 03 (três) distribuidoras, a tabela indicará campo vazio.</t>
  </si>
  <si>
    <t>Mês</t>
  </si>
  <si>
    <t>Produto</t>
  </si>
  <si>
    <t>Preço</t>
  </si>
  <si>
    <t>EMULSÃO ASFÁLTICA PARA SERVIÇO DE IMPRIMAÇÃO</t>
  </si>
  <si>
    <t xml:space="preserve">Obs: Deverá ser acrescido o ICMS de 17% e  BDI Diferenciado de 15% em relação ao valor do material </t>
  </si>
  <si>
    <t>PLACA DE OBRA</t>
  </si>
  <si>
    <t>REAJUSTE</t>
  </si>
  <si>
    <t>DRENAGEM</t>
  </si>
  <si>
    <t>PAVIMENTAÇÃO</t>
  </si>
  <si>
    <t>SINALIZAÇÃO VERTICAL</t>
  </si>
  <si>
    <t>SINALIZAÇÃO HORIZONTAL</t>
  </si>
  <si>
    <t>Rolo compactador de pneus autopropelido de 27 t - 85 kW</t>
  </si>
  <si>
    <t>Vibroacabadora de asfalto sobre esteiras - 82 kW</t>
  </si>
  <si>
    <t>PREFEITURA MUNICIPAL DE MARACAJÁ/SC</t>
  </si>
  <si>
    <t>ESTUDO DA BACIA DE CONTRIBUIÇÃO</t>
  </si>
  <si>
    <t>BACIA</t>
  </si>
  <si>
    <t>L. (m)</t>
  </si>
  <si>
    <t>Área (km²)</t>
  </si>
  <si>
    <t>Montante</t>
  </si>
  <si>
    <t>Jusante</t>
  </si>
  <si>
    <t>Decl. (m/km)</t>
  </si>
  <si>
    <t>TR (anos)</t>
  </si>
  <si>
    <t>i (mm/h)</t>
  </si>
  <si>
    <t>C (runoff)</t>
  </si>
  <si>
    <t>Qd (m³/s) (SOLICITADA)</t>
  </si>
  <si>
    <t>DIMENSIONAMENTO</t>
  </si>
  <si>
    <t>ESTACA</t>
  </si>
  <si>
    <t>I (m/m)</t>
  </si>
  <si>
    <r>
      <t>Ø</t>
    </r>
    <r>
      <rPr>
        <b/>
        <sz val="11.5"/>
        <rFont val="Calibri"/>
        <family val="2"/>
      </rPr>
      <t xml:space="preserve"> Projetado</t>
    </r>
  </si>
  <si>
    <t>SUBSTITUIÇÃO</t>
  </si>
  <si>
    <t>ÁREA DE CONTRIBUIÇÃO (m²)</t>
  </si>
  <si>
    <t>ÁREA DE CONTRIBUIÇÃO (HA)</t>
  </si>
  <si>
    <t>ÁREA DE CONTRIBUIÇÃO (KM²)</t>
  </si>
  <si>
    <t>PAVIMENTAÇÃO COM CONCRETO ASFÁLTICO, TERRAPLENAGEM, DRENAGEM E SINALIZAÇÃO</t>
  </si>
  <si>
    <t>SEMI DISTÂNCIA</t>
  </si>
  <si>
    <t>SOMA DAS ÁREAS</t>
  </si>
  <si>
    <t>ÁREA DE CORTE</t>
  </si>
  <si>
    <t>VOLUME DE CORTE</t>
  </si>
  <si>
    <t>ÁREA DE ATERRO</t>
  </si>
  <si>
    <t>VOLUME DE ATERRO</t>
  </si>
  <si>
    <t>ANEXO 03 - ESTUDO DE BACIAS DE CONTRIBUIÇÃO PARA CÁLCULO</t>
  </si>
  <si>
    <t>E DIMENSIONAMENTO DE BUEIRO DE TALVEGUE</t>
  </si>
  <si>
    <t>TERRAPLENAGEM</t>
  </si>
  <si>
    <t>P9821</t>
  </si>
  <si>
    <t>Pedreiro</t>
  </si>
  <si>
    <t>BASE DE BRITA GRADUADA SIMPLES</t>
  </si>
  <si>
    <t>Base ou sub-base de brita graduada com brita comercial</t>
  </si>
  <si>
    <t>E9559</t>
  </si>
  <si>
    <t>E9584</t>
  </si>
  <si>
    <t>E9021</t>
  </si>
  <si>
    <t>E9689</t>
  </si>
  <si>
    <t>M0028</t>
  </si>
  <si>
    <t>M0005</t>
  </si>
  <si>
    <t>M0345</t>
  </si>
  <si>
    <t>M1943</t>
  </si>
  <si>
    <t>M1941</t>
  </si>
  <si>
    <t>M1103</t>
  </si>
  <si>
    <t>Brita 0</t>
  </si>
  <si>
    <t>Óleo combustível 1A</t>
  </si>
  <si>
    <t>Pedrisco</t>
  </si>
  <si>
    <t>kg</t>
  </si>
  <si>
    <t>l</t>
  </si>
  <si>
    <t>Areia média - Caminhão basculante 10 m³</t>
  </si>
  <si>
    <t>Brita 0 - Caminhão basculante 10 m³</t>
  </si>
  <si>
    <t>Pedrisco - Caminhão basculante 10 m³</t>
  </si>
  <si>
    <t>F - MOMENTO DE TRANSPORTE</t>
  </si>
  <si>
    <t>DMT</t>
  </si>
  <si>
    <t>LN</t>
  </si>
  <si>
    <t>RP</t>
  </si>
  <si>
    <t>P</t>
  </si>
  <si>
    <t>tkm</t>
  </si>
  <si>
    <t>Custo unitário total de transporte:</t>
  </si>
  <si>
    <t>CIMENTOS ASFÁLTICOS CAP-50-70</t>
  </si>
  <si>
    <t>Preço Unitário</t>
  </si>
  <si>
    <t>Rolo compactador liso autopropelido vibratório de 11 t - 97 kW</t>
  </si>
  <si>
    <t>kg/m³</t>
  </si>
  <si>
    <t>Cal hidratada - Caminhão basculante 10 m³</t>
  </si>
  <si>
    <t>Cimento asfáltico CAP 50/70 - Caminhão basculante 10 m³</t>
  </si>
  <si>
    <t>E9571</t>
  </si>
  <si>
    <t>Caminhão tanque com capacidade de 10.000 l - 188 kW</t>
  </si>
  <si>
    <t>Custo total de atividades auxiliares</t>
  </si>
  <si>
    <t>Subtotal</t>
  </si>
  <si>
    <t>Aquisição de brita graduada simples</t>
  </si>
  <si>
    <t>OBRAS DE ARTE ESPECIAIS</t>
  </si>
  <si>
    <t>PAVIMENTOS CONCRETO CIMENTO PORTLAND</t>
  </si>
  <si>
    <t>CONSERVAÇÃO RODOVIÁRIA</t>
  </si>
  <si>
    <t>LIGANTES BETUMINOSOS</t>
  </si>
  <si>
    <t>IGP - DI</t>
  </si>
  <si>
    <t>VERGALHÕES E ARAMES DE AÇO CARBONO</t>
  </si>
  <si>
    <t>PRODUTOS SIDERÚRGICOS</t>
  </si>
  <si>
    <t>PRODUTOS DE AÇO GALVANIZADO</t>
  </si>
  <si>
    <t>ASFALTO DILUÍDO</t>
  </si>
  <si>
    <t>CIMENTO ASFÁLTICO PETRÓLEO (CAP 7 e 20)</t>
  </si>
  <si>
    <t>EMULSÕES (RR1C E RR2C)</t>
  </si>
  <si>
    <t>ADMINISTRAÇÃO LOCAL</t>
  </si>
  <si>
    <t>MOBILIZAÇÃO E DESMOBILIZAÇÃO</t>
  </si>
  <si>
    <t>OBRAS COMPLEMENTARES E MEIO AMBIENTE</t>
  </si>
  <si>
    <t>DESCRIÇÃO DOS ÍNDICES</t>
  </si>
  <si>
    <t>CÓDIGO</t>
  </si>
  <si>
    <t>ÍNDICES DE REAJUSTAMENTO DE OBRAS RODOVIÁRIAS</t>
  </si>
  <si>
    <t>TER</t>
  </si>
  <si>
    <t>PAV</t>
  </si>
  <si>
    <t>DRE</t>
  </si>
  <si>
    <t>IGP</t>
  </si>
  <si>
    <t>OAE</t>
  </si>
  <si>
    <t>SH</t>
  </si>
  <si>
    <t>CR</t>
  </si>
  <si>
    <t>LB</t>
  </si>
  <si>
    <t>SV</t>
  </si>
  <si>
    <t>AD</t>
  </si>
  <si>
    <t>AL</t>
  </si>
  <si>
    <t>PCCP</t>
  </si>
  <si>
    <t>INCC</t>
  </si>
  <si>
    <t>VAAC</t>
  </si>
  <si>
    <t>PAG</t>
  </si>
  <si>
    <t>CAP</t>
  </si>
  <si>
    <t>MD</t>
  </si>
  <si>
    <t>OCMA</t>
  </si>
  <si>
    <t>COM</t>
  </si>
  <si>
    <t>Valor unitário sem BDI</t>
  </si>
  <si>
    <t>Código de Reajuste</t>
  </si>
  <si>
    <t>OBS.: D.M.T da Refinaria/PR até Usina Asfáltica = 488,00 km. ICMS = 17%</t>
  </si>
  <si>
    <t>TOTAL (m²):</t>
  </si>
  <si>
    <t>TRANSPORTE DO MATERIAL BETUMINOSO PARA PINTURA DE LIGAÇÃO COM EMULSÃO ASFÁLTICA - 0,00045T/m²:</t>
  </si>
  <si>
    <t>RUA ARCENDINO FARIAS</t>
  </si>
  <si>
    <t>BAIRRO/DISTRITO: ESPIGÃO GRANDE</t>
  </si>
  <si>
    <t>Duplo de 0,60m</t>
  </si>
  <si>
    <t>Escavação (m³)</t>
  </si>
  <si>
    <t>Reaterro (m³)</t>
  </si>
  <si>
    <t>(montante)</t>
  </si>
  <si>
    <t>(jusante)</t>
  </si>
  <si>
    <t>TRAVESSIA DE PISTA</t>
  </si>
  <si>
    <t>SERVIÇO</t>
  </si>
  <si>
    <t>QTDADE</t>
  </si>
  <si>
    <t>UNID.</t>
  </si>
  <si>
    <t>BSTC D=</t>
  </si>
  <si>
    <t>ESCAVAÇÃO</t>
  </si>
  <si>
    <t>REATERRO</t>
  </si>
  <si>
    <t>COMPOSIÇÕES DE PREÇO UNITÁRIO</t>
  </si>
  <si>
    <t>INSUMO</t>
  </si>
  <si>
    <t>UNIDADE</t>
  </si>
  <si>
    <t>COEFICIENTE</t>
  </si>
  <si>
    <t>PREÇO UNITÁRIO</t>
  </si>
  <si>
    <t>CUSTO TOTAL</t>
  </si>
  <si>
    <t>CHP</t>
  </si>
  <si>
    <t>CHI</t>
  </si>
  <si>
    <t>SERVENTE COM ENCARGOS COMPLEMENTARES</t>
  </si>
  <si>
    <t>H</t>
  </si>
  <si>
    <t>ESCAVADEIRA HIDRÁULICA SOBRE ESTEIRAS, CAÇAMBA 0,80 M3, PESO OPERACIONAL 17 T, POTENCIA BRUTA 111 HP - CHP DIURNO. AF_06/2014</t>
  </si>
  <si>
    <t>ESCAVADEIRA HIDRÁULICA SOBRE ESTEIRAS, CAÇAMBA 0,80 M3, PESO OPERACIONAL 17 T, POTENCIA BRUTA 111 HP - CHI DIURNO. AF_06/2014</t>
  </si>
  <si>
    <t xml:space="preserve">Custo R$ </t>
  </si>
  <si>
    <t>COMPOSIÇÃO 06</t>
  </si>
  <si>
    <t>Base ou sub-base de macadame hidráulico com brita comercial</t>
  </si>
  <si>
    <t>M0808</t>
  </si>
  <si>
    <t>M1135</t>
  </si>
  <si>
    <t>Brita 4 (rachinha)</t>
  </si>
  <si>
    <t>Pó de pedra</t>
  </si>
  <si>
    <t>Brita 4 (rachinha) - Caminhão basculante 10</t>
  </si>
  <si>
    <t>Pó de pedra - Caminhão basculante 10 m³</t>
  </si>
  <si>
    <t>E9074</t>
  </si>
  <si>
    <t>Carregadeira de pneus com capacidade de 1,72 m³ - 113 kW</t>
  </si>
  <si>
    <t>Tanque de estocagem de asfalto com agitadores de 60.000 l</t>
  </si>
  <si>
    <t>Usina de asfalto a quente gravimétrica com capacidade de 100/140 t/h -260 Kw</t>
  </si>
  <si>
    <t>M0191</t>
  </si>
  <si>
    <t>M0344</t>
  </si>
  <si>
    <t>M3228</t>
  </si>
  <si>
    <t>Brita 1</t>
  </si>
  <si>
    <t>Cal hidratada - a granel</t>
  </si>
  <si>
    <t>Cimento asfáltico CAP 50/70 com 15% de asfalto borracha</t>
  </si>
  <si>
    <t>Brita 1 - Caminhão basculante 10 m³</t>
  </si>
  <si>
    <t>Cal hidratada - a granel - Caminhão silo 30 m³</t>
  </si>
  <si>
    <t>Usinagem de concreto asfáltico com borracha - faixa C - brita comercial</t>
  </si>
  <si>
    <t>Concreto asfáltico com borracha - faixa C - brita comercial</t>
  </si>
  <si>
    <t>E9681</t>
  </si>
  <si>
    <t>Rolo compactador liso tandem vibratório autopropelido de 10,4 t - 82 kW</t>
  </si>
  <si>
    <t>Usinagem de concreto asfáltico com borracha - faixa C - brita comercial - Caminhão basculante 10 m³</t>
  </si>
  <si>
    <t>COMPOSIÇÃO 07</t>
  </si>
  <si>
    <t>COMPOSIÇÃO 09</t>
  </si>
  <si>
    <t>AUXILIAR</t>
  </si>
  <si>
    <t>LOCALIZAÇÃO</t>
  </si>
  <si>
    <t>ÍNDICE NACIONAL DE CUSTO DA CONSTRUÇÃO</t>
  </si>
  <si>
    <t>Multipla Sinalização</t>
  </si>
  <si>
    <t xml:space="preserve">85.394.765/0001-06 </t>
  </si>
  <si>
    <t>Hélio</t>
  </si>
  <si>
    <t>98402-7454</t>
  </si>
  <si>
    <t>Placa de Identificação de Rua com suporte metálico galvanizado</t>
  </si>
  <si>
    <t>ESTADO: SANTA CATARINA</t>
  </si>
  <si>
    <t>T :</t>
  </si>
  <si>
    <t>anos</t>
  </si>
  <si>
    <t>Coef.  n :</t>
  </si>
  <si>
    <t xml:space="preserve">K: </t>
  </si>
  <si>
    <t xml:space="preserve">b: </t>
  </si>
  <si>
    <t>m:</t>
  </si>
  <si>
    <t xml:space="preserve">n: </t>
  </si>
  <si>
    <t>Trecho</t>
  </si>
  <si>
    <t>L (m)</t>
  </si>
  <si>
    <t>Área (m²)</t>
  </si>
  <si>
    <t>TC (min)</t>
  </si>
  <si>
    <t>I (mm/h)</t>
  </si>
  <si>
    <t>C (run off)</t>
  </si>
  <si>
    <t>Vazão (m³/s)</t>
  </si>
  <si>
    <t>Cota Terreno</t>
  </si>
  <si>
    <t xml:space="preserve">Declividade              </t>
  </si>
  <si>
    <t xml:space="preserve">Diâmetro </t>
  </si>
  <si>
    <t>Velocidade (m/s)</t>
  </si>
  <si>
    <t>Recobrimento</t>
  </si>
  <si>
    <t>Cota da Galeria</t>
  </si>
  <si>
    <t>Profundidade da Vala</t>
  </si>
  <si>
    <t xml:space="preserve">Tempo de Percurso </t>
  </si>
  <si>
    <t>Projeto</t>
  </si>
  <si>
    <t>Admissível sarjeta</t>
  </si>
  <si>
    <t>Captada</t>
  </si>
  <si>
    <t>Natural (mm)</t>
  </si>
  <si>
    <t>Adotada   (mm)</t>
  </si>
  <si>
    <t>Calculado (m)</t>
  </si>
  <si>
    <t>Comercial (mm)</t>
  </si>
  <si>
    <t>Mínimo (m)</t>
  </si>
  <si>
    <t>Adotado (m)</t>
  </si>
  <si>
    <t>Montante (m)</t>
  </si>
  <si>
    <t xml:space="preserve">Jusante (m) </t>
  </si>
  <si>
    <t>Galeria (min)</t>
  </si>
  <si>
    <t>Sarjeta (min)</t>
  </si>
  <si>
    <t>CONCRETO ASFÁLTICO CAP 50/70 - FAIXA C</t>
  </si>
  <si>
    <t>Rua</t>
  </si>
  <si>
    <t>LADO</t>
  </si>
  <si>
    <t>Dreno longitudinal profundo para corte em solo - DPS 08 - tubo PEAD e brita comercial</t>
  </si>
  <si>
    <t>E9556</t>
  </si>
  <si>
    <t>Compactador manual de placa vibratória - 3,00 kW</t>
  </si>
  <si>
    <t>M0192</t>
  </si>
  <si>
    <t>M2051</t>
  </si>
  <si>
    <t>M1658</t>
  </si>
  <si>
    <t>Brita 2</t>
  </si>
  <si>
    <t>Tubo PEAD corrugado perfurado para drenagem - D = 230 mm</t>
  </si>
  <si>
    <t>Geotêxtil não-tecido agulhado em poliéster - resistência à tração longitudinal de 14 kN/m</t>
  </si>
  <si>
    <t>Escavação mecânica de vala em material de 1ª categoria</t>
  </si>
  <si>
    <t>Brita 2 - Caminhão basculante 10 m³</t>
  </si>
  <si>
    <t>Geotêxtil não-tecido agulhado em poliéster - resistência à tração longitudinal de 14 kN/m - Caminhão carroceria 15 t</t>
  </si>
  <si>
    <t>Tubo PEAD corrugado perfurado para drenagem - D = 230 mm - Caminhão carroceria 15 t</t>
  </si>
  <si>
    <t xml:space="preserve">Valor adotado (mediana): </t>
  </si>
  <si>
    <t>Unidade: un.</t>
  </si>
  <si>
    <t>EIXO DE PISTA</t>
  </si>
  <si>
    <t xml:space="preserve">           ORÇAMENTO E QUADRO DE CONSULTA DE PREÇOS DE MERCADO</t>
  </si>
  <si>
    <t>SUB-BASE EM MACADAME SECO</t>
  </si>
  <si>
    <t>CONSULTORIA (SUPERVISÃO E PROJETOS)</t>
  </si>
  <si>
    <t>OBRAS DE ARTE ESPECIAIS (SEM AÇO)</t>
  </si>
  <si>
    <t>Estado</t>
  </si>
  <si>
    <t>PR</t>
  </si>
  <si>
    <t>VOLUME TOTAL DE ESCAVAÇÃO:</t>
  </si>
  <si>
    <t>VOLUME TOTAL DE ATERRO:</t>
  </si>
  <si>
    <t>SERVIÇOS COM AÇO PARA OBRAS DE ARTE ESPECIAIS</t>
  </si>
  <si>
    <t>EMULSÃO ASFÁLTICA MODIFICADA</t>
  </si>
  <si>
    <t>ASFALTO MODIFICADO POR POLÍMERO</t>
  </si>
  <si>
    <t>EMULSÃO ASFÁLTICA DE IMPRIMAÇÃO</t>
  </si>
  <si>
    <t>ASFALTO BORRACHA</t>
  </si>
  <si>
    <t>SUPERESTRUTURA DE PASSARELAS METÁLICAS</t>
  </si>
  <si>
    <t>OAE (SA)</t>
  </si>
  <si>
    <t>SAOAE</t>
  </si>
  <si>
    <t>OS</t>
  </si>
  <si>
    <t>RR</t>
  </si>
  <si>
    <t>EAM</t>
  </si>
  <si>
    <t>AMP</t>
  </si>
  <si>
    <t>EAI</t>
  </si>
  <si>
    <t>AB</t>
  </si>
  <si>
    <t>SPM</t>
  </si>
  <si>
    <t>ROLO COMPACTADOR VIBRATÓRIO DE UM CILINDRO AÇO LISO, POTÊNCIA 80 HP, PESO OPERACIONAL MÁXIMO 8,1 T, IMPACTO DINÂMICO 16,15 / 9,5 T, LARGURA DE TRABALHO 1,68 M - CHP DIURNO. AF_06/2014</t>
  </si>
  <si>
    <t>ROLO COMPACTADOR VIBRATÓRIO DE UM CILINDRO AÇO LISO, POTÊNCIA 80 HP, PESO OPERACIONAL MÁXIMO 8,1 T, IMPACTO DINÂMICO 16,15 / 9,5 T, LARGURA DE TRABALHO 1,68 M - CHI DIURNO. AF_06/2014</t>
  </si>
  <si>
    <t>MOTONIVELADORA POTÊNCIA BÁSICA LÍQUIDA (PRIMEIRA MARCHA) 125 HP, PESO BRUTO 13032 KG, LARGURA DA LÂMINA DE 3,7 M - CHP DIURNO. AF_06/2014</t>
  </si>
  <si>
    <t>MOTONIVELADORA POTÊNCIA BÁSICA LÍQUIDA (PRIMEIRA MARCHA) 125 HP, PESO BRUTO 13032 KG, LARGURA DA LÂMINA DE 3,7 M - CHI DIURNO. AF_06/2014</t>
  </si>
  <si>
    <t>COMPOSIÇÃO 01</t>
  </si>
  <si>
    <t>COMPOSIÇÃO 02</t>
  </si>
  <si>
    <t>CAMINHÃO PIPA 10.000 L TRUCADO, PESO BRUTO TOTAL 23.000 KG, CARGA ÚTIL MÁXIMA 15.935 KG, DISTÂNCIA ENTRE EIXOS 4,8 M, POTÊNCIA 230 CV, INCLUSIVE TANQUE DE AÇO PARA TRANSPORTE DE ÁGUA - CHP DIURNO. AF_06/2014</t>
  </si>
  <si>
    <t>CAMINHÃO PIPA 10.000 L TRUCADO, PESO BRUTO TOTAL 23.000 KG, CARGA ÚTIL MÁXIMA 15.935 KG, DISTÂNCIA ENTRE EIXOS 4,8 M, POTÊNCIA 230 CV, INCLUSIVE TANQUE DE AÇO PARA TRANSPORTE DE ÁGUA - CHI DIURNO. AF_06/2014</t>
  </si>
  <si>
    <t>EMULSÕES ASFÁLTICAS RR-1C</t>
  </si>
  <si>
    <t>Contratado</t>
  </si>
  <si>
    <t>PLANILHA DE CÁLCULO PARA DIMENSIONAMENTO E QUANTITATIVOS DE DRENAGEM URBANA</t>
  </si>
  <si>
    <t>PLANILHA DE CÁLCULO DE QUANTITATIVOS DE PAVIMENTAÇÃO</t>
  </si>
  <si>
    <t>PLANILHA   DE  CÁLCULO DE QUANTITATIVOS DE  TERRAPLENAGEM</t>
  </si>
  <si>
    <t>PLANILHA DE CÁLCULO DE QUANTITATIVOS DE SINALIZAÇÃO</t>
  </si>
  <si>
    <t>Fonte: https://www.gov.br/anp/pt-br/assuntos/precos-e-defesa-da-concorrencia/precos/precos-de-distribuicao-de-produtos-asfalticos</t>
  </si>
  <si>
    <t xml:space="preserve">                       </t>
  </si>
  <si>
    <t>CRONOGRAMA GLOBAL</t>
  </si>
  <si>
    <t>Tubo de Concreto simples 0,40m</t>
  </si>
  <si>
    <t>Unidade: m</t>
  </si>
  <si>
    <t>Pré moldados Pagani</t>
  </si>
  <si>
    <t>08.372.222/0001-47</t>
  </si>
  <si>
    <t>Ademir</t>
  </si>
  <si>
    <t>3524-1044</t>
  </si>
  <si>
    <t>Concretubos</t>
  </si>
  <si>
    <t>08.982.272/0001-46</t>
  </si>
  <si>
    <t>Ritieli</t>
  </si>
  <si>
    <t>3524-0999</t>
  </si>
  <si>
    <t>Artevila Ind. e Com. Ltda</t>
  </si>
  <si>
    <t>79.937.199/0001-39</t>
  </si>
  <si>
    <t>Udson</t>
  </si>
  <si>
    <t>3432-0272</t>
  </si>
  <si>
    <t>KF Artfatos de Cimento</t>
  </si>
  <si>
    <t>78.885.548/0001-53</t>
  </si>
  <si>
    <t>Mª Eduarda</t>
  </si>
  <si>
    <t>3463-1138</t>
  </si>
  <si>
    <t>Concretos Comelli Ltda</t>
  </si>
  <si>
    <t>76.870.914/0001-75</t>
  </si>
  <si>
    <t>Renan</t>
  </si>
  <si>
    <t>3466-1664</t>
  </si>
  <si>
    <t>Tubo de Concreto simples 0,50m</t>
  </si>
  <si>
    <t>Concretos Comelli</t>
  </si>
  <si>
    <t>Tubo de Concreto armado 0,60m</t>
  </si>
  <si>
    <t>Tubo de Concreto armado 0,80m</t>
  </si>
  <si>
    <t>Meio fio - 15cm de largura</t>
  </si>
  <si>
    <t>Tubo de Concreto armado 1,00m</t>
  </si>
  <si>
    <t>Brita Graduada Simples (BGS)</t>
  </si>
  <si>
    <t>Unidade: m³</t>
  </si>
  <si>
    <t>Miner. Cedro Maracajá</t>
  </si>
  <si>
    <t>85.281.889/0004-28</t>
  </si>
  <si>
    <t>Karen</t>
  </si>
  <si>
    <t>3523-0389</t>
  </si>
  <si>
    <t>SBM - Mineração Ltda</t>
  </si>
  <si>
    <t>14.779.384/0003-69</t>
  </si>
  <si>
    <t>Patricia</t>
  </si>
  <si>
    <t>3523-1008</t>
  </si>
  <si>
    <t>Britagem Sombrio</t>
  </si>
  <si>
    <t>03.894.584/0001-84</t>
  </si>
  <si>
    <t>Leila</t>
  </si>
  <si>
    <t>3533-1027</t>
  </si>
  <si>
    <t>Areal Maccari</t>
  </si>
  <si>
    <t>02.721.573/0001-30</t>
  </si>
  <si>
    <t>Taffarel</t>
  </si>
  <si>
    <t>3434-2498</t>
  </si>
  <si>
    <t>Uggioni Britagem</t>
  </si>
  <si>
    <t>07.582.277/0001-19</t>
  </si>
  <si>
    <t>Gabriel</t>
  </si>
  <si>
    <t>99866-1509</t>
  </si>
  <si>
    <t>CR Colomo Retroterra</t>
  </si>
  <si>
    <t>81.828.923/0001-38</t>
  </si>
  <si>
    <t>Nilson</t>
  </si>
  <si>
    <t>3438-6666</t>
  </si>
  <si>
    <t>Pedra Britada N.02 (19 a 38)mm</t>
  </si>
  <si>
    <t>Débora</t>
  </si>
  <si>
    <t>Dulce Mara</t>
  </si>
  <si>
    <r>
      <t>Jazida Eckert</t>
    </r>
    <r>
      <rPr>
        <sz val="11"/>
        <color rgb="FFFF0000"/>
        <rFont val="Calibri"/>
        <family val="2"/>
        <scheme val="minor"/>
      </rPr>
      <t xml:space="preserve"> </t>
    </r>
  </si>
  <si>
    <t>02.808.957/0001-94</t>
  </si>
  <si>
    <t>Jonas</t>
  </si>
  <si>
    <t>98867-0176</t>
  </si>
  <si>
    <t>Pedra Britada N.01 (9,5 a 19)mm</t>
  </si>
  <si>
    <t>Pedra Britada N.00 (4,8 a 9,5)mm</t>
  </si>
  <si>
    <t>Pó de Pedra</t>
  </si>
  <si>
    <t>Piso Tátil Alerta e Direcional</t>
  </si>
  <si>
    <t>Unidade: m²</t>
  </si>
  <si>
    <t>RM - Artefatos de Cimento</t>
  </si>
  <si>
    <t>13.272.997/0001-80</t>
  </si>
  <si>
    <t>Everton</t>
  </si>
  <si>
    <t>99907-0449</t>
  </si>
  <si>
    <t>Jbm Artefatos de Cimento</t>
  </si>
  <si>
    <t>08.836.239/0001-08</t>
  </si>
  <si>
    <t>Vendas</t>
  </si>
  <si>
    <t>99162-7062</t>
  </si>
  <si>
    <t>Timaco</t>
  </si>
  <si>
    <t>83.669.614/0001-98</t>
  </si>
  <si>
    <t>3437-2288</t>
  </si>
  <si>
    <t>Ladrilho Hidráulico</t>
  </si>
  <si>
    <t>Manta Geotextil - Bidim</t>
  </si>
  <si>
    <t>Comercial Caressi</t>
  </si>
  <si>
    <t>95.770.228/0002-58</t>
  </si>
  <si>
    <t>3524-7128</t>
  </si>
  <si>
    <t>Lelei Mat. de Construção</t>
  </si>
  <si>
    <t>06.538.857/0001-46</t>
  </si>
  <si>
    <t>Tubo PEAD</t>
  </si>
  <si>
    <t>Paver 20 x 10 x 8cm</t>
  </si>
  <si>
    <t>Reginaldo</t>
  </si>
  <si>
    <t>Josi</t>
  </si>
  <si>
    <t>JBM</t>
  </si>
  <si>
    <t>Renata</t>
  </si>
  <si>
    <t>Areia Fina (Areia para aterro)</t>
  </si>
  <si>
    <t>Jazida Eckert</t>
  </si>
  <si>
    <t>Junior</t>
  </si>
  <si>
    <t>3524-3544</t>
  </si>
  <si>
    <t>VELOCIDADE DE 60 Km/h</t>
  </si>
  <si>
    <t>SINALIZAÇÃO VERTICAL - PLACA DE ADVERTÊNCIA</t>
  </si>
  <si>
    <t>LOMBADA</t>
  </si>
  <si>
    <t>SINALIZAÇÃO HORIZONTAL - TACHA REFLETIVA BIDIRECIONAL</t>
  </si>
  <si>
    <t>á cada</t>
  </si>
  <si>
    <t>BORDO DE PISTA - LE/LD</t>
  </si>
  <si>
    <t>Santhiago Mat.  Construção</t>
  </si>
  <si>
    <t>Thiago</t>
  </si>
  <si>
    <t>99999-6630</t>
  </si>
  <si>
    <t>Composição do BDI para obras com mão-de-obra sem desoneração (conforme Lei 13.161 de 2015)</t>
  </si>
  <si>
    <t>Percentual de BDI dentro do limite estipulado pelo Acódão TCU 2.622/2013. O cálculo dessa composição sem desoneração resulta em 20,73%</t>
  </si>
  <si>
    <t>Obs²: O  cálculo desta composição de BDI não considera a desoneração da contribuição previdenciária, conforme Lei 13.161/2015</t>
  </si>
  <si>
    <t>OBS.: SINAPI/SICRO SEM DESONERAÇÃO - FLORIANÓPOLIS/SC</t>
  </si>
  <si>
    <t>ENCARGOS SOCIAIS SEM DESONERAÇÃO</t>
  </si>
  <si>
    <t>Recurso Próprio</t>
  </si>
  <si>
    <t>M3</t>
  </si>
  <si>
    <t>PEDRA DE MAO OU PEDRA RACHAO PARA ARRIMO/FUNDACAO (POSTO PEDREIRA/FORNECEDOR, SEM FRETE)</t>
  </si>
  <si>
    <t>PO DE PEDRA (POSTO PEDREIRA/FORNECEDOR, SEM FRETE)</t>
  </si>
  <si>
    <t>TRANSPORTE DO MATERIAL BETUMINOSO PARA ASFÁLTICO CAP 50/70 - FAIXA C - PESO ESPECÍFICO 2,50T/m³:</t>
  </si>
  <si>
    <t>TOTAL (T) - PESO ESPECÍFICO 2,50T/m³:</t>
  </si>
  <si>
    <t>AQUISIÇÃO DE MATERIAL BETUMINOSO PARA ASFÁLTICO CAP 50/70 - FAIXA C - 5,2%:</t>
  </si>
  <si>
    <t>Cálculo para o  valor do transp. adotou-se a fórmula conforme Portaria do DNIT n. 1.977, de 25 de outubro de 2017, publicada no Diário Oficial da União (26,939 + 0,253 x D) =  [(26,939*(562,597/270,237))+(0,253*562,597/270,237)*488] x 1,17=</t>
  </si>
  <si>
    <t>AQUISIÇÃO PARA A IMPRIMAÇÃO COM EMULSÃO ASFÁLTICA - 0,0013T/m²:</t>
  </si>
  <si>
    <t>TRANSPORTE DO MATERIAL BETUMINOSO PARA A IMPRIMAÇÃO COM EMULSÃO ASFÁLTICA - 0,0013T/m²:</t>
  </si>
  <si>
    <t>AQUISIÇÃO DO MATERIAL BETUMINOSO PARA PINTURA DE LIGAÇÃO COM EMULSÃO ASFÁLTICA RR-1C - 0,00045T/m²:</t>
  </si>
  <si>
    <t>RODOVIA ANGELINO ACORDI</t>
  </si>
  <si>
    <t>BAIRRO: ESPIGÃO DA TOCA</t>
  </si>
  <si>
    <t>Berço em rachão (m³)</t>
  </si>
  <si>
    <t>VOLUME TOTAL DE BOTA FORA:</t>
  </si>
  <si>
    <t>BOCA DE LOBO</t>
  </si>
  <si>
    <t>BERÇO EM RACHÃO</t>
  </si>
  <si>
    <t>DRENO PROFUNDO - DPS 08</t>
  </si>
  <si>
    <t>DPS-08</t>
  </si>
  <si>
    <t>Cálculo para o  valor do transp. adotou-se a fórmula conforme Portaria do DNIT n. 1.977, de 25 de outubro de 2017, publicada no Diário Oficial da União (26,939 + 0,253 x D) =  [(26,939*(584,512/270,237))+(0,253*584,512/270,237)*488] x 1,17=</t>
  </si>
  <si>
    <t>SINALIZAÇÃO HORIZONTAL - PINTURA DE LOMBADA</t>
  </si>
  <si>
    <t>LE, EIXO, LD</t>
  </si>
  <si>
    <t>ROLO COMPACTADOR DE PNEUS, ESTÁTICO, PRESSÃO VARIÁVEL, POTÊNCIA 110 HP, PESO SEM/COM LASTRO 10,8/27 T, LARGURA DE ROLAGEM 2,30 M - CHP DIURNO. AF_06/2017</t>
  </si>
  <si>
    <t>ROLO COMPACTADOR DE PNEUS, ESTÁTICO, PRESSÃO VARIÁVEL, POTÊNCIA 110 HP, PESO SEM/COM LASTRO 10,8/27 T, LARGURA DE ROLAGEM 2,30 M - CHI DIURNO. AF_06/2017</t>
  </si>
  <si>
    <t>Macadame Seco</t>
  </si>
  <si>
    <t>CONSTRUÇÃO DE BASE E SUB-BASE PARA PAVIMENTAÇÃO DE MACADAME SECO, COM ESPESSURA DE 20 CM - EXCLUSIVE CARGA E TRANSPORTE</t>
  </si>
  <si>
    <t>CONSTRUÇÃO DE BASE E SUB-BASE PARA PAVIMENTAÇÃO DE BRITA GRADUADA SIMPLES, COM ESPESSURA DE 15 CM - EXCLUSIVE CARGA E TRANSPORTE</t>
  </si>
  <si>
    <t>AQUISIÇÃO DE BRITA GRADUADA SIMPLES. AF_09/2025</t>
  </si>
  <si>
    <t>EX</t>
  </si>
  <si>
    <t>COMPOSIÇÃO 03</t>
  </si>
  <si>
    <t>EMPRESA:</t>
  </si>
  <si>
    <t>BAIRRO: VILA BEATRIZ</t>
  </si>
  <si>
    <t>PRAÇA DA FAMILIA</t>
  </si>
  <si>
    <t>SERVIÇOS PRELIMINARES</t>
  </si>
  <si>
    <t>CERCAMENTO</t>
  </si>
  <si>
    <t>PISTA DE CAMINHADA E CICLOVIA</t>
  </si>
  <si>
    <t>CANTEIROS</t>
  </si>
  <si>
    <t>INSTALAÇÕES ELÉTRICAS</t>
  </si>
  <si>
    <t>INSTALAÇÕES DE ÁGUA FRIA</t>
  </si>
  <si>
    <t>BANHEIROS</t>
  </si>
  <si>
    <t>INFRAESTRUTURA</t>
  </si>
  <si>
    <t>PISO</t>
  </si>
  <si>
    <t>SUPERESTRUTURA</t>
  </si>
  <si>
    <t>ALVENARIA E DIVISÓRIAS</t>
  </si>
  <si>
    <t>COBERTURA</t>
  </si>
  <si>
    <t>REVESTIMENTOS DE PAREDES</t>
  </si>
  <si>
    <t>REVESTIMENTOS DE PISO</t>
  </si>
  <si>
    <t>INSTALAÇÕES HIDROSSANITÁRIAS</t>
  </si>
  <si>
    <t>ESQUADRIAS</t>
  </si>
  <si>
    <t>LOUÇAS E EQUIPAMENTOS</t>
  </si>
  <si>
    <t>PINTURA</t>
  </si>
  <si>
    <t>LIMPEZA FINAL</t>
  </si>
  <si>
    <t>CORETO</t>
  </si>
  <si>
    <t>GUARDA-CORPO E CORRIMÃO</t>
  </si>
  <si>
    <t>ESTRUTURA METÁLICA</t>
  </si>
  <si>
    <t>EQUIPAMENTOS</t>
  </si>
  <si>
    <t>BANCOS DE CONCRETO</t>
  </si>
  <si>
    <t>CAMPO DE AREIA</t>
  </si>
  <si>
    <t>PAISAGISMO</t>
  </si>
  <si>
    <t>FORNECIMENTO E INSTALAÇÃO DE PLACA DE OBRA COM CHAPA GALVANIZADA E ESTRUTURA DE MADEIRA. AF_03/2022_PS</t>
  </si>
  <si>
    <t>LOCAÇÃO DE PRAÇAS EM PONTALETEAMENTO. AF_03/2024</t>
  </si>
  <si>
    <t>LIMPEZA MECANIZADA DE CAMADA VEGETAL, VEGETAÇÃO E PEQUENAS ÁRVORES (DIÂMETRO DE TRONCO MENOR QUE 0,20 M), COM TRATOR DE ESTEIRAS. AF_03/2024</t>
  </si>
  <si>
    <t>ENTRADA DE ENERGIA ELÉTRICA, AÉREA, TRIFÁSICA, COM CAIXA DE EMBUTIR, CABO DE 10 MM2 E DISJUNTOR DIN 50A (NÃO INCLUSO O POSTE DE CONCRETO). AF_12/2025</t>
  </si>
  <si>
    <t>POSTE DE CONCRETO ARMADO DE SECAO CIRCULAR, EXTENSAO DE 9,00 M, RESISTENCIA DE 200 A 300 DAN, TIPO C-14</t>
  </si>
  <si>
    <t>KIT CAVALETE PARA MEDIÇÃO DE ÁGUA - ENTRADA INDIVIDUALIZADA, EM PVC 25 MM (3/4"), PARA 1 MEDIDOR - FORNECIMENTO E INSTALAÇÃO (EXCLUSIVE HIDRÔMETRO). AF_03/2024</t>
  </si>
  <si>
    <t>HIDRÔMETRO DN 3/4", 5,0 M3/H - FORNECIMENTO E INSTALAÇÃO. AF_03/2024</t>
  </si>
  <si>
    <t>INSTALAÇÃO E DESINSTALAÇÃO MECANIZADA DE CONTÊINER OU MÓDULO HABITÁVEL DE USOS DIVERSOS. AF_03/2024</t>
  </si>
  <si>
    <t>LOCACAO DE CONTAINER 2,30 X 6,00 M, ALT. 2,50 M, COM 1 SANITARIO, PARA ESCRITORIO, COMPLETO, SEM DIVISORIAS INTERNAS (NAO INCLUI MOBILIZACAO/DESMOBILIZACAO)</t>
  </si>
  <si>
    <t>REGULARIZAÇÃO E COMPACTAÇÃO DE SUBLEITO DE SOLO PREDOMINANTEMENTE ARGILOSO, PARA OBRAS DE CONSTRUÇÃO DE PAVIMENTOS. AF_09/2024</t>
  </si>
  <si>
    <t>1.1.</t>
  </si>
  <si>
    <t>1.1.0.1.</t>
  </si>
  <si>
    <t>1.2.</t>
  </si>
  <si>
    <t>1.2.0.1.</t>
  </si>
  <si>
    <t>1.2.0.2.</t>
  </si>
  <si>
    <t>1.2.0.3.</t>
  </si>
  <si>
    <t>1.2.0.4.</t>
  </si>
  <si>
    <t>1.2.0.5.</t>
  </si>
  <si>
    <t>1.2.0.6.</t>
  </si>
  <si>
    <t>1.2.0.7.</t>
  </si>
  <si>
    <t>1.2.0.8.</t>
  </si>
  <si>
    <t>1.2.0.9.</t>
  </si>
  <si>
    <t>1.2.0.10.</t>
  </si>
  <si>
    <t>ESTACA ESCAVADA MECANICAMENTE, SEM FLUIDO ESTABILIZANTE, COM 25 CM DE DIÂMETRO, PERFURATRIZ MONTADA SOBRE CAMINHÃO E CONCRETO FCK 25 MPA LANÇADO POR CAMINHÃO BETONEIRA (EXCLUSIVE MOBILIZAÇÃO E DESMOBILIZAÇÃO). AF_05/2026</t>
  </si>
  <si>
    <t>CONCRETAGEM DE BLOCO DE COROAMENTO OU VIGA BALDRAME, FCK 30 MPA, COM USO DE JERICA - LANÇAMENTO, ADENSAMENTO E ACABAMENTO.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</si>
  <si>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</si>
  <si>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</si>
  <si>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FABRICAÇÃO, MONTAGEM E DESMONTAGEM DE FÔRMA PARA VIGA BALDRAME, EM MADEIRA SERRADA, E=25 MM, 4 UTILIZAÇÕES. AF_01/2024</t>
  </si>
  <si>
    <t>SERRALHEIRO COM ENCARGOS COMPLEMENTARES</t>
  </si>
  <si>
    <t>FIXADORES POLIAMIDA COM PARAFUSO SECURIFOR VERDE</t>
  </si>
  <si>
    <t>TAMPAS POLIAMIDA PARA POSTE VERDE 60X80</t>
  </si>
  <si>
    <t>PARABOLT PARAFUSO CHUMBADOR P/ POSTE - 3/8 X 3.3/4</t>
  </si>
  <si>
    <t>1.3.</t>
  </si>
  <si>
    <t>1.3.0.1.</t>
  </si>
  <si>
    <t>1.3.0.2.</t>
  </si>
  <si>
    <t>1.3.0.3.</t>
  </si>
  <si>
    <t>1.3.0.4.</t>
  </si>
  <si>
    <t>1.3.0.5.</t>
  </si>
  <si>
    <t>1.3.0.6.</t>
  </si>
  <si>
    <t>1.3.0.7.</t>
  </si>
  <si>
    <t>1.3.0.8.</t>
  </si>
  <si>
    <t>1.3.0.9.</t>
  </si>
  <si>
    <t>1.3.0.10.</t>
  </si>
  <si>
    <t>1.3.0.11.</t>
  </si>
  <si>
    <t>CAMADA SEPARADORA PARA EXECUÇÃO DE RADIER, PISO DE CONCRETO OU LAJE SOBRE SOLO, EM LONA PLÁSTICA. AF_07/2026</t>
  </si>
  <si>
    <t>LASTRO COM MATERIAL GRANULAR (PEDRA BRITADA N.1 E PEDRA BRITADA N.2), APLICADO EM PISOS OU LAJES SOBRE SOLO, ESPESSURA DE *10 CM*. AF_01/2024</t>
  </si>
  <si>
    <t>EXECUÇÃO DE PASSEIO (CALÇADA) OU PISO DE CONCRETO COM CONCRETO MOLDADO IN LOCO, FEITO EM OBRA, ACABAMENTO CONVENCIONAL, ESPESSURA 8 CM, ARMADO. AF_08/2022</t>
  </si>
  <si>
    <t>PREPARO DO PISO CIMENTADO PARA PINTURA - LIXAMENTO E LIMPEZA. AF_05/2021</t>
  </si>
  <si>
    <t>PINTURA DE PISO COM TINTA ACRÍLICA, APLICAÇÃO MANUAL, 3 DEMÃOS, INCLUSO FUNDO PREPARADOR. AF_05/2021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</si>
  <si>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</si>
  <si>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TUBO DE CONCRETO (SIMPLES) PARA REDES COLETORAS DE ÁGUAS PLUVIAIS, DIÂMETRO DE 300 MM, JUNTA RÍGIDA, INSTALADO EM LOCAL COM BAIXO NÍVEL DE INTERFERÊNCIAS - FORNECIMENTO E ASSENTAMENTO. AF_03/2024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</si>
  <si>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</si>
  <si>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CAIXA COM GRELHA RETANGULAR DE FERRO FUNDIDO, EM ALVENARIA COM BLOCOS DE CONCRETO, DIMENSÕES INTERNAS: 0,30 X 1,00 X 1,00. AF_12/2020</t>
  </si>
  <si>
    <t>EXECUÇÃO DE PAVIMENTO EM PISO INTERTRAVADO, COM BLOCO RETANGULAR COLORIDO DE 20 X 10 CM, ESPESSURA 8 CM. AF_10/2022</t>
  </si>
  <si>
    <t>EXECUÇÃO DE PAVIMENTO EM PISO INTERTRAVADO, COM BLOCO RETANGULAR COR NATURAL DE 20 X 10 CM, ESPESSURA 6 CM. AF_10/2022</t>
  </si>
  <si>
    <t>ASSENTAMENTO DE GUIA (MEIO-FIO) EM TRECHO CURVO, CONFECCIONADA EM CONCRETO PRÉ-FABRICADO, DIMENSÕES 100X15X13X30 CM (COMPRIMENTO X BASE INFERIOR X BASE SUPERIOR X ALTURA). AF_01/2024</t>
  </si>
  <si>
    <t>ASSENTAMENTO DE GUIA (MEIO-FIO) EM TRECHO RETO, CONFECCIONADA EM CONCRETO PRÉ-FABRICADO, DIMENSÕES 100X15X13X30 CM (COMPRIMENTO X BASE INFERIOR X BASE SUPERIOR X ALTURA). AF_01/2024</t>
  </si>
  <si>
    <t>EXECUÇÃO E COMPACTAÇÃO DE CORPO DE ATERRO (95% DE ENERGIA DO PROCTOR NORMAL) COM SOLO PREDOMINANTEMENTE ARENOSO, EM CAMADAS COM ESPESSURA DE 20 CM - EXCLUSIVE ESCAVAÇÃO, CARGA E TRANSPORTE E SOLO. AF_09/2024</t>
  </si>
  <si>
    <t>TRANSPORTE COM CAMINHÃO BASCULANTE DE 14 M³, EM VIA URBANA PAVIMENTADA, DMT ATÉ 30 KM (UNIDADE: M3XKM). AF_02/2026</t>
  </si>
  <si>
    <t>PLANTIO DE GRAMA ESMERALDA OU SÃO CARLOS OU CURITIBANA, EM PLACAS. AF_07/2024</t>
  </si>
  <si>
    <t>CAIXA ENTERRADA ELÉTRICA RETANGULAR, EM CONCRETO PRÉ-MOLDADO, FUNDO COM BRITA, DIMENSÕES INTERNAS: 0,3X0,3X0,3 M. AF_12/2020</t>
  </si>
  <si>
    <t>POSTE DE AÇO CÔNICO CONTÍNUO CURVO DUPLO, ENGASTAMENTO SIMPLES COM 1 M DE SOLO, H=9M - FORNECIMENTO E INSTALAÇÃO. AF_04/2025</t>
  </si>
  <si>
    <t>CABO DE COBRE FLEXÍVEL ISOLADO, 2,5 MM², ANTI-CHAMA 0,6/1,0 KV, PARA CIRCUITOS TERMINAIS - FORNECIMENTO E INSTALAÇÃO. AF_03/2023</t>
  </si>
  <si>
    <t>ELETRODUTO FLEXÍVEL CORRUGADO, PEAD, DN 50 (1 1/2"), PARA REDE ENTERRADA DE DISTRIBUIÇÃO DE ENERGIA ELÉTRICA - FORNECIMENTO E INSTALAÇÃO. AF_12/2021</t>
  </si>
  <si>
    <t>LUMINÁRIA DE LED PARA ILUMINAÇÃO PÚBLICA, DE 138 W ATÉ 180 W - FORNECIMENTO E INSTALAÇÃO. AF_02/2025_PS</t>
  </si>
  <si>
    <t>RELÉ FOTOELÉTRICO PARA COMANDO DE ILUMINAÇÃO EXTERNA 1000 W - FORNECIMENTO E INSTALAÇÃO. AF_02/2025</t>
  </si>
  <si>
    <t>1.4.</t>
  </si>
  <si>
    <t>1.4.0.1.</t>
  </si>
  <si>
    <t>1.4.0.2.</t>
  </si>
  <si>
    <t>1.4.0.3.</t>
  </si>
  <si>
    <t>1.4.0.4.</t>
  </si>
  <si>
    <t>1.4.0.5.</t>
  </si>
  <si>
    <t>1.5.</t>
  </si>
  <si>
    <t>1.5.0.1.</t>
  </si>
  <si>
    <t>1.5.0.2.</t>
  </si>
  <si>
    <t>1.5.0.3.</t>
  </si>
  <si>
    <t>1.5.0.4.</t>
  </si>
  <si>
    <t>1.6.</t>
  </si>
  <si>
    <t>1.6.0.1.</t>
  </si>
  <si>
    <t>1.6.0.2.</t>
  </si>
  <si>
    <t>1.6.0.3.</t>
  </si>
  <si>
    <t>1.6.0.4.</t>
  </si>
  <si>
    <t>1.7.</t>
  </si>
  <si>
    <t>1.7.0.1.</t>
  </si>
  <si>
    <t>1.7.0.2.</t>
  </si>
  <si>
    <t>1.7.0.3.</t>
  </si>
  <si>
    <t>1.8.</t>
  </si>
  <si>
    <t>1.8.0.1.</t>
  </si>
  <si>
    <t>1.8.0.2.</t>
  </si>
  <si>
    <t>1.8.0.3.</t>
  </si>
  <si>
    <t>1.8.0.4.</t>
  </si>
  <si>
    <t>1.8.0.5.</t>
  </si>
  <si>
    <t>1.8.0.6.</t>
  </si>
  <si>
    <t>RESERVATÓRIO METÁLICO, TIPO TAÇA COM ÁGUA NA COLUNA E CAPACIDADE IGUAL A 10.000 L - FORNECIMENTO E INSTALAÇÃO. AF_12/2025</t>
  </si>
  <si>
    <t>TUBO, PVC, SOLDÁVEL, DE 25MM, INSTALADO EM RAMAL OU SUB-RAMAL DE ÁGUA - FORNECIMENTO E INSTALAÇÃO. AF_06/2022</t>
  </si>
  <si>
    <t>JOELHO 90 GRAUS, PVC, SOLDÁVEL, DN 25MM, INSTALADO EM RAMAL OU SUB-RAMAL DE ÁGUA - FORNECIMENTO E INSTALAÇÃO. AF_06/2022</t>
  </si>
  <si>
    <t>JOELHO 90 GRAUS COM BUCHA DE LATÃO, PVC, SOLDÁVEL, DN 25MM, X 3/4 INSTALADO EM RAMAL OU SUB-RAMAL DE ÁGUA - FORNECIMENTO E INSTALAÇÃO. AF_06/2022</t>
  </si>
  <si>
    <t>TE, PVC, SOLDÁVEL, DN 25MM, INSTALADO EM RAMAL OU SUB-RAMAL DE ÁGUA - FORNECIMENTO E INSTALAÇÃO. AF_06/2022</t>
  </si>
  <si>
    <t>LUVA, PVC, SOLDÁVEL, DN 25MM, INSTALADO EM RAMAL OU SUB-RAMAL DE ÁGUA - FORNECIMENTO E INSTALAÇÃO. AF_06/2022</t>
  </si>
  <si>
    <t>TORNEIRA CROMADA 1/2" OU 3/4" PARA TANQUE, PADRÃO MÉDIO - FORNECIMENTO E INSTALAÇÃO. AF_02/2026</t>
  </si>
  <si>
    <t>LOCAÇÃO CONVENCIONAL DE OBRA, UTILIZANDO GABARITO DE TÁBUAS CORRIDAS PONTALETADAS A CADA 2,00M - 2 UTILIZAÇÕES. AF_03/2024</t>
  </si>
  <si>
    <t>ESTACA ESCAVADA MECANICAMENTE, SEM FLUIDO ESTABILIZANTE, COM 25 CM DE DIÂMETRO, PERFURATRIZ MONTADA SOBRE CAMINHÃO E CONCRETO FCK 25 MPA LANÇADO POR CAMINHÃO BETONEIRA (EXCLUSIVE ARMADURA, MOBILIZAÇÃO E DESMOBILIZAÇÃO). AF_05/2026</t>
  </si>
  <si>
    <t>MONTAGEM DE ARMADURA DE ESTACAS, DIÂMETRO = 10,0 MM. AF_09/2021_PS</t>
  </si>
  <si>
    <t>MONTAGEM DE ARMADURA TRANSVERSAL DE ESTACAS DE SEÇÃO CIRCULAR, DIÂMETRO = 5,0 MM. AF_09/2021_PS</t>
  </si>
  <si>
    <t>ARMAÇÃO DE SAPATA ISOLADA, VIGA BALDRAME E SAPATA CORRIDA UTILIZANDO AÇO CA-60 DE 5 MM - MONTAGEM. AF_01/2024</t>
  </si>
  <si>
    <t>ARMAÇÃO DE SAPATA ISOLADA, VIGA BALDRAME E SAPATA CORRIDA UTILIZANDO AÇO CA-50 DE 10 MM - MONTAGEM. AF_01/2024</t>
  </si>
  <si>
    <t>ARMAÇÃO DE SAPATA ISOLADA, VIGA BALDRAME E SAPATA CORRIDA UTILIZANDO AÇO CA-50 DE 8 MM - MONTAGEM. AF_01/2024</t>
  </si>
  <si>
    <t>CONCRETAGEM DE BLOCO DE COROAMENTO OU VIGA BALDRAME, FCK 30 MPA, COM USO DE BOMBA - LANÇAMENTO, ADENSAMENTO E ACABAMENTO. AF_01/2024</t>
  </si>
  <si>
    <t>IMPERMEABILIZAÇÃO DE SUPERFÍCIE COM EMULSÃO ASFÁLTICA, 2 DEMÃOS. AF_09/2023</t>
  </si>
  <si>
    <t>1.9.</t>
  </si>
  <si>
    <t>1.9.0.1.</t>
  </si>
  <si>
    <t>1.9.0.2.</t>
  </si>
  <si>
    <t>1.9.0.3.</t>
  </si>
  <si>
    <t>1.9.0.4.</t>
  </si>
  <si>
    <t>1.9.0.5.</t>
  </si>
  <si>
    <t>1.9.0.6.</t>
  </si>
  <si>
    <t>1.9.0.7.</t>
  </si>
  <si>
    <t>1.10.</t>
  </si>
  <si>
    <t>1.10.1.</t>
  </si>
  <si>
    <t>1.10.1.1.</t>
  </si>
  <si>
    <t>1.10.2.</t>
  </si>
  <si>
    <t>1.10.2.1.</t>
  </si>
  <si>
    <t>1.10.2.2.</t>
  </si>
  <si>
    <t>1.10.2.3.</t>
  </si>
  <si>
    <t>1.10.2.4.</t>
  </si>
  <si>
    <t>1.10.2.5.</t>
  </si>
  <si>
    <t>1.10.2.6.</t>
  </si>
  <si>
    <t>1.10.2.7.</t>
  </si>
  <si>
    <t>1.10.2.8.</t>
  </si>
  <si>
    <t>1.10.2.9.</t>
  </si>
  <si>
    <t>EXECUÇÃO DE PASSEIO (CALÇADA) OU PISO DE CONCRETO COM CONCRETO MOLDADO IN LOCO, USINADO, ACABAMENTO CONVENCIONAL, ESPESSURA 6 CM, ARMADO. AF_08/2022</t>
  </si>
  <si>
    <t>FABRICAÇÃO DE FÔRMA PARA PILARES E ESTRUTURAS SIMILARES, EM MADEIRA SERRADA, E=25 MM. AF_09/2020</t>
  </si>
  <si>
    <t>CONCRETAGEM DE PILARES, FCK = 25 MPA, COM USO DE BOMBA - LANÇAMENTO, ADENSAMENTO E ACABAMENTO. AF_02/2022_PS</t>
  </si>
  <si>
    <t>ARMAÇÃO DE PILAR OU VIGA DE ESTRUTURA CONVENCIONAL DE CONCRETO ARMADO UTILIZANDO AÇO CA-50 DE 8,0 MM - MONTAGEM. AF_06/2022</t>
  </si>
  <si>
    <t>FABRICAÇÃO DE FÔRMA PARA VIGAS, EM CHAPA DE MADEIRA COMPENSADA RESINADA, E = 17 MM. AF_09/2020</t>
  </si>
  <si>
    <t>CONCRETAGEM DE VIGAS E LAJES, FCK=25 MPA, PARA LAJES MACIÇAS OU NERVURADAS COM USO DE BOMBA - LANÇAMENTO, ADENSAMENTO E ACABAMENTO. AF_02/2022_PS</t>
  </si>
  <si>
    <t>ALVENARIA DE VEDAÇÃO DE BLOCOS CERÂMICOS FURADOS NA HORIZONTAL DE 11,5X19X29 CM (ESPESSURA 11,5 CM) E ARGAMASSA DE ASSENTAMENTO COM PREPARO EM BETONEIRA. AF_12/2021</t>
  </si>
  <si>
    <t>VERGA MOLDADA IN LOCO EM CONCRETO, ESPESSURA DE *10* CM. AF_03/2024</t>
  </si>
  <si>
    <t>CONTRAVERGA MOLDADA IN LOCO EM CONCRETO, ESPESSURA DE *10* CM. AF_03/2024</t>
  </si>
  <si>
    <t>DIVISORIA SANITÁRIA, EM GRANITO CINZA POLIDO, ESP = 3CM, ASSENTADO COM ARGAMASSA COLANTE AC III-E. AF_10/2025</t>
  </si>
  <si>
    <t>LAJE PRÉ-MOLDADA UNIDIRECIONAL, BIAPOIADA, PARA FORRO, ENCHIMENTO EM CERÂMICA, VIGOTA TRELIÇADA, ALTURA TOTAL DA LAJE "LT" = 12 CM (ENCHIMENTO+CAPA) = (8+4). AF_08/2025</t>
  </si>
  <si>
    <t>IMPERMEABILIZAÇÃO DE SUPERFÍCIE COM MEMBRANA À BASE DE POLIURETANO, 2 DEMÃOS. AF_09/2023</t>
  </si>
  <si>
    <t>CHAPISCO APLICADO EM ALVENARIA (COM PRESENÇA DE VÃOS) E ESTRUTURAS DE CONCRETO DE FACHADA, COM COLHER DE PEDREIRO. ARGAMASSA TRAÇO 1:3 COM PREPARO EM BETONEIRA 400L. AF_10/2022</t>
  </si>
  <si>
    <t>CHAPISCO APLICADO EM ALVENARIAS E ESTRUTURAS DE CONCRETO INTERNAS, COM COLHER DE PEDREIRO. ARGAMASSA TRAÇO 1:3 COM PREPARO EM BETONEIRA 400L. AF_10/2022</t>
  </si>
  <si>
    <t>MASSA ÚNICA, EM ARGAMASSA TRAÇO 1:2:8 PREPARO MECÂNICO, APLICADA MANUALMENTE EM PAREDES INTERNAS DE AMBIENTES COM ÁREA MAIOR QUE 10M², E = 10MM, COM TALISCAS. AF_03/2024</t>
  </si>
  <si>
    <t>EMBOÇO OU MASSA ÚNICA EM ARGAMASSA TRAÇO 1:2:8, PREPARO MECÂNICA COM BETONEIRA 400 L, APLICADA MANUALMENTE EM PANOS DE FACHADA COM PRESENÇA DE VÃOS, ESPESSURA DE 25 MM, ACESSO POR ANDAIME. AF_08/2022</t>
  </si>
  <si>
    <t>REVESTIMENTO CERÂMICO PARA PAREDES INTERNAS COM PLACAS TIPO ESMALTADA DE DIMENSÕES 60X60 CM APLICADAS NA ALTURA INTEIRA DAS PAREDES. AF_02/2023_PE</t>
  </si>
  <si>
    <t>IMPERMEABILIZAÇÃO DE SUPERFÍCIE COM ARGAMASSA POLIMÉRICA / MEMBRANA ACRÍLICA, 3 DEMÃOS. AF_09/2023</t>
  </si>
  <si>
    <t>1.10.3.</t>
  </si>
  <si>
    <t>1.10.3.1.</t>
  </si>
  <si>
    <t>1.10.3.2.</t>
  </si>
  <si>
    <t>1.10.3.3.</t>
  </si>
  <si>
    <t>1.10.3.4.</t>
  </si>
  <si>
    <t>1.10.3.5.</t>
  </si>
  <si>
    <t>1.10.4.</t>
  </si>
  <si>
    <t>1.10.4.1.</t>
  </si>
  <si>
    <t>1.10.4.2.</t>
  </si>
  <si>
    <t>1.10.4.3.</t>
  </si>
  <si>
    <t>1.10.4.4.</t>
  </si>
  <si>
    <t>1.10.4.5.</t>
  </si>
  <si>
    <t>1.10.4.6.</t>
  </si>
  <si>
    <t>1.10.4.7.</t>
  </si>
  <si>
    <t>1.10.5.</t>
  </si>
  <si>
    <t>1.10.5.1.</t>
  </si>
  <si>
    <t>1.10.5.2.</t>
  </si>
  <si>
    <t>1.10.5.3.</t>
  </si>
  <si>
    <t>1.10.5.4.</t>
  </si>
  <si>
    <t>1.10.6.</t>
  </si>
  <si>
    <t>1.10.6.1.</t>
  </si>
  <si>
    <t>1.10.6.2.</t>
  </si>
  <si>
    <t>1.10.7.</t>
  </si>
  <si>
    <t>1.10.7.1.</t>
  </si>
  <si>
    <t>1.10.7.2.</t>
  </si>
  <si>
    <t>1.10.7.3.</t>
  </si>
  <si>
    <t>1.10.7.4.</t>
  </si>
  <si>
    <t>1.10.7.5.</t>
  </si>
  <si>
    <t>1.10.7.6.</t>
  </si>
  <si>
    <t>CONTRAPISO EM ARGAMASSA TRAÇO 1:4 (CIMENTO E AREIA), PREPARO MECÂNICO COM BETONEIRA 400 L, APLICADO EM ÁREAS MOLHADAS SOBRE IMPERMEABILIZAÇÃO, ACABAMENTO NÃO REFORÇADO, ESPESSURA 3CM. AF_07/2021</t>
  </si>
  <si>
    <t>REVESTIMENTO CERÂMICO PARA PISO COM PLACAS TIPO ESMALTADA DE DIMENSÕES 60X60 CM APLICADA EM AMBIENTES DE ÁREA MAIOR QUE 10 M2. AF_02/2023_PE</t>
  </si>
  <si>
    <t>TUBO, PVC, SOLDÁVEL, DE 25MM, INSTALADO EM RAMAL DE DISTRIBUIÇÃO DE ÁGUA - FORNECIMENTO E INSTALAÇÃO. AF_06/2022</t>
  </si>
  <si>
    <t>JOELHO 90 GRAUS, PVC, SOLDÁVEL, DN 25MM, INSTALADO EM RAMAL DE DISTRIBUIÇÃO DE ÁGUA - FORNECIMENTO E INSTALAÇÃO. AF_06/2022</t>
  </si>
  <si>
    <t>REGISTRO DE ESFERA, PVC, SOLDÁVEL, COM VOLANTE, DN 25 MM - FORNECIMENTO E INSTALAÇÃO. AF_08/2021</t>
  </si>
  <si>
    <t>TE, PVC, SOLDÁVEL, DN 25MM, INSTALADO EM RAMAL DE DISTRIBUIÇÃO DE ÁGUA - FORNECIMENTO E INSTALAÇÃO. AF_06/2022</t>
  </si>
  <si>
    <t>TUBO PVC, SERIE NORMAL, ESGOTO PREDIAL, DN 100 MM,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</si>
  <si>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</si>
  <si>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JUNÇÃO SIMPLES, PVC, SERIE NORMAL, ESGOTO PREDIAL, DN 100 X 100 MM, JUNTA ELÁSTICA,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</si>
  <si>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</si>
  <si>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</si>
  <si>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RALO SIFONADO REDONDO, PVC, DN 100 X 40 MM, JUNTA SOLDÁVEL, FORNECIDO E INSTALADO EM RAMAL DE DESCARGA OU EM RAMAL DE ESGOTO SANITÁRIO. AF_08/2022</t>
  </si>
  <si>
    <t>TUBO PVC, SERIE NORMAL, ESGOTO PREDIAL, DN 40 MM,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</si>
  <si>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</si>
  <si>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CAIXA ENTERRADA HIDRÁULICA RETANGULAR, EM ALVENARIA COM BLOCOS DE CONCRETO, DIMENSÕES INTERNAS: 0,6X0,6X0,6 M PARA REDE DE ESGOTO. AF_12/2020</t>
  </si>
  <si>
    <t>TANQUE SÉPTICO RETANGULAR, EM ALVENARIA COM BLOCOS DE CONCRETO, DIMENSÕES INTERNAS: 1,2 X 2,4 X H=1,6 M, VOLUME ÚTIL: 3456 L (PARA 13 CONTRIBUINTES). AF_12/2020</t>
  </si>
  <si>
    <t>FILTRO ANAERÓBIO RETANGULAR, EM ALVENARIA COM BLOCOS DE CONCRETO, DIMENSÕES INTERNAS: 1,2 X 1,8 X H=1,67 M, VOLUME ÚTIL: 2592 L (PARA 13 CONTRIBUINTES). AF_12/2020</t>
  </si>
  <si>
    <t>QUADRO DE DISTRIBUIÇÃO DE ENERGIA EM PVC, DE EMBUTIR, SEM BARRAMENTO, PARA 3 DISJUNTORES - FORNECIMENTO E INSTALAÇÃO. AF_07/2025</t>
  </si>
  <si>
    <t>DISJUNTOR MONOPOLAR TIPO DIN, CORRENTE NOMINAL DE 10A - FORNECIMENTO E INSTALAÇÃO. AF_07/2025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</si>
  <si>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</si>
  <si>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</si>
  <si>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ELETRODUTO FLEXÍVEL CORRUGADO, PVC, DN 20 MM (1/2"), PARA CIRCUITOS TERMINAIS, INSTALADO EM FORRO - FORNECIMENTO E INSTALAÇÃO. AF_03/2023</t>
  </si>
  <si>
    <t>ELETRODUTO FLEXÍVEL CORRUGADO, PVC, DN 20 MM (1/2"), PARA CIRCUITOS TERMINAIS, INSTALADO EM PAREDE - FORNECIMENTO E INSTALAÇÃO. AF_03/2023</t>
  </si>
  <si>
    <t>CAIXA RETANGULAR 4" X 2" MÉDIA (1,30 M DO PISO), PVC, INSTALADA EM PAREDE - FORNECIMENTO E INSTALAÇÃO. AF_03/2023</t>
  </si>
  <si>
    <t>KIT DE PORTA DE MADEIRA PARA PINTURA, MACIÇA (PESADA OU SUPERPESADA), PADRÃO MÉDIO, 90X210CM, ESPESSURA DE 3,5CM, ITENS INCLUSOS: DOBRADIÇAS, MONTAGEM E INSTALAÇÃO DO BATENTE, FECHADURA COM EXECUÇÃO DO FURO - FORNECIMENTO E INSTALAÇÃO. AF_10/2025</t>
  </si>
  <si>
    <t>PORTA EM ALUMÍNIO DE ABRIR TIPO VENEZIANA COM GUARNIÇÃO, FIXAÇÃO COM PARAFUSOS - FORNECIMENTO E INSTALAÇÃO. AF_10/2025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</si>
  <si>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</si>
  <si>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1.10.8.</t>
  </si>
  <si>
    <t>1.10.8.1.</t>
  </si>
  <si>
    <t>1.10.8.2.</t>
  </si>
  <si>
    <t>1.10.8.3.</t>
  </si>
  <si>
    <t>1.10.9.</t>
  </si>
  <si>
    <t>1.10.9.1.</t>
  </si>
  <si>
    <t>1.10.9.2.</t>
  </si>
  <si>
    <t>1.10.9.3.</t>
  </si>
  <si>
    <t>1.10.9.4.</t>
  </si>
  <si>
    <t>1.10.9.5.</t>
  </si>
  <si>
    <t>1.10.9.6.</t>
  </si>
  <si>
    <t>1.10.9.7.</t>
  </si>
  <si>
    <t>1.10.9.8.</t>
  </si>
  <si>
    <t>1.10.9.9.</t>
  </si>
  <si>
    <t>1.10.9.10.</t>
  </si>
  <si>
    <t>1.10.9.11.</t>
  </si>
  <si>
    <t>1.10.9.12.</t>
  </si>
  <si>
    <t>1.10.9.13.</t>
  </si>
  <si>
    <t>1.10.9.14.</t>
  </si>
  <si>
    <t>1.10.9.15.</t>
  </si>
  <si>
    <t>1.10.9.16.</t>
  </si>
  <si>
    <t>1.10.10.</t>
  </si>
  <si>
    <t>1.10.10.1.</t>
  </si>
  <si>
    <t>1.10.10.2.</t>
  </si>
  <si>
    <t>1.10.10.3.</t>
  </si>
  <si>
    <t>1.10.10.4.</t>
  </si>
  <si>
    <t>1.10.10.5.</t>
  </si>
  <si>
    <t>1.10.10.6.</t>
  </si>
  <si>
    <t>1.10.10.7.</t>
  </si>
  <si>
    <t>1.10.11.</t>
  </si>
  <si>
    <t>1.10.11.1.</t>
  </si>
  <si>
    <t>1.10.11.2.</t>
  </si>
  <si>
    <t>1.10.11.3.</t>
  </si>
  <si>
    <t>BACIA SANITÁRIA COM CAIXA ACOPLADA, LOUÇA BRANCA - PADRÃO ALTO - FORNECIMENTO E INSTALAÇÃO. AF_02/2026</t>
  </si>
  <si>
    <t>BACIA SANITÁRIA EM LOUÇA BRANCA PARA PCD SEM FURO FRONTAL, COM TUBO DE LIGAÇÃO CROMADO, SEM ASSENTO - FORNECIMENTO E INSTALAÇÃO. AF_02/2026_PS</t>
  </si>
  <si>
    <t>ASSENTO SANITÁRIO CONVENCIONAL - FORNECIMENTO E INSTALAÇÃO. AF_02/2026</t>
  </si>
  <si>
    <t>LAVATÓRIO DE CANTO LOUÇA BRANCA SUSPENSO, *40 X 30* CM OU EQUIVALENTE, PADRÃO POPULAR, INCLUSO SIFÃO FLEXÍVEL EM PVC, VÁLVULA E ENGATE FLEXÍVEL 30 CM EM PLÁSTICO E TORNEIRA CROMADA DE MESA, PADRÃO POPULAR - FORNECIMENTO E INSTALAÇÃO. AF_02/2026</t>
  </si>
  <si>
    <t>BANCADA DE GRANITO CINZA POLIDO, DE 2,00 X 0,60 M, PARA LAVATÓRIO - FORNECIMENTO E INSTALAÇÃO. AF_02/2026</t>
  </si>
  <si>
    <t>LAVATÓRIO LOUÇA BRANCA SUSPENSO, *40 X 30* CM OU EQUIVALENTE, PADRÃO POPULAR, INCLUSO SIFÃO FLEXÍVEL EM PVC, VÁLVULA E ENGATE FLEXÍVEL 30 CM EM PLÁSTICO E TORNEIRA CROMADA DE MESA, PADRÃO POPULAR - FORNECIMENTO E INSTALAÇÃO. AF_02/2026</t>
  </si>
  <si>
    <t>BARRA DE APOIO RETA, EM AÇO INOX POLIDO, COMPRIMENTO 80 CM, FIXADA NA PAREDE - FORNECIMENTO E INSTALAÇÃO. AF_02/2026</t>
  </si>
  <si>
    <t>FUNDO SELADOR ACRÍLICO, APLICAÇÃO MANUAL EM PAREDE, UMA DEMÃO. AF_04/2023</t>
  </si>
  <si>
    <t>PINTURA FUNDO NIVELADOR ALQUÍDICO BRANCO EM MADEIRA. AF_01/2021</t>
  </si>
  <si>
    <t>PINTURA LÁTEX ACRÍLICA PREMIUM, APLICAÇÃO MANUAL EM PAREDES, DUAS DEMÃOS. AF_04/2023</t>
  </si>
  <si>
    <t>PINTURA TINTA DE ACABAMENTO (PIGMENTADA) ESMALTE SINTÉTICO ACETINADO EM MADEIRA, 2 DEMÃOS. AF_01/2021</t>
  </si>
  <si>
    <t>LIMPEZA DE BACIA SANITÁRIA, BIDÊ OU MICTÓRIO EM LOUÇA, INCLUSIVE METAIS CORRESPONDENTES. AF_10/2025_PS</t>
  </si>
  <si>
    <t>LIMPEZA DE BANCADA COM PLACA DE ROCHA E CUBA DE LOUÇA, INCLUSIVE METAIS CORRESPONDENTES. AF_10/2025_PS</t>
  </si>
  <si>
    <t>LIMPEZA DE JANELA DE VIDRO COM CAIXILHO EM AÇO/ALUMÍNIO/PVC. AF_10/2025_PS</t>
  </si>
  <si>
    <t>LIMPEZA DE PISO CERÂMICO OU PORCELANATO COM VASSOURA A SECO. AF_10/2025</t>
  </si>
  <si>
    <t>LIMPEZA DE PISO CERÂMICO OU PORCELANATO COM PANO ÚMIDO. AF_10/2025_PS</t>
  </si>
  <si>
    <t>LIMPEZA DE PORTA DE MADEIRA. AF_10/2025_PS</t>
  </si>
  <si>
    <t>LIMPEZA DE PORTA EM AÇO/ALUMÍNIO. AF_10/2025_PS</t>
  </si>
  <si>
    <t>LIMPEZA DE REVESTIMENTO CERÂMICO EM PAREDE COM PANO ÚMIDO. AF_10/2025_PS</t>
  </si>
  <si>
    <t>ALVENARIA DE EMBASAMENTO COM BLOCO ESTRUTURAL DE CONCRETO, DE 14X19X29CM E ARGAMASSA DE ASSENTAMENTO COM PREPARO EM BETONEIRA. AF_05/2020</t>
  </si>
  <si>
    <t>MONTAGEM E DESMONTAGEM DE FÔRMA DE PILARES RETANGULARES E ESTRUTURAS SIMILARES, PÉ-DIREITO SIMPLES, EM MADEIRA SERRADA, 4 UTILIZAÇÕES. AF_09/2020</t>
  </si>
  <si>
    <t>CONCRETAGEM DE VIGAS E LAJES, FCK=25 MPA, PARA LAJES PREMOLDADAS COM USO DE BOMBA - LANÇAMENTO, ADENSAMENTO E ACABAMENTO. AF_02/2022_PS</t>
  </si>
  <si>
    <t>LAJE PRÉ-MOLDADA UNIDIRECIONAL, BIAPOIADA, PARA FORRO, ENCHIMENTO EM CERÂMICA, VIGOTA CONVENCIONAL, ALTURA TOTAL DA LAJE "LT" = 12 CM (ENCHIMENTO+CAPA) = (8+4). AF_08/2025</t>
  </si>
  <si>
    <t>MONTAGEM E DESMONTAGEM DE FÔRMA PARA ESCADAS, COM 1 LANCE E LAJE PLANA, EM MADEIRA SERRADA, 1 UTILIZAÇÃO. AF_11/2020</t>
  </si>
  <si>
    <t>ARMAÇÃO DE ESCADA, DE UMA ESTRUTURA CONVENCIONAL DE CONCRETO ARMADO UTILIZANDO AÇO CA-50 DE 10,0 MM - MONTAGEM. AF_11/2020</t>
  </si>
  <si>
    <t>ARMAÇÃO DE ESCADA, DE UMA ESTRUTURA CONVENCIONAL DE CONCRETO ARMADO UTILIZANDO AÇO CA-60 DE 5,0 MM - MONTAGEM. AF_11/2020</t>
  </si>
  <si>
    <t>CONCRETAGEM DE ESCADAS, FCK=25 MPA, COM USO DE BOMBA - LANÇAMENTO, ADENSAMENTO E ACABAMENTO. AF_02/2022_PS</t>
  </si>
  <si>
    <t>1.10.12.</t>
  </si>
  <si>
    <t>1.10.12.1.</t>
  </si>
  <si>
    <t>1.10.12.2.</t>
  </si>
  <si>
    <t>1.10.12.3.</t>
  </si>
  <si>
    <t>1.10.12.4.</t>
  </si>
  <si>
    <t>1.10.12.5.</t>
  </si>
  <si>
    <t>1.10.12.6.</t>
  </si>
  <si>
    <t>1.10.12.7.</t>
  </si>
  <si>
    <t>1.10.13.</t>
  </si>
  <si>
    <t>1.10.13.1.</t>
  </si>
  <si>
    <t>1.10.13.2.</t>
  </si>
  <si>
    <t>1.10.13.3.</t>
  </si>
  <si>
    <t>1.10.13.4.</t>
  </si>
  <si>
    <t>1.10.14.</t>
  </si>
  <si>
    <t>1.10.14.1.</t>
  </si>
  <si>
    <t>1.10.14.2.</t>
  </si>
  <si>
    <t>1.10.14.3.</t>
  </si>
  <si>
    <t>1.10.14.4.</t>
  </si>
  <si>
    <t>1.10.14.5.</t>
  </si>
  <si>
    <t>1.10.14.6.</t>
  </si>
  <si>
    <t>1.10.14.7.</t>
  </si>
  <si>
    <t>1.10.14.8.</t>
  </si>
  <si>
    <t>1.11.</t>
  </si>
  <si>
    <t>1.11.1.</t>
  </si>
  <si>
    <t>1.11.1.1.</t>
  </si>
  <si>
    <t>1.11.1.2.</t>
  </si>
  <si>
    <t>1.11.1.3.</t>
  </si>
  <si>
    <t>1.11.1.4.</t>
  </si>
  <si>
    <t>1.11.2.</t>
  </si>
  <si>
    <t>1.11.2.1.</t>
  </si>
  <si>
    <t>1.11.2.2.</t>
  </si>
  <si>
    <t>1.11.2.3.</t>
  </si>
  <si>
    <t>1.11.2.4.</t>
  </si>
  <si>
    <t>1.11.2.5.</t>
  </si>
  <si>
    <t>1.11.2.6.</t>
  </si>
  <si>
    <t>1.11.2.7.</t>
  </si>
  <si>
    <t>1.11.2.8.</t>
  </si>
  <si>
    <t>1.11.2.9.</t>
  </si>
  <si>
    <t>1.11.2.10.</t>
  </si>
  <si>
    <t>1.11.2.11.</t>
  </si>
  <si>
    <t>1.11.2.12.</t>
  </si>
  <si>
    <t>CONTRAPISO EM ARGAMASSA TRAÇO 1:4 (CIMENTO E AREIA), PREPARO MANUAL, APLICADO EM ÁREAS SECAS SOBRE LAJE, ADERIDO, ACABAMENTO NÃO REFORÇADO, ESPESSURA 3CM. AF_07/2021</t>
  </si>
  <si>
    <t>REVESTIMENTO CERÂMICO PARA PISO COM PLACAS TIPO ESMALTADA DE DIMENSÕES 80X80 CM APLICADA EM AMBIENTES DE ÁREA MAIOR QUE 10 M². AF_02/2023_PE</t>
  </si>
  <si>
    <t>SOLEIRA EM MÁRMORE, LARGURA 15 CM, ESPESSURA 2,0 CM. AF_02/2026</t>
  </si>
  <si>
    <t>Estrutura em perfil de aço ASTM A36 corte, solda e montagem - fornecimento e instalação</t>
  </si>
  <si>
    <t>Chumbador tipo espera em aço CA-25 para fixação de estrutura metálica em concreto - fornecimento e instalação</t>
  </si>
  <si>
    <t>PINTURA COM TINTA ALQUÍDICA DE FUNDO (TIPO ZARCÃO) APLICADA A ROLO OU PINCEL SOBRE PERFIL METÁLICO EXECUTADO EM FÁBRICA (POR DEMÃO). AF_01/2020</t>
  </si>
  <si>
    <t>PINTURA COM TINTA ALQUÍDICA DE ACABAMENTO (ESMALTE SINTÉTICO ACETINADO) APLICADA A ROLO OU PINCEL SOBRE PERFIL METÁLICO EXECUTADO EM FÁBRICA (POR DEMÃO). AF_01/2020</t>
  </si>
  <si>
    <t>REVESTIMENTOS, BASES E CAPITÉIS DOS PILARES METÁLICOS</t>
  </si>
  <si>
    <t>ARCOS E ARABESCOS FLORAIS SOB A COBERTURA</t>
  </si>
  <si>
    <t>TELHAMENTO COM TELHA DE AÇO TRAPEZOIDAL 0,50 MM, 6 ÁGUAS</t>
  </si>
  <si>
    <t>RUFO EXTERNO/INTERNO EM CHAPA DE AÇO GALVANIZADO NÚMERO 26, CORTE DE 33 CM, INCLUSO IÇAMENTO. AF_06/2026</t>
  </si>
  <si>
    <t>RUFO EM CHAPA DE AÇO GALVANIZADO NÚMERO 24, CORTE DE 25 CM, INCLUSO TRANSPORTE VERTICAL. AF_06/2026</t>
  </si>
  <si>
    <t>GUARDA-CORPO DE AÇO GALVANIZADO DE 1,10M, MONTANTES TUBULARES DE 1.1/2" ESPAÇADOS 1,20M, TRAVESSA SUPERIOR DE 2", GRADIL FORMADO POR BARRAS CHATAS DE 32X4,8MM, FIXADO COM ADESIVO ESTRUTURAL EPOXI. AF_10/2025</t>
  </si>
  <si>
    <t>ARABESCOS APLICADOS AO GUARDA-CORPO DO PALCO</t>
  </si>
  <si>
    <t>1.11.3.</t>
  </si>
  <si>
    <t>1.11.3.1.</t>
  </si>
  <si>
    <t>1.11.3.2.</t>
  </si>
  <si>
    <t>1.11.3.3.</t>
  </si>
  <si>
    <t>1.11.4.</t>
  </si>
  <si>
    <t>1.11.4.1.</t>
  </si>
  <si>
    <t>1.11.5.</t>
  </si>
  <si>
    <t>1.11.5.1.</t>
  </si>
  <si>
    <t>1.11.5.2.</t>
  </si>
  <si>
    <t>1.11.5.3.</t>
  </si>
  <si>
    <t>1.11.5.4.</t>
  </si>
  <si>
    <t>1.11.5.5.</t>
  </si>
  <si>
    <t>1.11.5.6.</t>
  </si>
  <si>
    <t>1.11.5.7.</t>
  </si>
  <si>
    <t>1.11.5.8.</t>
  </si>
  <si>
    <t>1.11.5.9.</t>
  </si>
  <si>
    <t>1.11.5.10.</t>
  </si>
  <si>
    <t>1.11.5.11.</t>
  </si>
  <si>
    <t>INSTALAÇÃO DE LIXEIRA METÁLICA DUPLA, CAPACIDADE DE 60 L, EM TUBO DE AÇO CARBONO E CESTOS EM CHAPA DE AÇO COM PINTURA ELETROSTÁTICA, SOBRE SOLO. AF_11/2021</t>
  </si>
  <si>
    <t>INSTALAÇÃO DE CONJUNTO COM MESA E QUATRO BANCOS PRÉ-FABRICADO DE CONCRETO, DIMENSÕES 90 CM X 95 CM (MESA) E 20 CM X 60 CM (BANCO), SOBRE SOLO. AF_11/2021</t>
  </si>
  <si>
    <t>INSTALAÇÃO DE ALONGADOR COM TRÊS ALTURAS, EM TUBO DE AÇO CARBONO - EQUIPAMENTO DE GINÁSTICA PARA ACADEMIA AO AR LIVRE / ACADEMIA DA TERCEIRA IDADE - ATI, INSTALADO SOBRE PISO DE CONCRETO EXISTENTE. AF_10/2021</t>
  </si>
  <si>
    <t>INSTALAÇÃO DE ESQUI TRIPLO, EM TUBO DE AÇO CARBONO - EQUIPAMENTO DE GINÁSTICA PARA ACADEMIA AO AR LIVRE / ACADEMIA DA TERCEIRA IDADE - ATI, INSTALADO SOBRE PISO DE CONCRETO EXISTENTE. AF_10/2021</t>
  </si>
  <si>
    <t>INSTALAÇÃO DE MULTIEXERCITADOR COM SEIS FUNÇÕES, EM TUBO DE AÇO CARBONO - EQUIPAMENTO DE GINÁSTICA PARA ACADEMIA AO AR LIVRE / ACADEMIA DA TERCEIRA IDADE - ATI, INSTALADO SOBRE PISO DE CONCRETO EXISTENTE. AF_10/2021</t>
  </si>
  <si>
    <t>INSTALAÇÃO DE PLACA ORIENTATIVA SOBRE EXERCÍCIOS, 2,00M X 1,00M, EM TUBO DE AÇO CARBONO - PARA ACADEMIA AO AR LIVRE / ACADEMIA DA TERCEIRA IDADE - ATI, INSTALADO SOBRE PISO DE CONCRETO EXISTENTE. AF_10/2021</t>
  </si>
  <si>
    <t>INSTALAÇÃO DE PRESSÃO DE PERNAS TRIPLO, EM TUBO DE AÇO CARBONO - EQUIPAMENTO DE GINÁSTICA PARA ACADEMIA AO AR LIVRE / ACADEMIA DA TERCEIRA IDADE - ATI, INSTALADO SOBRE PISO DE CONCRETO EXISTENTE. AF_10/2021</t>
  </si>
  <si>
    <t>INSTALAÇÃO DE ROTAÇÃO DIAGONAL DUPLA, APARELHO TRIPLO, EM TUBO DE AÇO CARBONO - EQUIPAMENTO DE GINÁSTICA PARA ACADEMIA AO AR LIVRE / ACADEMIA DA TERCEIRA IDADE - ATI, INSTALADO SOBRE PISO DE CONCRETO EXISTENTE. AF_10/2021</t>
  </si>
  <si>
    <t>INSTALAÇÃO DE ROTAÇÃO VERTICAL DUPLO, EM TUBO DE ACO CARBONO - EQUIPAMENTO DE GINASTICA PARA ACADEMIA AO AR LIVRE / ACADEMIA DA TERCEIRA IDADE - ATI, INSTALADO SOBRE PISO DE CONCRETO EXISTENTE. AF_10/2021</t>
  </si>
  <si>
    <t>INSTALAÇÃO DE SIMULADOR DE CAMINHADA TRIPLO, EM TUBO DE AÇO CARBONO - EQUIPAMENTO DE GINÁSTICA PARA ACADEMIA AO AR LIVRE / ACADEMIA DA TERCEIRA IDADE - ATI, INSTALADO SOBRE PISO DE CONCRETO EXISTENTE. AF_10/2021</t>
  </si>
  <si>
    <t>INSTALAÇÃO DE SIMULADOR DE CAVALGADA TRIPLO, EM TUBO DE AÇO CARBONO - EQUIPAMENTO DE GINÁSTICA PARA ACADEMIA AO AR LIVRE / ACADEMIA DA TERCEIRA IDADE - ATI, INSTALADO SOBRE PISO DE CONCRETO EXISTENTE. AF_10/2021</t>
  </si>
  <si>
    <t>INSTALAÇÃO DE SIMULADOR DE REMO INDIVIDUAL, EM TUBO DE AÇO CARBONO - EQUIPAMENTO DE GINÁSTICA PARA ACADEMIA AO AR LIVRE / ACADEMIA DA TERCEIRA IDADE - ATI, INSTALADO SOBRE PISO DE CONCRETO EXISTENTE. AF_10/2021</t>
  </si>
  <si>
    <t>INSTALAÇÃO DE SURF DUPLO, EM TUBO DE AÇO CARBONO - EQUIPAMENTO DE GINÁSTICA PARA ACADEMIA AO AR LIVRE / ACADEMIA DA TERCEIRA IDADE - ATI, INSTALADO SOBRE PISO DE CONCRETO EXISTENTE. AF_10/2021</t>
  </si>
  <si>
    <t>Bebedouro conjugado, elétrico, refrigeração por compressão,110v, Inox, Libell Press Side ou similar - fornecimento e instalação</t>
  </si>
  <si>
    <t>MONTAGEM E DESMONTAGEM DE FÔRMA DE LAJE MACIÇA, PÉ-DIREITO SIMPLES, EM CHAPA DE MADEIRA COMPENSADA PLASTIFICADA, 10 UTILIZAÇÕES. AF_09/2020</t>
  </si>
  <si>
    <t>MONTAGEM E DESMONTAGEM DE FÔRMA DE PILARES RETANGULARES E ESTRUTURAS SIMILARES, PÉ-DIREITO SIMPLES, EM CHAPA DE MADEIRA COMPENSADA PLASTIFICADA, 10 UTILIZAÇÕES. AF_09/2020</t>
  </si>
  <si>
    <t>ARMAÇÃO DE ESTRUTURAS DIVERSAS DE CONCRETO ARMADO, EXCETO VIGAS, PILARES, LAJES E FUNDAÇÕES, UTILIZANDO AÇO CA-50 DE 10,0 MM - MONTAGEM. AF_06/2022</t>
  </si>
  <si>
    <t>ARMAÇÃO DE ESTRUTURAS DIVERSAS DE CONCRETO ARMADO, EXCETO VIGAS, PILARES, LAJES E FUNDAÇÕES, UTILIZANDO AÇO CA-50 DE 8,0 MM - MONTAGEM. AF_06/2022</t>
  </si>
  <si>
    <t>CONCRETO USINADO BOMBEAVEL, CLASSE DE RESISTENCIA C30, COM BRITA 0 E 1, SLUMP = 130 +/- 20 MM, EXCLUI SERVICO DE BOMBEAMENTO (NBR 8953)</t>
  </si>
  <si>
    <t>LANÇAMENTO COM USO DE BALDES, ADENSAMENTO E ACABAMENTO DE CONCRETO EM ESTRUTURAS. AF_02/2022</t>
  </si>
  <si>
    <t>AREIA FINA - POSTO JAZIDA/FORNECEDOR (RETIRADO NA JAZIDA, SEM TRANSPORTE)</t>
  </si>
  <si>
    <t>TRANSPORTE COM CAMINHÃO BASCULANTE DE 10 M³, EM VIA URBANA PAVIMENTADA, DMT ATÉ 30 KM (UNIDADE: M3XKM). AF_02/2026</t>
  </si>
  <si>
    <t>PAR DE TRAVES E REDES DE FUTSAL - FORNECIMENTO E INSTALAÇÃO. AF_03/2022</t>
  </si>
  <si>
    <t>ALAMBRADO PARA QUADRA POLIESPORTIVA, ESTRUTURADO POR TUBOS DE AÇO GALVANIZADO, (MONTANTES COM DIÂMETRO 2", TRAVESSAS E ESCORAS COM DIÂMETRO 1 ¼"), COM TELA DE ARAME GALVANIZADO, FIO 10 BWG E MALHA QUADRADA 5X5CM (EXCETO MURETA). AF_12/2025</t>
  </si>
  <si>
    <t>REDE DE PROTEÇÃO HORIZONTAL PARA QUADRA POLIESPORTIVA - FORNECIMENTO E INSTALAÇÃO. AF_03/2022</t>
  </si>
  <si>
    <t>FORNECIMENTO E PLANTIO DE MUDA DE INGÁ FEIJÃO E BANANA 50CM</t>
  </si>
  <si>
    <t>FORNECIMENTO E PLANTIO DE MUDA DE IPÊ AMARELO 50CM</t>
  </si>
  <si>
    <t>FORNECIMENTO E PLANTIO DE MUDA DE IPÊ BRANCO 50CM</t>
  </si>
  <si>
    <t>FORNECIMENTO E PLANTIO DE MUDA DE CEREJEIRA DO RIO GRANDE 50CM</t>
  </si>
  <si>
    <t>FORNECIMENTO E PLANTIO DE JABOTICABEIRA</t>
  </si>
  <si>
    <t>1.12.</t>
  </si>
  <si>
    <t>1.12.0.1.</t>
  </si>
  <si>
    <t>1.12.0.2.</t>
  </si>
  <si>
    <t>1.12.0.3.</t>
  </si>
  <si>
    <t>1.12.0.4.</t>
  </si>
  <si>
    <t>1.12.0.5.</t>
  </si>
  <si>
    <t>1.12.0.6.</t>
  </si>
  <si>
    <t>1.12.0.7.</t>
  </si>
  <si>
    <t>1.12.0.8.</t>
  </si>
  <si>
    <t>1.12.0.9.</t>
  </si>
  <si>
    <t>1.12.0.10.</t>
  </si>
  <si>
    <t>1.12.0.11.</t>
  </si>
  <si>
    <t>1.12.0.12.</t>
  </si>
  <si>
    <t>1.12.0.13.</t>
  </si>
  <si>
    <t>1.12.0.14.</t>
  </si>
  <si>
    <t>1.13.</t>
  </si>
  <si>
    <t>1.13.0.1.</t>
  </si>
  <si>
    <t>1.13.0.2.</t>
  </si>
  <si>
    <t>1.13.0.3.</t>
  </si>
  <si>
    <t>1.13.0.4.</t>
  </si>
  <si>
    <t>1.13.0.5.</t>
  </si>
  <si>
    <t>1.13.0.6.</t>
  </si>
  <si>
    <t>1.14.</t>
  </si>
  <si>
    <t>1.14.0.1.</t>
  </si>
  <si>
    <t>1.14.0.2.</t>
  </si>
  <si>
    <t>1.14.0.3.</t>
  </si>
  <si>
    <t>1.14.0.4.</t>
  </si>
  <si>
    <t>1.14.0.5.</t>
  </si>
  <si>
    <t>1.15.</t>
  </si>
  <si>
    <t>1.15.0.1.</t>
  </si>
  <si>
    <t>1.15.0.2.</t>
  </si>
  <si>
    <t>1.15.0.3.</t>
  </si>
  <si>
    <t>1.15.0.4.</t>
  </si>
  <si>
    <t>1.15.0.5.</t>
  </si>
  <si>
    <t xml:space="preserve">DATA BASE DO ORÇAMENTO: 07/2026 PARA SINAPI </t>
  </si>
  <si>
    <t>MÊS</t>
  </si>
  <si>
    <t>M2</t>
  </si>
  <si>
    <t>UN</t>
  </si>
  <si>
    <t>MES</t>
  </si>
  <si>
    <t>M</t>
  </si>
  <si>
    <t>KG</t>
  </si>
  <si>
    <t>M3XKM</t>
  </si>
  <si>
    <t>SINAPI</t>
  </si>
  <si>
    <t>SICRO</t>
  </si>
  <si>
    <t>COTAÇÃO</t>
  </si>
  <si>
    <t>COMPOSIÇÃO</t>
  </si>
  <si>
    <t>COMP-01</t>
  </si>
  <si>
    <t>103689</t>
  </si>
  <si>
    <t>105007</t>
  </si>
  <si>
    <t>98525</t>
  </si>
  <si>
    <t>101509</t>
  </si>
  <si>
    <t>5044</t>
  </si>
  <si>
    <t>97741</t>
  </si>
  <si>
    <t>95675</t>
  </si>
  <si>
    <t>105115</t>
  </si>
  <si>
    <t>10775</t>
  </si>
  <si>
    <t>100576</t>
  </si>
  <si>
    <t>100896</t>
  </si>
  <si>
    <t>96555</t>
  </si>
  <si>
    <t>92759</t>
  </si>
  <si>
    <t>92762</t>
  </si>
  <si>
    <t>96536</t>
  </si>
  <si>
    <t>88315</t>
  </si>
  <si>
    <t>COT-01</t>
  </si>
  <si>
    <t>COT-02</t>
  </si>
  <si>
    <t>COT-03</t>
  </si>
  <si>
    <t>COT-04</t>
  </si>
  <si>
    <t>COT-05</t>
  </si>
  <si>
    <t>97087</t>
  </si>
  <si>
    <t>100324</t>
  </si>
  <si>
    <t>94994</t>
  </si>
  <si>
    <t>102488</t>
  </si>
  <si>
    <t>102492</t>
  </si>
  <si>
    <t>102279</t>
  </si>
  <si>
    <t>95567</t>
  </si>
  <si>
    <t>104728</t>
  </si>
  <si>
    <t>101801</t>
  </si>
  <si>
    <t>93681</t>
  </si>
  <si>
    <t>92397</t>
  </si>
  <si>
    <t>94274</t>
  </si>
  <si>
    <t>94273</t>
  </si>
  <si>
    <t>105564</t>
  </si>
  <si>
    <t>95876</t>
  </si>
  <si>
    <t>103946</t>
  </si>
  <si>
    <t>97881</t>
  </si>
  <si>
    <t>100623</t>
  </si>
  <si>
    <t>91927</t>
  </si>
  <si>
    <t>97667</t>
  </si>
  <si>
    <t>101658</t>
  </si>
  <si>
    <t>101632</t>
  </si>
  <si>
    <t>106433</t>
  </si>
  <si>
    <t>89356</t>
  </si>
  <si>
    <t>89362</t>
  </si>
  <si>
    <t>89366</t>
  </si>
  <si>
    <t>89395</t>
  </si>
  <si>
    <t>89378</t>
  </si>
  <si>
    <t>86914</t>
  </si>
  <si>
    <t>99059</t>
  </si>
  <si>
    <t>107107</t>
  </si>
  <si>
    <t>95577</t>
  </si>
  <si>
    <t>95583</t>
  </si>
  <si>
    <t>104916</t>
  </si>
  <si>
    <t>104919</t>
  </si>
  <si>
    <t>104918</t>
  </si>
  <si>
    <t>96557</t>
  </si>
  <si>
    <t>98557</t>
  </si>
  <si>
    <t>94993</t>
  </si>
  <si>
    <t>92269</t>
  </si>
  <si>
    <t>103672</t>
  </si>
  <si>
    <t>92761</t>
  </si>
  <si>
    <t>92265</t>
  </si>
  <si>
    <t>103675</t>
  </si>
  <si>
    <t>103358</t>
  </si>
  <si>
    <t>105024</t>
  </si>
  <si>
    <t>105030</t>
  </si>
  <si>
    <t>102253</t>
  </si>
  <si>
    <t>106059</t>
  </si>
  <si>
    <t>98553</t>
  </si>
  <si>
    <t>87905</t>
  </si>
  <si>
    <t>87879</t>
  </si>
  <si>
    <t>104958</t>
  </si>
  <si>
    <t>104217</t>
  </si>
  <si>
    <t>104611</t>
  </si>
  <si>
    <t>98555</t>
  </si>
  <si>
    <t>87755</t>
  </si>
  <si>
    <t>87257</t>
  </si>
  <si>
    <t>89402</t>
  </si>
  <si>
    <t>89408</t>
  </si>
  <si>
    <t>94489</t>
  </si>
  <si>
    <t>89440</t>
  </si>
  <si>
    <t>89714</t>
  </si>
  <si>
    <t>89744</t>
  </si>
  <si>
    <t>89797</t>
  </si>
  <si>
    <t>104345</t>
  </si>
  <si>
    <t>89746</t>
  </si>
  <si>
    <t>104327</t>
  </si>
  <si>
    <t>89711</t>
  </si>
  <si>
    <t>89724</t>
  </si>
  <si>
    <t>97906</t>
  </si>
  <si>
    <t>98083</t>
  </si>
  <si>
    <t>98089</t>
  </si>
  <si>
    <t>101877</t>
  </si>
  <si>
    <t>93653</t>
  </si>
  <si>
    <t>91924</t>
  </si>
  <si>
    <t>91926</t>
  </si>
  <si>
    <t>91831</t>
  </si>
  <si>
    <t>91852</t>
  </si>
  <si>
    <t>91940</t>
  </si>
  <si>
    <t>90846</t>
  </si>
  <si>
    <t>91341</t>
  </si>
  <si>
    <t>94569</t>
  </si>
  <si>
    <t>100878</t>
  </si>
  <si>
    <t>95471</t>
  </si>
  <si>
    <t>100849</t>
  </si>
  <si>
    <t>COMP-02</t>
  </si>
  <si>
    <t>106780</t>
  </si>
  <si>
    <t>86943</t>
  </si>
  <si>
    <t>100868</t>
  </si>
  <si>
    <t>88485</t>
  </si>
  <si>
    <t>102197</t>
  </si>
  <si>
    <t>88489</t>
  </si>
  <si>
    <t>102219</t>
  </si>
  <si>
    <t>99818</t>
  </si>
  <si>
    <t>99817</t>
  </si>
  <si>
    <t>99821</t>
  </si>
  <si>
    <t>99802</t>
  </si>
  <si>
    <t>99803</t>
  </si>
  <si>
    <t>99822</t>
  </si>
  <si>
    <t>99824</t>
  </si>
  <si>
    <t>99806</t>
  </si>
  <si>
    <t>101165</t>
  </si>
  <si>
    <t>92413</t>
  </si>
  <si>
    <t>103674</t>
  </si>
  <si>
    <t>101964</t>
  </si>
  <si>
    <t>102039</t>
  </si>
  <si>
    <t>95946</t>
  </si>
  <si>
    <t>95943</t>
  </si>
  <si>
    <t>103686</t>
  </si>
  <si>
    <t>87632</t>
  </si>
  <si>
    <t>104595</t>
  </si>
  <si>
    <t>98695</t>
  </si>
  <si>
    <t>2408149</t>
  </si>
  <si>
    <t>0407740</t>
  </si>
  <si>
    <t>100720</t>
  </si>
  <si>
    <t>100740</t>
  </si>
  <si>
    <t>COMP-03</t>
  </si>
  <si>
    <t>COMP-04</t>
  </si>
  <si>
    <t>COMP-05</t>
  </si>
  <si>
    <t>100327</t>
  </si>
  <si>
    <t>94231</t>
  </si>
  <si>
    <t>99844</t>
  </si>
  <si>
    <t>COMP-06</t>
  </si>
  <si>
    <t>103310</t>
  </si>
  <si>
    <t>103299</t>
  </si>
  <si>
    <t>103206</t>
  </si>
  <si>
    <t>103185</t>
  </si>
  <si>
    <t>103186</t>
  </si>
  <si>
    <t>103210</t>
  </si>
  <si>
    <t>103205</t>
  </si>
  <si>
    <t>103207</t>
  </si>
  <si>
    <t>103208</t>
  </si>
  <si>
    <t>103187</t>
  </si>
  <si>
    <t>103188</t>
  </si>
  <si>
    <t>103189</t>
  </si>
  <si>
    <t>103209</t>
  </si>
  <si>
    <t>ORSE 11149</t>
  </si>
  <si>
    <t>92526</t>
  </si>
  <si>
    <t>92431</t>
  </si>
  <si>
    <t>92919</t>
  </si>
  <si>
    <t>92917</t>
  </si>
  <si>
    <t>38406</t>
  </si>
  <si>
    <t>103670</t>
  </si>
  <si>
    <t>366</t>
  </si>
  <si>
    <t>95875</t>
  </si>
  <si>
    <t>103764</t>
  </si>
  <si>
    <t>102364</t>
  </si>
  <si>
    <t>103774</t>
  </si>
  <si>
    <t>COT-06</t>
  </si>
  <si>
    <t>COT-07</t>
  </si>
  <si>
    <t>COT-08</t>
  </si>
  <si>
    <t>COT-09</t>
  </si>
  <si>
    <t>COT-10</t>
  </si>
  <si>
    <t xml:space="preserve">POSTE VERDE APARAFUSAR RETANGULAR - 60X80 X 2,25MM 2,08M </t>
  </si>
  <si>
    <t xml:space="preserve">GRADIL VERDE FIO 4,10MM MALHA 5X20CM ALTURA 2,03M MÓDULO 2,50M </t>
  </si>
  <si>
    <t>INTERRUPTOR SIMPLES (1 MÓDULO) COM 1 TOMADA DE EMBUTIR 2P+T 10 A, INCLUINDO SUPORTE E PLACA - FORNECIMENTO E INSTALAÇÃO. AF_03/2023</t>
  </si>
  <si>
    <t>TOMADA MÉDIA DE EMBUTIR (2 MÓDULOS), 2P+T 10 A, INCLUINDO SUPORTE E PLACA - FORNECIMENTO E INSTALAÇÃO. AF_03/2023</t>
  </si>
  <si>
    <t>SENSOR DE PRESENÇA SEM FOTOCÉLULA, FIXAÇÃO EM PAREDE - FORNECIMENTO E INSTALAÇÃO. AF_09/2024</t>
  </si>
  <si>
    <t>LUMINÁRIA TIPO PLAFON CIRCULAR, DE SOBREPOR, COM LED DE 12/13 W - FORNECIMENTO E INSTALAÇÃO. AF_09/2024</t>
  </si>
  <si>
    <t>BACIA SANITÁRIA INFANTIL LOUÇA BRANCA, COM TUBO DE LIGAÇÃO CROMADO - FORNECIMENTO E INSTALAÇÃO. AF_02/2026_PS</t>
  </si>
  <si>
    <t>CORRIMÃO DUPLO FIXADO NO PISO EM AÇO INOX DE 1.1/2", MONTANTES TUBULARES 1.1/2" ESPAÇADOS DE 1,00M, FIXADO COM CHUMBADOR MECÂNICO. AF_10/2025</t>
  </si>
  <si>
    <t>92023</t>
  </si>
  <si>
    <t>92004</t>
  </si>
  <si>
    <t>97596</t>
  </si>
  <si>
    <t>103782</t>
  </si>
  <si>
    <t>100848</t>
  </si>
  <si>
    <t>106215</t>
  </si>
  <si>
    <t>1.10.10.8.</t>
  </si>
  <si>
    <t>1.10.10.9.</t>
  </si>
  <si>
    <t>1.10.10.10.</t>
  </si>
  <si>
    <t>1.10.10.11.</t>
  </si>
  <si>
    <t>1.10.12.8.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</si>
</sst>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_-;\-* #,##0_-;_-* &quot;-&quot;??_-;_-@_-"/>
    <numFmt numFmtId="166" formatCode="0.000"/>
    <numFmt numFmtId="167" formatCode="&quot;R$&quot;\ #,##0.00"/>
    <numFmt numFmtId="168" formatCode="[$R$-416]\ #,##0.00;\-[$R$-416]\ #,##0.00"/>
    <numFmt numFmtId="169" formatCode="0.0000"/>
    <numFmt numFmtId="170" formatCode="0.00000"/>
    <numFmt numFmtId="171" formatCode="#,##0.0000"/>
    <numFmt numFmtId="172" formatCode="&quot;R$&quot;0.00"/>
    <numFmt numFmtId="173" formatCode="#,##0.000"/>
    <numFmt numFmtId="174" formatCode="_(* #,##0.00_);_(* \(#,##0.00\);_(* &quot;-&quot;??_);_(@_)"/>
    <numFmt numFmtId="175" formatCode="_(* #,##0_);_(* \(#,##0\);_(* &quot;-&quot;??_);_(@_)"/>
    <numFmt numFmtId="176" formatCode="#,##0_ ;\-#,##0\ "/>
    <numFmt numFmtId="177" formatCode="_-* #,##0.000_-;\-* #,##0.000_-;_-* &quot;-&quot;??_-;_-@_-"/>
    <numFmt numFmtId="178" formatCode="0.00000000000000"/>
    <numFmt numFmtId="179" formatCode="#,##0.00_ ;\-#,##0.00\ "/>
  </numFmts>
  <fonts count="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el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u/>
      <sz val="10"/>
      <color theme="1"/>
      <name val="Arial"/>
      <family val="2"/>
    </font>
    <font>
      <sz val="9"/>
      <color theme="9" tint="-0.249977111117893"/>
      <name val="Arial"/>
      <family val="2"/>
    </font>
    <font>
      <sz val="11"/>
      <color theme="9" tint="-0.249977111117893"/>
      <name val="Arial"/>
      <family val="2"/>
    </font>
    <font>
      <u/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  <font>
      <b/>
      <sz val="11.5"/>
      <name val="Calibri"/>
      <family val="2"/>
    </font>
    <font>
      <b/>
      <sz val="10"/>
      <color rgb="FFFF0000"/>
      <name val="Calibri"/>
      <family val="2"/>
      <scheme val="minor"/>
    </font>
    <font>
      <sz val="7"/>
      <color indexed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ourier New"/>
      <family val="3"/>
    </font>
    <font>
      <b/>
      <sz val="2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theme="1"/>
      <name val="Arial"/>
      <family val="2"/>
    </font>
    <font>
      <b/>
      <sz val="16"/>
      <color indexed="81"/>
      <name val="Segoe UI"/>
      <family val="2"/>
    </font>
    <font>
      <b/>
      <sz val="22"/>
      <color indexed="81"/>
      <name val="Segoe UI"/>
      <family val="2"/>
    </font>
    <font>
      <b/>
      <sz val="9"/>
      <color indexed="81"/>
      <name val="Segoe UI"/>
      <family val="2"/>
    </font>
    <font>
      <u/>
      <sz val="12"/>
      <name val="Courier New"/>
      <family val="3"/>
    </font>
    <font>
      <sz val="12"/>
      <color theme="1"/>
      <name val="Calibri"/>
      <family val="2"/>
    </font>
    <font>
      <sz val="2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26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7030A0"/>
      </left>
      <right style="thin">
        <color auto="1"/>
      </right>
      <top style="medium">
        <color rgb="FF7030A0"/>
      </top>
      <bottom style="thin">
        <color auto="1"/>
      </bottom>
      <diagonal/>
    </border>
    <border>
      <left style="medium">
        <color rgb="FF7030A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7030A0"/>
      </bottom>
      <diagonal/>
    </border>
    <border>
      <left style="medium">
        <color rgb="FF7030A0"/>
      </left>
      <right style="thin">
        <color auto="1"/>
      </right>
      <top style="thin">
        <color auto="1"/>
      </top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medium">
        <color rgb="FF7030A0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7" fontId="9" fillId="0" borderId="0" applyFont="0" applyFill="0" applyBorder="0" applyAlignment="0" applyProtection="0"/>
    <xf numFmtId="0" fontId="27" fillId="0" borderId="0"/>
    <xf numFmtId="0" fontId="32" fillId="0" borderId="0"/>
    <xf numFmtId="0" fontId="33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36" fillId="0" borderId="0"/>
    <xf numFmtId="17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0" fontId="9" fillId="0" borderId="0"/>
    <xf numFmtId="0" fontId="48" fillId="0" borderId="0"/>
    <xf numFmtId="17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90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4" fillId="0" borderId="0" xfId="0" applyFont="1"/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44" fontId="0" fillId="0" borderId="8" xfId="0" applyNumberFormat="1" applyBorder="1"/>
    <xf numFmtId="0" fontId="0" fillId="0" borderId="8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44" fontId="0" fillId="0" borderId="0" xfId="0" applyNumberFormat="1" applyBorder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43" fontId="1" fillId="2" borderId="1" xfId="2" applyFont="1" applyFill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0" xfId="0" applyFont="1"/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0" xfId="3" applyNumberFormat="1" applyFont="1" applyAlignment="1">
      <alignment horizontal="center"/>
    </xf>
    <xf numFmtId="0" fontId="0" fillId="0" borderId="0" xfId="0" applyBorder="1" applyAlignment="1">
      <alignment horizontal="right"/>
    </xf>
    <xf numFmtId="17" fontId="4" fillId="0" borderId="0" xfId="0" applyNumberFormat="1" applyFont="1"/>
    <xf numFmtId="0" fontId="6" fillId="0" borderId="0" xfId="4" applyFont="1"/>
    <xf numFmtId="0" fontId="6" fillId="0" borderId="0" xfId="4" applyFont="1" applyBorder="1" applyAlignment="1">
      <alignment horizontal="center"/>
    </xf>
    <xf numFmtId="0" fontId="6" fillId="0" borderId="0" xfId="4" applyFont="1" applyFill="1"/>
    <xf numFmtId="2" fontId="10" fillId="0" borderId="1" xfId="4" applyNumberFormat="1" applyFont="1" applyFill="1" applyBorder="1" applyAlignment="1">
      <alignment horizontal="center"/>
    </xf>
    <xf numFmtId="0" fontId="13" fillId="0" borderId="0" xfId="0" applyFont="1" applyAlignment="1"/>
    <xf numFmtId="0" fontId="13" fillId="0" borderId="0" xfId="0" applyFont="1"/>
    <xf numFmtId="0" fontId="15" fillId="0" borderId="0" xfId="0" applyFont="1"/>
    <xf numFmtId="0" fontId="14" fillId="0" borderId="0" xfId="0" applyFont="1"/>
    <xf numFmtId="0" fontId="14" fillId="0" borderId="10" xfId="0" applyFont="1" applyBorder="1"/>
    <xf numFmtId="0" fontId="14" fillId="0" borderId="1" xfId="0" applyFont="1" applyBorder="1" applyAlignment="1">
      <alignment horizontal="center" vertical="center"/>
    </xf>
    <xf numFmtId="10" fontId="14" fillId="0" borderId="1" xfId="3" applyNumberFormat="1" applyFont="1" applyBorder="1" applyAlignment="1">
      <alignment horizontal="center" vertical="center"/>
    </xf>
    <xf numFmtId="0" fontId="18" fillId="0" borderId="0" xfId="0" applyFont="1"/>
    <xf numFmtId="0" fontId="19" fillId="0" borderId="1" xfId="0" applyFont="1" applyBorder="1" applyAlignment="1">
      <alignment horizontal="center" vertical="center"/>
    </xf>
    <xf numFmtId="0" fontId="14" fillId="0" borderId="39" xfId="0" applyFont="1" applyBorder="1"/>
    <xf numFmtId="0" fontId="14" fillId="0" borderId="40" xfId="0" applyFont="1" applyBorder="1" applyAlignment="1">
      <alignment horizontal="center" vertical="center"/>
    </xf>
    <xf numFmtId="10" fontId="14" fillId="0" borderId="25" xfId="3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10" fontId="14" fillId="0" borderId="41" xfId="3" applyNumberFormat="1" applyFont="1" applyBorder="1"/>
    <xf numFmtId="10" fontId="14" fillId="0" borderId="42" xfId="3" applyNumberFormat="1" applyFont="1" applyBorder="1"/>
    <xf numFmtId="0" fontId="14" fillId="0" borderId="43" xfId="0" applyFont="1" applyBorder="1" applyAlignment="1">
      <alignment horizontal="center" vertical="center"/>
    </xf>
    <xf numFmtId="0" fontId="14" fillId="0" borderId="43" xfId="0" applyFont="1" applyBorder="1"/>
    <xf numFmtId="10" fontId="14" fillId="0" borderId="44" xfId="3" applyNumberFormat="1" applyFont="1" applyBorder="1" applyAlignment="1">
      <alignment horizontal="center" vertical="center"/>
    </xf>
    <xf numFmtId="0" fontId="21" fillId="0" borderId="0" xfId="0" applyFont="1"/>
    <xf numFmtId="0" fontId="14" fillId="0" borderId="5" xfId="0" applyFont="1" applyBorder="1"/>
    <xf numFmtId="0" fontId="14" fillId="0" borderId="0" xfId="0" applyFont="1" applyBorder="1"/>
    <xf numFmtId="0" fontId="14" fillId="0" borderId="6" xfId="0" applyFont="1" applyBorder="1"/>
    <xf numFmtId="0" fontId="22" fillId="0" borderId="0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8" fillId="0" borderId="8" xfId="0" applyFont="1" applyBorder="1"/>
    <xf numFmtId="0" fontId="18" fillId="0" borderId="5" xfId="0" applyFont="1" applyBorder="1"/>
    <xf numFmtId="0" fontId="18" fillId="0" borderId="0" xfId="0" applyFont="1" applyBorder="1"/>
    <xf numFmtId="0" fontId="18" fillId="0" borderId="6" xfId="0" applyFont="1" applyBorder="1"/>
    <xf numFmtId="0" fontId="18" fillId="0" borderId="7" xfId="0" applyFont="1" applyBorder="1" applyAlignment="1"/>
    <xf numFmtId="0" fontId="18" fillId="0" borderId="8" xfId="0" applyFont="1" applyBorder="1" applyAlignment="1"/>
    <xf numFmtId="0" fontId="18" fillId="0" borderId="9" xfId="0" applyFont="1" applyBorder="1" applyAlignment="1"/>
    <xf numFmtId="0" fontId="18" fillId="0" borderId="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0" fillId="0" borderId="0" xfId="4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5" fontId="0" fillId="0" borderId="0" xfId="2" applyNumberFormat="1" applyFont="1" applyFill="1" applyBorder="1" applyAlignment="1">
      <alignment horizontal="right" vertical="center"/>
    </xf>
    <xf numFmtId="3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4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3" fontId="0" fillId="0" borderId="0" xfId="2" applyNumberFormat="1" applyFont="1" applyFill="1" applyBorder="1" applyAlignment="1">
      <alignment horizontal="right" vertical="center"/>
    </xf>
    <xf numFmtId="164" fontId="0" fillId="0" borderId="0" xfId="0" applyNumberFormat="1"/>
    <xf numFmtId="4" fontId="10" fillId="0" borderId="1" xfId="4" applyNumberFormat="1" applyFont="1" applyFill="1" applyBorder="1" applyAlignment="1">
      <alignment horizontal="center" vertical="center"/>
    </xf>
    <xf numFmtId="9" fontId="0" fillId="4" borderId="1" xfId="3" applyFont="1" applyFill="1" applyBorder="1"/>
    <xf numFmtId="9" fontId="0" fillId="2" borderId="1" xfId="3" applyFont="1" applyFill="1" applyBorder="1"/>
    <xf numFmtId="0" fontId="0" fillId="4" borderId="1" xfId="0" applyFont="1" applyFill="1" applyBorder="1"/>
    <xf numFmtId="2" fontId="0" fillId="0" borderId="0" xfId="0" applyNumberFormat="1"/>
    <xf numFmtId="169" fontId="0" fillId="0" borderId="0" xfId="0" applyNumberFormat="1"/>
    <xf numFmtId="0" fontId="0" fillId="0" borderId="0" xfId="0" applyAlignment="1">
      <alignment horizontal="right"/>
    </xf>
    <xf numFmtId="171" fontId="0" fillId="0" borderId="0" xfId="0" applyNumberFormat="1"/>
    <xf numFmtId="17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1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0" xfId="0" applyAlignment="1">
      <alignment vertical="center" wrapText="1"/>
    </xf>
    <xf numFmtId="169" fontId="0" fillId="0" borderId="0" xfId="0" applyNumberFormat="1" applyAlignment="1">
      <alignment vertical="center"/>
    </xf>
    <xf numFmtId="0" fontId="30" fillId="2" borderId="0" xfId="0" applyFont="1" applyFill="1" applyBorder="1"/>
    <xf numFmtId="43" fontId="0" fillId="0" borderId="0" xfId="2" applyFont="1"/>
    <xf numFmtId="0" fontId="30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0" fontId="6" fillId="0" borderId="0" xfId="11" applyFont="1"/>
    <xf numFmtId="0" fontId="6" fillId="0" borderId="32" xfId="11" applyFont="1" applyFill="1" applyBorder="1"/>
    <xf numFmtId="0" fontId="6" fillId="0" borderId="33" xfId="11" applyFont="1" applyFill="1" applyBorder="1"/>
    <xf numFmtId="0" fontId="6" fillId="0" borderId="21" xfId="11" applyFont="1" applyFill="1" applyBorder="1"/>
    <xf numFmtId="0" fontId="6" fillId="0" borderId="22" xfId="11" applyFont="1" applyFill="1" applyBorder="1"/>
    <xf numFmtId="0" fontId="10" fillId="0" borderId="17" xfId="11" applyFont="1" applyBorder="1" applyAlignment="1">
      <alignment horizontal="center"/>
    </xf>
    <xf numFmtId="0" fontId="10" fillId="0" borderId="0" xfId="11" applyFont="1" applyBorder="1" applyAlignment="1">
      <alignment horizontal="center"/>
    </xf>
    <xf numFmtId="0" fontId="6" fillId="0" borderId="0" xfId="11" applyFont="1" applyBorder="1" applyAlignment="1">
      <alignment horizontal="center"/>
    </xf>
    <xf numFmtId="0" fontId="38" fillId="0" borderId="0" xfId="11" applyFont="1" applyFill="1"/>
    <xf numFmtId="0" fontId="38" fillId="0" borderId="0" xfId="11" applyFont="1"/>
    <xf numFmtId="0" fontId="37" fillId="0" borderId="35" xfId="11" applyFont="1" applyBorder="1" applyAlignment="1">
      <alignment horizontal="center" vertical="center"/>
    </xf>
    <xf numFmtId="0" fontId="6" fillId="0" borderId="0" xfId="11" applyFont="1" applyFill="1"/>
    <xf numFmtId="0" fontId="6" fillId="0" borderId="46" xfId="11" applyFont="1" applyBorder="1"/>
    <xf numFmtId="0" fontId="6" fillId="0" borderId="0" xfId="11" applyFont="1" applyBorder="1"/>
    <xf numFmtId="0" fontId="7" fillId="3" borderId="19" xfId="11" applyFont="1" applyFill="1" applyBorder="1" applyAlignment="1">
      <alignment horizontal="center" vertical="center" wrapText="1"/>
    </xf>
    <xf numFmtId="0" fontId="7" fillId="3" borderId="1" xfId="11" applyFont="1" applyFill="1" applyBorder="1" applyAlignment="1">
      <alignment horizontal="center" vertical="center" wrapText="1"/>
    </xf>
    <xf numFmtId="0" fontId="7" fillId="3" borderId="20" xfId="11" applyFont="1" applyFill="1" applyBorder="1" applyAlignment="1">
      <alignment horizontal="center" vertical="center" wrapText="1"/>
    </xf>
    <xf numFmtId="1" fontId="6" fillId="0" borderId="28" xfId="11" applyNumberFormat="1" applyFont="1" applyFill="1" applyBorder="1" applyAlignment="1">
      <alignment horizontal="center" vertical="center"/>
    </xf>
    <xf numFmtId="175" fontId="6" fillId="0" borderId="29" xfId="12" applyNumberFormat="1" applyFont="1" applyFill="1" applyBorder="1" applyAlignment="1">
      <alignment horizontal="center" vertical="center"/>
    </xf>
    <xf numFmtId="166" fontId="6" fillId="0" borderId="29" xfId="11" applyNumberFormat="1" applyFont="1" applyFill="1" applyBorder="1" applyAlignment="1">
      <alignment horizontal="center" vertical="center"/>
    </xf>
    <xf numFmtId="2" fontId="6" fillId="0" borderId="29" xfId="13" applyNumberFormat="1" applyFont="1" applyFill="1" applyBorder="1" applyAlignment="1">
      <alignment horizontal="center" vertical="center"/>
    </xf>
    <xf numFmtId="1" fontId="6" fillId="0" borderId="29" xfId="11" applyNumberFormat="1" applyFont="1" applyFill="1" applyBorder="1" applyAlignment="1">
      <alignment horizontal="center" vertical="center"/>
    </xf>
    <xf numFmtId="2" fontId="6" fillId="0" borderId="29" xfId="11" applyNumberFormat="1" applyFont="1" applyFill="1" applyBorder="1" applyAlignment="1">
      <alignment horizontal="center" vertical="center"/>
    </xf>
    <xf numFmtId="0" fontId="6" fillId="0" borderId="29" xfId="11" applyFont="1" applyFill="1" applyBorder="1" applyAlignment="1">
      <alignment horizontal="center"/>
    </xf>
    <xf numFmtId="173" fontId="39" fillId="2" borderId="35" xfId="11" applyNumberFormat="1" applyFont="1" applyFill="1" applyBorder="1" applyAlignment="1">
      <alignment horizontal="center"/>
    </xf>
    <xf numFmtId="0" fontId="6" fillId="0" borderId="31" xfId="11" applyFont="1" applyFill="1" applyBorder="1"/>
    <xf numFmtId="0" fontId="6" fillId="0" borderId="46" xfId="11" applyFont="1" applyFill="1" applyBorder="1"/>
    <xf numFmtId="2" fontId="7" fillId="0" borderId="46" xfId="11" applyNumberFormat="1" applyFont="1" applyFill="1" applyBorder="1" applyAlignment="1">
      <alignment horizontal="left" vertical="center"/>
    </xf>
    <xf numFmtId="4" fontId="7" fillId="0" borderId="46" xfId="11" applyNumberFormat="1" applyFont="1" applyFill="1" applyBorder="1" applyAlignment="1">
      <alignment horizontal="center"/>
    </xf>
    <xf numFmtId="2" fontId="7" fillId="0" borderId="46" xfId="11" applyNumberFormat="1" applyFont="1" applyFill="1" applyBorder="1" applyAlignment="1">
      <alignment horizontal="center"/>
    </xf>
    <xf numFmtId="2" fontId="7" fillId="0" borderId="46" xfId="11" applyNumberFormat="1" applyFont="1" applyFill="1" applyBorder="1" applyAlignment="1">
      <alignment horizontal="right" vertical="center"/>
    </xf>
    <xf numFmtId="4" fontId="7" fillId="0" borderId="13" xfId="11" applyNumberFormat="1" applyFont="1" applyFill="1" applyBorder="1" applyAlignment="1">
      <alignment horizontal="center"/>
    </xf>
    <xf numFmtId="0" fontId="7" fillId="3" borderId="27" xfId="11" applyFont="1" applyFill="1" applyBorder="1" applyAlignment="1">
      <alignment horizontal="center" vertical="center" wrapText="1"/>
    </xf>
    <xf numFmtId="0" fontId="40" fillId="3" borderId="45" xfId="11" applyFont="1" applyFill="1" applyBorder="1" applyAlignment="1">
      <alignment horizontal="center" vertical="center" wrapText="1"/>
    </xf>
    <xf numFmtId="169" fontId="39" fillId="0" borderId="35" xfId="11" applyNumberFormat="1" applyFont="1" applyFill="1" applyBorder="1" applyAlignment="1">
      <alignment horizontal="center" vertical="center"/>
    </xf>
    <xf numFmtId="166" fontId="6" fillId="0" borderId="0" xfId="11" applyNumberFormat="1" applyFont="1" applyFill="1"/>
    <xf numFmtId="10" fontId="6" fillId="0" borderId="0" xfId="13" applyNumberFormat="1" applyFont="1" applyFill="1"/>
    <xf numFmtId="2" fontId="7" fillId="0" borderId="33" xfId="11" applyNumberFormat="1" applyFont="1" applyFill="1" applyBorder="1" applyAlignment="1">
      <alignment horizontal="left" vertical="center"/>
    </xf>
    <xf numFmtId="4" fontId="7" fillId="0" borderId="33" xfId="11" applyNumberFormat="1" applyFont="1" applyFill="1" applyBorder="1" applyAlignment="1">
      <alignment horizontal="center"/>
    </xf>
    <xf numFmtId="2" fontId="7" fillId="0" borderId="33" xfId="11" applyNumberFormat="1" applyFont="1" applyFill="1" applyBorder="1" applyAlignment="1">
      <alignment horizontal="center"/>
    </xf>
    <xf numFmtId="2" fontId="7" fillId="0" borderId="33" xfId="11" applyNumberFormat="1" applyFont="1" applyFill="1" applyBorder="1" applyAlignment="1">
      <alignment horizontal="right" vertical="center"/>
    </xf>
    <xf numFmtId="4" fontId="42" fillId="0" borderId="24" xfId="11" applyNumberFormat="1" applyFont="1" applyFill="1" applyBorder="1" applyAlignment="1">
      <alignment horizontal="right"/>
    </xf>
    <xf numFmtId="0" fontId="6" fillId="0" borderId="17" xfId="11" applyFont="1" applyFill="1" applyBorder="1"/>
    <xf numFmtId="0" fontId="6" fillId="0" borderId="0" xfId="11" applyFont="1" applyFill="1" applyBorder="1"/>
    <xf numFmtId="2" fontId="7" fillId="0" borderId="0" xfId="11" applyNumberFormat="1" applyFont="1" applyFill="1" applyBorder="1" applyAlignment="1">
      <alignment horizontal="left" vertical="center"/>
    </xf>
    <xf numFmtId="4" fontId="7" fillId="0" borderId="0" xfId="11" applyNumberFormat="1" applyFont="1" applyFill="1" applyBorder="1" applyAlignment="1">
      <alignment horizontal="center"/>
    </xf>
    <xf numFmtId="2" fontId="7" fillId="0" borderId="0" xfId="11" applyNumberFormat="1" applyFont="1" applyFill="1" applyBorder="1" applyAlignment="1">
      <alignment horizontal="center"/>
    </xf>
    <xf numFmtId="2" fontId="7" fillId="0" borderId="0" xfId="11" applyNumberFormat="1" applyFont="1" applyFill="1" applyBorder="1" applyAlignment="1">
      <alignment horizontal="right" vertical="center"/>
    </xf>
    <xf numFmtId="4" fontId="7" fillId="0" borderId="18" xfId="11" applyNumberFormat="1" applyFont="1" applyFill="1" applyBorder="1" applyAlignment="1">
      <alignment horizontal="center"/>
    </xf>
    <xf numFmtId="2" fontId="6" fillId="0" borderId="22" xfId="11" applyNumberFormat="1" applyFont="1" applyFill="1" applyBorder="1" applyAlignment="1">
      <alignment horizontal="center" vertical="center"/>
    </xf>
    <xf numFmtId="2" fontId="7" fillId="0" borderId="22" xfId="11" applyNumberFormat="1" applyFont="1" applyFill="1" applyBorder="1" applyAlignment="1">
      <alignment horizontal="center"/>
    </xf>
    <xf numFmtId="10" fontId="6" fillId="0" borderId="23" xfId="11" applyNumberFormat="1" applyFont="1" applyFill="1" applyBorder="1" applyAlignment="1">
      <alignment horizontal="center"/>
    </xf>
    <xf numFmtId="4" fontId="42" fillId="0" borderId="18" xfId="11" applyNumberFormat="1" applyFont="1" applyFill="1" applyBorder="1" applyAlignment="1">
      <alignment horizontal="right"/>
    </xf>
    <xf numFmtId="0" fontId="6" fillId="0" borderId="1" xfId="11" applyFont="1" applyBorder="1" applyAlignment="1">
      <alignment horizontal="center"/>
    </xf>
    <xf numFmtId="4" fontId="6" fillId="0" borderId="1" xfId="11" applyNumberFormat="1" applyFont="1" applyBorder="1" applyAlignment="1">
      <alignment horizontal="center"/>
    </xf>
    <xf numFmtId="173" fontId="6" fillId="0" borderId="1" xfId="11" applyNumberFormat="1" applyFont="1" applyBorder="1" applyAlignment="1">
      <alignment horizontal="center"/>
    </xf>
    <xf numFmtId="0" fontId="6" fillId="0" borderId="0" xfId="11" applyFont="1" applyAlignment="1">
      <alignment horizontal="center"/>
    </xf>
    <xf numFmtId="166" fontId="0" fillId="0" borderId="0" xfId="0" applyNumberFormat="1" applyAlignment="1">
      <alignment horizontal="center"/>
    </xf>
    <xf numFmtId="0" fontId="8" fillId="0" borderId="33" xfId="4" applyFont="1" applyFill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right"/>
    </xf>
    <xf numFmtId="169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70" fontId="0" fillId="0" borderId="0" xfId="0" applyNumberFormat="1" applyAlignment="1">
      <alignment horizontal="right"/>
    </xf>
    <xf numFmtId="170" fontId="0" fillId="0" borderId="0" xfId="0" applyNumberFormat="1" applyBorder="1" applyAlignment="1">
      <alignment horizontal="center"/>
    </xf>
    <xf numFmtId="170" fontId="0" fillId="0" borderId="0" xfId="0" applyNumberFormat="1" applyAlignment="1">
      <alignment horizontal="center" vertical="center"/>
    </xf>
    <xf numFmtId="2" fontId="0" fillId="0" borderId="8" xfId="0" applyNumberFormat="1" applyBorder="1"/>
    <xf numFmtId="170" fontId="0" fillId="0" borderId="0" xfId="0" applyNumberFormat="1"/>
    <xf numFmtId="170" fontId="0" fillId="0" borderId="8" xfId="0" applyNumberFormat="1" applyBorder="1"/>
    <xf numFmtId="0" fontId="0" fillId="2" borderId="47" xfId="0" applyFont="1" applyFill="1" applyBorder="1" applyAlignment="1">
      <alignment horizontal="center" vertical="center"/>
    </xf>
    <xf numFmtId="0" fontId="0" fillId="0" borderId="11" xfId="0" applyBorder="1" applyAlignment="1">
      <alignment horizontal="right"/>
    </xf>
    <xf numFmtId="170" fontId="0" fillId="0" borderId="0" xfId="0" applyNumberFormat="1" applyAlignment="1">
      <alignment vertical="center"/>
    </xf>
    <xf numFmtId="169" fontId="0" fillId="0" borderId="8" xfId="0" applyNumberFormat="1" applyBorder="1"/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right"/>
    </xf>
    <xf numFmtId="0" fontId="0" fillId="0" borderId="0" xfId="0" applyAlignment="1">
      <alignment horizontal="center"/>
    </xf>
    <xf numFmtId="169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28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166" fontId="28" fillId="0" borderId="1" xfId="0" applyNumberFormat="1" applyFont="1" applyFill="1" applyBorder="1" applyAlignment="1">
      <alignment horizontal="center" vertical="center"/>
    </xf>
    <xf numFmtId="0" fontId="10" fillId="0" borderId="1" xfId="4" applyFont="1" applyFill="1" applyBorder="1" applyAlignment="1">
      <alignment horizontal="center"/>
    </xf>
    <xf numFmtId="166" fontId="10" fillId="2" borderId="1" xfId="5" applyNumberFormat="1" applyFont="1" applyFill="1" applyBorder="1" applyAlignment="1">
      <alignment horizontal="center" vertical="center"/>
    </xf>
    <xf numFmtId="166" fontId="10" fillId="0" borderId="1" xfId="4" applyNumberFormat="1" applyFont="1" applyFill="1" applyBorder="1" applyAlignment="1">
      <alignment horizontal="center"/>
    </xf>
    <xf numFmtId="2" fontId="43" fillId="0" borderId="1" xfId="4" applyNumberFormat="1" applyFont="1" applyFill="1" applyBorder="1" applyAlignment="1">
      <alignment horizontal="center"/>
    </xf>
    <xf numFmtId="0" fontId="44" fillId="0" borderId="0" xfId="0" applyFont="1"/>
    <xf numFmtId="0" fontId="44" fillId="0" borderId="0" xfId="0" applyFont="1" applyBorder="1"/>
    <xf numFmtId="0" fontId="45" fillId="0" borderId="0" xfId="0" applyFont="1"/>
    <xf numFmtId="0" fontId="14" fillId="0" borderId="42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10" fontId="14" fillId="0" borderId="30" xfId="3" applyNumberFormat="1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 applyAlignment="1">
      <alignment horizontal="right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171" fontId="0" fillId="0" borderId="0" xfId="0" applyNumberFormat="1" applyAlignment="1">
      <alignment horizontal="right"/>
    </xf>
    <xf numFmtId="0" fontId="0" fillId="0" borderId="11" xfId="0" applyBorder="1" applyAlignment="1">
      <alignment horizontal="right"/>
    </xf>
    <xf numFmtId="0" fontId="46" fillId="0" borderId="0" xfId="0" applyFont="1" applyBorder="1"/>
    <xf numFmtId="170" fontId="46" fillId="0" borderId="0" xfId="0" applyNumberFormat="1" applyFont="1" applyAlignment="1">
      <alignment horizontal="center"/>
    </xf>
    <xf numFmtId="0" fontId="46" fillId="0" borderId="0" xfId="0" applyFont="1" applyBorder="1" applyAlignment="1">
      <alignment horizontal="center"/>
    </xf>
    <xf numFmtId="0" fontId="46" fillId="0" borderId="0" xfId="0" applyFont="1"/>
    <xf numFmtId="169" fontId="0" fillId="0" borderId="0" xfId="0" applyNumberFormat="1" applyBorder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left"/>
    </xf>
    <xf numFmtId="170" fontId="46" fillId="0" borderId="0" xfId="0" applyNumberFormat="1" applyFont="1" applyBorder="1" applyAlignment="1">
      <alignment horizontal="center"/>
    </xf>
    <xf numFmtId="0" fontId="46" fillId="6" borderId="0" xfId="0" applyFont="1" applyFill="1" applyBorder="1"/>
    <xf numFmtId="170" fontId="46" fillId="6" borderId="0" xfId="0" applyNumberFormat="1" applyFont="1" applyFill="1" applyBorder="1" applyAlignment="1">
      <alignment horizontal="center"/>
    </xf>
    <xf numFmtId="0" fontId="46" fillId="6" borderId="0" xfId="0" applyFont="1" applyFill="1" applyBorder="1" applyAlignment="1">
      <alignment horizontal="center"/>
    </xf>
    <xf numFmtId="0" fontId="46" fillId="6" borderId="0" xfId="0" applyFont="1" applyFill="1"/>
    <xf numFmtId="0" fontId="4" fillId="0" borderId="0" xfId="0" applyFont="1" applyAlignment="1">
      <alignment horizontal="right"/>
    </xf>
    <xf numFmtId="0" fontId="47" fillId="0" borderId="0" xfId="0" applyFont="1" applyBorder="1"/>
    <xf numFmtId="0" fontId="47" fillId="0" borderId="0" xfId="0" applyFont="1" applyBorder="1" applyAlignment="1">
      <alignment horizontal="left"/>
    </xf>
    <xf numFmtId="44" fontId="47" fillId="0" borderId="0" xfId="1" applyFont="1" applyBorder="1" applyAlignment="1">
      <alignment horizontal="center"/>
    </xf>
    <xf numFmtId="14" fontId="0" fillId="2" borderId="1" xfId="0" applyNumberFormat="1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top" wrapText="1"/>
    </xf>
    <xf numFmtId="0" fontId="47" fillId="0" borderId="5" xfId="0" applyFont="1" applyBorder="1"/>
    <xf numFmtId="0" fontId="47" fillId="0" borderId="6" xfId="0" applyFont="1" applyBorder="1" applyAlignment="1">
      <alignment horizontal="center"/>
    </xf>
    <xf numFmtId="0" fontId="44" fillId="0" borderId="1" xfId="0" applyFont="1" applyBorder="1" applyAlignment="1">
      <alignment horizontal="center" vertical="center" wrapText="1"/>
    </xf>
    <xf numFmtId="166" fontId="44" fillId="0" borderId="1" xfId="0" applyNumberFormat="1" applyFont="1" applyBorder="1" applyAlignment="1">
      <alignment horizontal="center" vertical="center" wrapText="1"/>
    </xf>
    <xf numFmtId="166" fontId="44" fillId="0" borderId="1" xfId="0" applyNumberFormat="1" applyFont="1" applyBorder="1" applyAlignment="1">
      <alignment horizontal="center"/>
    </xf>
    <xf numFmtId="0" fontId="44" fillId="0" borderId="3" xfId="0" applyFont="1" applyBorder="1" applyAlignment="1">
      <alignment horizontal="center"/>
    </xf>
    <xf numFmtId="166" fontId="44" fillId="0" borderId="3" xfId="0" applyNumberFormat="1" applyFont="1" applyBorder="1" applyAlignment="1">
      <alignment horizontal="center"/>
    </xf>
    <xf numFmtId="173" fontId="44" fillId="0" borderId="1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166" fontId="44" fillId="0" borderId="0" xfId="0" applyNumberFormat="1" applyFont="1" applyBorder="1" applyAlignment="1">
      <alignment horizontal="center"/>
    </xf>
    <xf numFmtId="0" fontId="39" fillId="0" borderId="0" xfId="4" applyFont="1"/>
    <xf numFmtId="0" fontId="39" fillId="0" borderId="0" xfId="4" applyFont="1" applyFill="1"/>
    <xf numFmtId="0" fontId="0" fillId="0" borderId="0" xfId="0"/>
    <xf numFmtId="17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/>
    </xf>
    <xf numFmtId="0" fontId="6" fillId="0" borderId="0" xfId="19" applyFont="1"/>
    <xf numFmtId="0" fontId="51" fillId="0" borderId="0" xfId="19" applyFont="1"/>
    <xf numFmtId="0" fontId="51" fillId="0" borderId="5" xfId="19" applyFont="1" applyBorder="1" applyAlignment="1">
      <alignment horizontal="right" vertical="center"/>
    </xf>
    <xf numFmtId="0" fontId="51" fillId="9" borderId="0" xfId="19" applyFont="1" applyFill="1" applyBorder="1" applyAlignment="1" applyProtection="1">
      <alignment horizontal="center" vertical="center"/>
      <protection locked="0"/>
    </xf>
    <xf numFmtId="0" fontId="51" fillId="0" borderId="6" xfId="19" applyFont="1" applyBorder="1" applyAlignment="1">
      <alignment vertical="center"/>
    </xf>
    <xf numFmtId="0" fontId="51" fillId="0" borderId="10" xfId="19" applyFont="1" applyBorder="1" applyAlignment="1">
      <alignment horizontal="right" vertical="center"/>
    </xf>
    <xf numFmtId="0" fontId="51" fillId="9" borderId="12" xfId="19" applyFont="1" applyFill="1" applyBorder="1" applyAlignment="1" applyProtection="1">
      <alignment horizontal="left" vertical="center"/>
      <protection locked="0"/>
    </xf>
    <xf numFmtId="0" fontId="51" fillId="0" borderId="0" xfId="19" applyFont="1" applyBorder="1" applyAlignment="1">
      <alignment horizontal="right" vertical="center"/>
    </xf>
    <xf numFmtId="2" fontId="51" fillId="9" borderId="6" xfId="19" applyNumberFormat="1" applyFont="1" applyFill="1" applyBorder="1" applyAlignment="1" applyProtection="1">
      <alignment horizontal="left" vertical="center"/>
      <protection locked="0"/>
    </xf>
    <xf numFmtId="0" fontId="51" fillId="10" borderId="0" xfId="19" applyFont="1" applyFill="1" applyBorder="1" applyAlignment="1">
      <alignment horizontal="left" vertical="center"/>
    </xf>
    <xf numFmtId="0" fontId="51" fillId="10" borderId="12" xfId="19" applyFont="1" applyFill="1" applyBorder="1" applyAlignment="1">
      <alignment horizontal="left" vertical="center"/>
    </xf>
    <xf numFmtId="0" fontId="51" fillId="0" borderId="0" xfId="19" applyFont="1" applyBorder="1" applyAlignment="1">
      <alignment vertical="center"/>
    </xf>
    <xf numFmtId="0" fontId="51" fillId="0" borderId="0" xfId="19" applyFont="1" applyAlignment="1">
      <alignment horizontal="center"/>
    </xf>
    <xf numFmtId="1" fontId="12" fillId="2" borderId="1" xfId="19" applyNumberFormat="1" applyFont="1" applyFill="1" applyBorder="1" applyAlignment="1" applyProtection="1">
      <alignment horizontal="center" vertical="center"/>
      <protection locked="0"/>
    </xf>
    <xf numFmtId="4" fontId="12" fillId="2" borderId="1" xfId="19" applyNumberFormat="1" applyFont="1" applyFill="1" applyBorder="1" applyAlignment="1" applyProtection="1">
      <alignment horizontal="center" vertical="center"/>
      <protection locked="0"/>
    </xf>
    <xf numFmtId="173" fontId="12" fillId="2" borderId="1" xfId="19" applyNumberFormat="1" applyFont="1" applyFill="1" applyBorder="1" applyAlignment="1">
      <alignment horizontal="center" vertical="center"/>
    </xf>
    <xf numFmtId="166" fontId="12" fillId="2" borderId="1" xfId="19" applyNumberFormat="1" applyFont="1" applyFill="1" applyBorder="1" applyAlignment="1" applyProtection="1">
      <alignment horizontal="center" vertical="center"/>
      <protection locked="0"/>
    </xf>
    <xf numFmtId="166" fontId="12" fillId="2" borderId="1" xfId="19" applyNumberFormat="1" applyFont="1" applyFill="1" applyBorder="1" applyAlignment="1">
      <alignment horizontal="center" vertical="center"/>
    </xf>
    <xf numFmtId="10" fontId="12" fillId="2" borderId="1" xfId="21" applyNumberFormat="1" applyFont="1" applyFill="1" applyBorder="1" applyAlignment="1">
      <alignment horizontal="center" vertical="center"/>
    </xf>
    <xf numFmtId="10" fontId="12" fillId="2" borderId="1" xfId="21" applyNumberFormat="1" applyFont="1" applyFill="1" applyBorder="1" applyAlignment="1" applyProtection="1">
      <alignment horizontal="center" vertical="center"/>
      <protection locked="0"/>
    </xf>
    <xf numFmtId="166" fontId="52" fillId="2" borderId="1" xfId="19" applyNumberFormat="1" applyFont="1" applyFill="1" applyBorder="1" applyAlignment="1">
      <alignment horizontal="center" vertical="center"/>
    </xf>
    <xf numFmtId="1" fontId="53" fillId="2" borderId="1" xfId="19" applyNumberFormat="1" applyFont="1" applyFill="1" applyBorder="1" applyAlignment="1" applyProtection="1">
      <alignment horizontal="center" vertical="center"/>
      <protection locked="0"/>
    </xf>
    <xf numFmtId="2" fontId="12" fillId="2" borderId="1" xfId="19" applyNumberFormat="1" applyFont="1" applyFill="1" applyBorder="1" applyAlignment="1">
      <alignment horizontal="center" vertical="center"/>
    </xf>
    <xf numFmtId="2" fontId="12" fillId="2" borderId="1" xfId="19" applyNumberFormat="1" applyFont="1" applyFill="1" applyBorder="1" applyAlignment="1" applyProtection="1">
      <alignment horizontal="center" vertical="center"/>
      <protection locked="0"/>
    </xf>
    <xf numFmtId="1" fontId="12" fillId="2" borderId="1" xfId="19" applyNumberFormat="1" applyFont="1" applyFill="1" applyBorder="1" applyAlignment="1">
      <alignment horizontal="center" vertical="center"/>
    </xf>
    <xf numFmtId="2" fontId="12" fillId="2" borderId="1" xfId="20" applyNumberFormat="1" applyFont="1" applyFill="1" applyBorder="1" applyAlignment="1" applyProtection="1">
      <alignment horizontal="center" vertical="center"/>
      <protection locked="0"/>
    </xf>
    <xf numFmtId="1" fontId="10" fillId="0" borderId="1" xfId="4" applyNumberFormat="1" applyFont="1" applyFill="1" applyBorder="1" applyAlignment="1">
      <alignment horizontal="center"/>
    </xf>
    <xf numFmtId="1" fontId="10" fillId="2" borderId="1" xfId="4" applyNumberFormat="1" applyFont="1" applyFill="1" applyBorder="1" applyAlignment="1">
      <alignment horizontal="center" vertical="center"/>
    </xf>
    <xf numFmtId="2" fontId="10" fillId="0" borderId="10" xfId="4" applyNumberFormat="1" applyFont="1" applyFill="1" applyBorder="1" applyAlignment="1">
      <alignment horizontal="right" vertical="center"/>
    </xf>
    <xf numFmtId="4" fontId="10" fillId="0" borderId="1" xfId="4" applyNumberFormat="1" applyFont="1" applyFill="1" applyBorder="1" applyAlignment="1">
      <alignment horizontal="center"/>
    </xf>
    <xf numFmtId="2" fontId="12" fillId="0" borderId="1" xfId="19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169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1" fontId="10" fillId="0" borderId="1" xfId="18" applyNumberFormat="1" applyFont="1" applyFill="1" applyBorder="1" applyAlignment="1">
      <alignment horizontal="center" vertical="center"/>
    </xf>
    <xf numFmtId="2" fontId="10" fillId="0" borderId="1" xfId="18" applyNumberFormat="1" applyFont="1" applyFill="1" applyBorder="1" applyAlignment="1">
      <alignment horizontal="center" vertical="center"/>
    </xf>
    <xf numFmtId="2" fontId="10" fillId="0" borderId="1" xfId="18" applyNumberFormat="1" applyFont="1" applyFill="1" applyBorder="1" applyAlignment="1">
      <alignment horizontal="center"/>
    </xf>
    <xf numFmtId="3" fontId="10" fillId="0" borderId="1" xfId="18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17" fontId="0" fillId="0" borderId="11" xfId="0" applyNumberFormat="1" applyFont="1" applyFill="1" applyBorder="1" applyAlignment="1">
      <alignment horizontal="left" vertical="top" wrapText="1"/>
    </xf>
    <xf numFmtId="0" fontId="0" fillId="2" borderId="10" xfId="0" applyFont="1" applyFill="1" applyBorder="1"/>
    <xf numFmtId="0" fontId="0" fillId="2" borderId="11" xfId="0" applyFont="1" applyFill="1" applyBorder="1"/>
    <xf numFmtId="10" fontId="0" fillId="4" borderId="1" xfId="0" applyNumberFormat="1" applyFont="1" applyFill="1" applyBorder="1"/>
    <xf numFmtId="10" fontId="1" fillId="2" borderId="1" xfId="2" applyNumberFormat="1" applyFont="1" applyFill="1" applyBorder="1"/>
    <xf numFmtId="0" fontId="44" fillId="0" borderId="2" xfId="0" applyFont="1" applyBorder="1" applyAlignment="1">
      <alignment horizontal="center"/>
    </xf>
    <xf numFmtId="0" fontId="44" fillId="0" borderId="5" xfId="0" applyFont="1" applyBorder="1" applyAlignment="1">
      <alignment horizontal="center"/>
    </xf>
    <xf numFmtId="0" fontId="44" fillId="0" borderId="6" xfId="0" applyFont="1" applyBorder="1"/>
    <xf numFmtId="2" fontId="10" fillId="0" borderId="11" xfId="4" applyNumberFormat="1" applyFont="1" applyFill="1" applyBorder="1" applyAlignment="1">
      <alignment horizontal="center" vertical="center"/>
    </xf>
    <xf numFmtId="166" fontId="10" fillId="2" borderId="1" xfId="4" applyNumberFormat="1" applyFont="1" applyFill="1" applyBorder="1" applyAlignment="1">
      <alignment horizontal="center" vertical="center"/>
    </xf>
    <xf numFmtId="1" fontId="10" fillId="0" borderId="0" xfId="4" applyNumberFormat="1" applyFont="1" applyFill="1" applyBorder="1" applyAlignment="1">
      <alignment horizontal="center" vertical="center"/>
    </xf>
    <xf numFmtId="2" fontId="10" fillId="0" borderId="0" xfId="4" applyNumberFormat="1" applyFont="1" applyFill="1" applyBorder="1" applyAlignment="1">
      <alignment horizontal="center" vertical="center"/>
    </xf>
    <xf numFmtId="1" fontId="10" fillId="0" borderId="1" xfId="4" applyNumberFormat="1" applyFont="1" applyFill="1" applyBorder="1" applyAlignment="1">
      <alignment horizontal="center" vertical="center"/>
    </xf>
    <xf numFmtId="0" fontId="10" fillId="0" borderId="0" xfId="4" applyFont="1" applyFill="1" applyBorder="1" applyAlignment="1">
      <alignment horizontal="center"/>
    </xf>
    <xf numFmtId="2" fontId="43" fillId="0" borderId="0" xfId="4" applyNumberFormat="1" applyFont="1" applyFill="1" applyBorder="1" applyAlignment="1">
      <alignment horizontal="center"/>
    </xf>
    <xf numFmtId="1" fontId="10" fillId="0" borderId="0" xfId="4" applyNumberFormat="1" applyFont="1" applyFill="1" applyBorder="1" applyAlignment="1">
      <alignment horizontal="center"/>
    </xf>
    <xf numFmtId="10" fontId="10" fillId="0" borderId="0" xfId="4" applyNumberFormat="1" applyFont="1" applyFill="1" applyBorder="1" applyAlignment="1">
      <alignment horizontal="center"/>
    </xf>
    <xf numFmtId="1" fontId="10" fillId="2" borderId="0" xfId="4" applyNumberFormat="1" applyFont="1" applyFill="1" applyBorder="1" applyAlignment="1">
      <alignment horizontal="center" vertical="center"/>
    </xf>
    <xf numFmtId="166" fontId="10" fillId="2" borderId="0" xfId="4" applyNumberFormat="1" applyFont="1" applyFill="1" applyBorder="1" applyAlignment="1">
      <alignment horizontal="center" vertical="center"/>
    </xf>
    <xf numFmtId="166" fontId="10" fillId="2" borderId="0" xfId="5" applyNumberFormat="1" applyFont="1" applyFill="1" applyBorder="1" applyAlignment="1">
      <alignment horizontal="center" vertical="center"/>
    </xf>
    <xf numFmtId="166" fontId="10" fillId="0" borderId="0" xfId="4" applyNumberFormat="1" applyFont="1" applyFill="1" applyBorder="1" applyAlignment="1">
      <alignment horizontal="center"/>
    </xf>
    <xf numFmtId="2" fontId="12" fillId="2" borderId="0" xfId="19" applyNumberFormat="1" applyFont="1" applyFill="1" applyBorder="1" applyAlignment="1" applyProtection="1">
      <alignment horizontal="center" vertical="center"/>
      <protection locked="0"/>
    </xf>
    <xf numFmtId="2" fontId="10" fillId="0" borderId="3" xfId="4" applyNumberFormat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44" fontId="4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right" vertical="center"/>
    </xf>
    <xf numFmtId="44" fontId="1" fillId="0" borderId="0" xfId="1" applyFont="1" applyFill="1" applyBorder="1" applyAlignment="1">
      <alignment horizontal="right" vertical="center"/>
    </xf>
    <xf numFmtId="44" fontId="0" fillId="0" borderId="0" xfId="1" applyFont="1" applyFill="1" applyAlignment="1">
      <alignment horizontal="center"/>
    </xf>
    <xf numFmtId="44" fontId="0" fillId="0" borderId="0" xfId="1" applyFont="1" applyFill="1" applyBorder="1" applyAlignment="1">
      <alignment horizontal="left"/>
    </xf>
    <xf numFmtId="0" fontId="0" fillId="0" borderId="0" xfId="0" applyAlignment="1">
      <alignment horizontal="center"/>
    </xf>
    <xf numFmtId="0" fontId="7" fillId="0" borderId="1" xfId="6" applyFont="1" applyBorder="1" applyAlignment="1">
      <alignment horizontal="center" vertical="center"/>
    </xf>
    <xf numFmtId="0" fontId="6" fillId="0" borderId="0" xfId="4" applyFont="1" applyBorder="1"/>
    <xf numFmtId="0" fontId="6" fillId="0" borderId="0" xfId="18" applyFont="1"/>
    <xf numFmtId="0" fontId="10" fillId="0" borderId="0" xfId="18" applyFont="1" applyBorder="1" applyAlignment="1">
      <alignment horizontal="center"/>
    </xf>
    <xf numFmtId="0" fontId="6" fillId="0" borderId="0" xfId="18" applyFont="1" applyBorder="1" applyAlignment="1">
      <alignment horizontal="center"/>
    </xf>
    <xf numFmtId="4" fontId="10" fillId="0" borderId="1" xfId="18" applyNumberFormat="1" applyFont="1" applyFill="1" applyBorder="1" applyAlignment="1">
      <alignment horizontal="center" vertical="center"/>
    </xf>
    <xf numFmtId="0" fontId="6" fillId="0" borderId="0" xfId="18" applyFont="1" applyFill="1"/>
    <xf numFmtId="4" fontId="6" fillId="0" borderId="0" xfId="4" applyNumberFormat="1" applyFont="1" applyFill="1"/>
    <xf numFmtId="43" fontId="4" fillId="0" borderId="0" xfId="2" applyFont="1"/>
    <xf numFmtId="0" fontId="0" fillId="0" borderId="3" xfId="0" applyBorder="1" applyAlignment="1">
      <alignment horizontal="center"/>
    </xf>
    <xf numFmtId="0" fontId="12" fillId="3" borderId="1" xfId="19" applyFont="1" applyFill="1" applyBorder="1" applyAlignment="1">
      <alignment horizontal="center" vertical="center"/>
    </xf>
    <xf numFmtId="0" fontId="12" fillId="3" borderId="1" xfId="19" applyFont="1" applyFill="1" applyBorder="1" applyAlignment="1">
      <alignment horizontal="center" vertical="center" wrapText="1"/>
    </xf>
    <xf numFmtId="2" fontId="10" fillId="0" borderId="1" xfId="4" applyNumberFormat="1" applyFont="1" applyFill="1" applyBorder="1" applyAlignment="1">
      <alignment horizontal="center" vertical="center"/>
    </xf>
    <xf numFmtId="0" fontId="10" fillId="5" borderId="1" xfId="4" applyFont="1" applyFill="1" applyBorder="1" applyAlignment="1">
      <alignment horizontal="center"/>
    </xf>
    <xf numFmtId="0" fontId="11" fillId="0" borderId="1" xfId="6" applyFont="1" applyBorder="1" applyAlignment="1">
      <alignment horizontal="center" vertical="center"/>
    </xf>
    <xf numFmtId="0" fontId="10" fillId="5" borderId="1" xfId="18" applyFont="1" applyFill="1" applyBorder="1" applyAlignment="1">
      <alignment horizontal="center"/>
    </xf>
    <xf numFmtId="17" fontId="11" fillId="0" borderId="1" xfId="18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1" fontId="10" fillId="0" borderId="12" xfId="4" applyNumberFormat="1" applyFont="1" applyFill="1" applyBorder="1" applyAlignment="1">
      <alignment horizontal="center" vertical="center"/>
    </xf>
    <xf numFmtId="0" fontId="51" fillId="0" borderId="0" xfId="19" applyFont="1" applyBorder="1"/>
    <xf numFmtId="0" fontId="51" fillId="0" borderId="5" xfId="19" applyFont="1" applyBorder="1"/>
    <xf numFmtId="14" fontId="6" fillId="0" borderId="0" xfId="4" applyNumberFormat="1" applyFont="1" applyFill="1"/>
    <xf numFmtId="14" fontId="7" fillId="0" borderId="1" xfId="6" applyNumberFormat="1" applyFont="1" applyBorder="1" applyAlignment="1">
      <alignment horizontal="center" vertical="center"/>
    </xf>
    <xf numFmtId="14" fontId="11" fillId="0" borderId="1" xfId="18" applyNumberFormat="1" applyFont="1" applyBorder="1" applyAlignment="1">
      <alignment horizontal="center" vertical="center"/>
    </xf>
    <xf numFmtId="1" fontId="11" fillId="2" borderId="0" xfId="4" applyNumberFormat="1" applyFont="1" applyFill="1" applyBorder="1" applyAlignment="1">
      <alignment horizontal="right" vertical="center" wrapText="1"/>
    </xf>
    <xf numFmtId="173" fontId="10" fillId="0" borderId="1" xfId="4" applyNumberFormat="1" applyFont="1" applyFill="1" applyBorder="1" applyAlignment="1">
      <alignment horizontal="center"/>
    </xf>
    <xf numFmtId="14" fontId="11" fillId="0" borderId="1" xfId="6" applyNumberFormat="1" applyFont="1" applyBorder="1" applyAlignment="1">
      <alignment horizontal="center" vertical="center"/>
    </xf>
    <xf numFmtId="0" fontId="10" fillId="0" borderId="5" xfId="4" applyFont="1" applyBorder="1" applyAlignment="1">
      <alignment horizontal="center"/>
    </xf>
    <xf numFmtId="0" fontId="6" fillId="0" borderId="6" xfId="4" applyFont="1" applyBorder="1" applyAlignment="1">
      <alignment horizontal="center"/>
    </xf>
    <xf numFmtId="1" fontId="10" fillId="0" borderId="5" xfId="4" applyNumberFormat="1" applyFont="1" applyFill="1" applyBorder="1" applyAlignment="1">
      <alignment horizontal="center" vertical="center"/>
    </xf>
    <xf numFmtId="0" fontId="10" fillId="0" borderId="6" xfId="4" applyFont="1" applyFill="1" applyBorder="1" applyAlignment="1">
      <alignment horizontal="center"/>
    </xf>
    <xf numFmtId="0" fontId="44" fillId="0" borderId="0" xfId="0" applyFont="1" applyFill="1"/>
    <xf numFmtId="0" fontId="0" fillId="0" borderId="0" xfId="0" applyFont="1" applyBorder="1"/>
    <xf numFmtId="0" fontId="51" fillId="0" borderId="10" xfId="0" applyFont="1" applyBorder="1" applyAlignment="1">
      <alignment horizontal="left"/>
    </xf>
    <xf numFmtId="0" fontId="51" fillId="0" borderId="11" xfId="0" applyFont="1" applyBorder="1" applyAlignment="1">
      <alignment horizontal="left"/>
    </xf>
    <xf numFmtId="0" fontId="51" fillId="0" borderId="11" xfId="0" applyFont="1" applyBorder="1" applyAlignment="1">
      <alignment horizontal="right"/>
    </xf>
    <xf numFmtId="0" fontId="51" fillId="0" borderId="12" xfId="0" applyFont="1" applyBorder="1" applyAlignment="1">
      <alignment horizontal="right"/>
    </xf>
    <xf numFmtId="0" fontId="56" fillId="0" borderId="1" xfId="0" applyFont="1" applyBorder="1" applyAlignment="1">
      <alignment horizontal="left" vertical="center" wrapText="1"/>
    </xf>
    <xf numFmtId="2" fontId="56" fillId="0" borderId="1" xfId="0" applyNumberFormat="1" applyFont="1" applyBorder="1" applyAlignment="1">
      <alignment horizontal="left" vertical="center" wrapText="1"/>
    </xf>
    <xf numFmtId="2" fontId="56" fillId="0" borderId="1" xfId="0" applyNumberFormat="1" applyFont="1" applyBorder="1" applyAlignment="1">
      <alignment horizontal="right" vertical="center" wrapText="1"/>
    </xf>
    <xf numFmtId="0" fontId="51" fillId="0" borderId="0" xfId="0" applyFont="1" applyBorder="1" applyAlignment="1">
      <alignment horizontal="left" vertical="center" wrapText="1"/>
    </xf>
    <xf numFmtId="0" fontId="51" fillId="0" borderId="0" xfId="0" applyFont="1" applyBorder="1" applyAlignment="1">
      <alignment horizontal="right" vertical="center" wrapText="1"/>
    </xf>
    <xf numFmtId="0" fontId="54" fillId="0" borderId="7" xfId="0" applyFont="1" applyBorder="1"/>
    <xf numFmtId="0" fontId="54" fillId="0" borderId="0" xfId="0" applyFont="1" applyBorder="1"/>
    <xf numFmtId="0" fontId="54" fillId="0" borderId="6" xfId="0" applyFont="1" applyBorder="1"/>
    <xf numFmtId="0" fontId="56" fillId="0" borderId="1" xfId="0" applyFont="1" applyBorder="1" applyAlignment="1">
      <alignment horizontal="right" vertical="center" wrapText="1"/>
    </xf>
    <xf numFmtId="0" fontId="54" fillId="0" borderId="0" xfId="0" applyFont="1"/>
    <xf numFmtId="3" fontId="10" fillId="0" borderId="1" xfId="18" applyNumberFormat="1" applyFont="1" applyFill="1" applyBorder="1" applyAlignment="1">
      <alignment horizontal="center"/>
    </xf>
    <xf numFmtId="4" fontId="10" fillId="0" borderId="1" xfId="18" applyNumberFormat="1" applyFont="1" applyFill="1" applyBorder="1" applyAlignment="1">
      <alignment horizontal="center"/>
    </xf>
    <xf numFmtId="0" fontId="10" fillId="0" borderId="5" xfId="18" applyFont="1" applyBorder="1" applyAlignment="1">
      <alignment horizontal="center"/>
    </xf>
    <xf numFmtId="0" fontId="6" fillId="0" borderId="6" xfId="18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17" fontId="31" fillId="2" borderId="1" xfId="0" applyNumberFormat="1" applyFont="1" applyFill="1" applyBorder="1" applyAlignment="1">
      <alignment horizontal="center" vertical="center"/>
    </xf>
    <xf numFmtId="17" fontId="30" fillId="2" borderId="0" xfId="0" applyNumberFormat="1" applyFont="1" applyFill="1" applyBorder="1"/>
    <xf numFmtId="17" fontId="30" fillId="2" borderId="5" xfId="0" applyNumberFormat="1" applyFont="1" applyFill="1" applyBorder="1"/>
    <xf numFmtId="170" fontId="30" fillId="2" borderId="6" xfId="0" applyNumberFormat="1" applyFont="1" applyFill="1" applyBorder="1"/>
    <xf numFmtId="170" fontId="30" fillId="2" borderId="25" xfId="0" applyNumberFormat="1" applyFont="1" applyFill="1" applyBorder="1" applyAlignment="1"/>
    <xf numFmtId="170" fontId="30" fillId="2" borderId="59" xfId="0" applyNumberFormat="1" applyFont="1" applyFill="1" applyBorder="1" applyAlignment="1"/>
    <xf numFmtId="170" fontId="30" fillId="2" borderId="30" xfId="0" applyNumberFormat="1" applyFont="1" applyFill="1" applyBorder="1" applyAlignment="1"/>
    <xf numFmtId="0" fontId="0" fillId="2" borderId="75" xfId="0" applyFont="1" applyFill="1" applyBorder="1" applyAlignment="1">
      <alignment horizontal="center"/>
    </xf>
    <xf numFmtId="0" fontId="0" fillId="2" borderId="76" xfId="0" applyFont="1" applyFill="1" applyBorder="1" applyAlignment="1">
      <alignment horizontal="left"/>
    </xf>
    <xf numFmtId="0" fontId="0" fillId="2" borderId="76" xfId="0" applyFont="1" applyFill="1" applyBorder="1"/>
    <xf numFmtId="44" fontId="1" fillId="2" borderId="76" xfId="1" applyFont="1" applyFill="1" applyBorder="1"/>
    <xf numFmtId="44" fontId="0" fillId="2" borderId="76" xfId="0" applyNumberFormat="1" applyFont="1" applyFill="1" applyBorder="1" applyAlignment="1">
      <alignment horizontal="center"/>
    </xf>
    <xf numFmtId="0" fontId="0" fillId="2" borderId="78" xfId="0" applyFont="1" applyFill="1" applyBorder="1" applyAlignment="1">
      <alignment horizontal="center"/>
    </xf>
    <xf numFmtId="0" fontId="0" fillId="2" borderId="79" xfId="0" applyFont="1" applyFill="1" applyBorder="1" applyAlignment="1">
      <alignment horizontal="left"/>
    </xf>
    <xf numFmtId="0" fontId="0" fillId="2" borderId="79" xfId="0" applyFont="1" applyFill="1" applyBorder="1"/>
    <xf numFmtId="44" fontId="0" fillId="2" borderId="79" xfId="0" applyNumberFormat="1" applyFont="1" applyFill="1" applyBorder="1"/>
    <xf numFmtId="44" fontId="0" fillId="2" borderId="79" xfId="0" applyNumberFormat="1" applyFont="1" applyFill="1" applyBorder="1" applyAlignment="1">
      <alignment horizontal="center"/>
    </xf>
    <xf numFmtId="44" fontId="1" fillId="2" borderId="79" xfId="1" applyFont="1" applyFill="1" applyBorder="1"/>
    <xf numFmtId="43" fontId="1" fillId="2" borderId="79" xfId="2" applyFont="1" applyFill="1" applyBorder="1"/>
    <xf numFmtId="0" fontId="0" fillId="2" borderId="79" xfId="0" applyFont="1" applyFill="1" applyBorder="1" applyAlignment="1">
      <alignment horizontal="left" wrapText="1"/>
    </xf>
    <xf numFmtId="2" fontId="0" fillId="2" borderId="79" xfId="0" applyNumberFormat="1" applyFont="1" applyFill="1" applyBorder="1"/>
    <xf numFmtId="0" fontId="0" fillId="2" borderId="79" xfId="0" applyFont="1" applyFill="1" applyBorder="1" applyAlignment="1">
      <alignment horizontal="center"/>
    </xf>
    <xf numFmtId="0" fontId="0" fillId="2" borderId="80" xfId="0" applyFont="1" applyFill="1" applyBorder="1" applyAlignment="1">
      <alignment horizontal="center"/>
    </xf>
    <xf numFmtId="0" fontId="0" fillId="2" borderId="79" xfId="0" applyFont="1" applyFill="1" applyBorder="1" applyAlignment="1">
      <alignment wrapText="1"/>
    </xf>
    <xf numFmtId="165" fontId="1" fillId="2" borderId="80" xfId="2" applyNumberFormat="1" applyFont="1" applyFill="1" applyBorder="1" applyAlignment="1">
      <alignment horizontal="right"/>
    </xf>
    <xf numFmtId="165" fontId="1" fillId="2" borderId="80" xfId="2" applyNumberFormat="1" applyFont="1" applyFill="1" applyBorder="1" applyAlignment="1">
      <alignment horizontal="center"/>
    </xf>
    <xf numFmtId="0" fontId="0" fillId="2" borderId="79" xfId="0" applyFont="1" applyFill="1" applyBorder="1" applyAlignment="1">
      <alignment horizontal="center" wrapText="1"/>
    </xf>
    <xf numFmtId="3" fontId="0" fillId="2" borderId="80" xfId="0" applyNumberFormat="1" applyFont="1" applyFill="1" applyBorder="1" applyAlignment="1">
      <alignment horizontal="right"/>
    </xf>
    <xf numFmtId="0" fontId="0" fillId="2" borderId="80" xfId="0" applyFont="1" applyFill="1" applyBorder="1" applyAlignment="1">
      <alignment horizontal="right"/>
    </xf>
    <xf numFmtId="0" fontId="0" fillId="2" borderId="81" xfId="0" applyFont="1" applyFill="1" applyBorder="1" applyAlignment="1">
      <alignment horizontal="center"/>
    </xf>
    <xf numFmtId="0" fontId="5" fillId="2" borderId="82" xfId="0" applyFont="1" applyFill="1" applyBorder="1"/>
    <xf numFmtId="0" fontId="0" fillId="2" borderId="82" xfId="0" applyFont="1" applyFill="1" applyBorder="1"/>
    <xf numFmtId="43" fontId="1" fillId="2" borderId="82" xfId="2" applyFont="1" applyFill="1" applyBorder="1"/>
    <xf numFmtId="44" fontId="1" fillId="2" borderId="82" xfId="1" applyFont="1" applyFill="1" applyBorder="1"/>
    <xf numFmtId="0" fontId="54" fillId="0" borderId="0" xfId="0" applyFont="1" applyFill="1" applyBorder="1" applyAlignment="1">
      <alignment horizontal="center"/>
    </xf>
    <xf numFmtId="0" fontId="54" fillId="0" borderId="0" xfId="0" applyFont="1" applyAlignment="1">
      <alignment horizontal="left"/>
    </xf>
    <xf numFmtId="0" fontId="55" fillId="0" borderId="1" xfId="0" applyFont="1" applyBorder="1" applyAlignment="1">
      <alignment horizontal="center"/>
    </xf>
    <xf numFmtId="14" fontId="0" fillId="0" borderId="0" xfId="0" applyNumberFormat="1" applyBorder="1" applyAlignment="1">
      <alignment horizontal="left"/>
    </xf>
    <xf numFmtId="17" fontId="26" fillId="2" borderId="1" xfId="0" applyNumberFormat="1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17" fontId="26" fillId="2" borderId="1" xfId="0" applyNumberFormat="1" applyFont="1" applyFill="1" applyBorder="1" applyAlignment="1">
      <alignment horizontal="center" vertical="center"/>
    </xf>
    <xf numFmtId="14" fontId="26" fillId="2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0" fontId="1" fillId="2" borderId="77" xfId="3" applyNumberFormat="1" applyFont="1" applyFill="1" applyBorder="1" applyAlignment="1">
      <alignment horizontal="center"/>
    </xf>
    <xf numFmtId="10" fontId="1" fillId="2" borderId="80" xfId="3" applyNumberFormat="1" applyFont="1" applyFill="1" applyBorder="1" applyAlignment="1">
      <alignment horizontal="center"/>
    </xf>
    <xf numFmtId="44" fontId="1" fillId="2" borderId="82" xfId="1" applyNumberFormat="1" applyFont="1" applyFill="1" applyBorder="1"/>
    <xf numFmtId="10" fontId="1" fillId="2" borderId="83" xfId="3" applyNumberFormat="1" applyFont="1" applyFill="1" applyBorder="1"/>
    <xf numFmtId="0" fontId="0" fillId="2" borderId="1" xfId="0" applyFont="1" applyFill="1" applyBorder="1" applyAlignment="1">
      <alignment horizontal="center" vertical="center"/>
    </xf>
    <xf numFmtId="9" fontId="1" fillId="4" borderId="1" xfId="3" applyFont="1" applyFill="1" applyBorder="1"/>
    <xf numFmtId="9" fontId="1" fillId="2" borderId="1" xfId="3" applyFont="1" applyFill="1" applyBorder="1"/>
    <xf numFmtId="172" fontId="10" fillId="0" borderId="1" xfId="4" applyNumberFormat="1" applyFont="1" applyFill="1" applyBorder="1" applyAlignment="1">
      <alignment horizontal="center" vertical="center"/>
    </xf>
    <xf numFmtId="4" fontId="10" fillId="0" borderId="1" xfId="4" applyNumberFormat="1" applyFont="1" applyFill="1" applyBorder="1" applyAlignment="1">
      <alignment horizontal="center" vertical="center" wrapText="1"/>
    </xf>
    <xf numFmtId="1" fontId="10" fillId="2" borderId="3" xfId="4" applyNumberFormat="1" applyFont="1" applyFill="1" applyBorder="1" applyAlignment="1">
      <alignment horizontal="right" vertical="center" wrapText="1"/>
    </xf>
    <xf numFmtId="1" fontId="10" fillId="2" borderId="0" xfId="4" applyNumberFormat="1" applyFont="1" applyFill="1" applyBorder="1" applyAlignment="1">
      <alignment horizontal="right" vertical="center" wrapText="1"/>
    </xf>
    <xf numFmtId="3" fontId="10" fillId="0" borderId="1" xfId="4" applyNumberFormat="1" applyFont="1" applyFill="1" applyBorder="1" applyAlignment="1">
      <alignment horizontal="center"/>
    </xf>
    <xf numFmtId="0" fontId="4" fillId="6" borderId="7" xfId="0" applyFont="1" applyFill="1" applyBorder="1" applyAlignment="1"/>
    <xf numFmtId="0" fontId="4" fillId="6" borderId="8" xfId="0" applyFont="1" applyFill="1" applyBorder="1" applyAlignment="1"/>
    <xf numFmtId="0" fontId="4" fillId="6" borderId="9" xfId="0" applyFont="1" applyFill="1" applyBorder="1" applyAlignment="1"/>
    <xf numFmtId="0" fontId="17" fillId="0" borderId="30" xfId="0" applyFont="1" applyBorder="1" applyAlignment="1">
      <alignment horizontal="center" vertical="center" wrapText="1"/>
    </xf>
    <xf numFmtId="17" fontId="17" fillId="0" borderId="0" xfId="0" applyNumberFormat="1" applyFont="1" applyBorder="1" applyAlignment="1">
      <alignment vertical="center" wrapText="1"/>
    </xf>
    <xf numFmtId="17" fontId="17" fillId="0" borderId="30" xfId="0" applyNumberFormat="1" applyFont="1" applyBorder="1" applyAlignment="1">
      <alignment horizontal="center" vertical="center" wrapText="1"/>
    </xf>
    <xf numFmtId="0" fontId="0" fillId="3" borderId="2" xfId="0" applyFont="1" applyFill="1" applyBorder="1" applyAlignment="1"/>
    <xf numFmtId="0" fontId="0" fillId="3" borderId="3" xfId="0" applyFont="1" applyFill="1" applyBorder="1" applyAlignment="1"/>
    <xf numFmtId="0" fontId="0" fillId="3" borderId="4" xfId="0" applyFont="1" applyFill="1" applyBorder="1" applyAlignment="1"/>
    <xf numFmtId="0" fontId="0" fillId="3" borderId="7" xfId="0" applyFont="1" applyFill="1" applyBorder="1" applyAlignment="1"/>
    <xf numFmtId="0" fontId="0" fillId="3" borderId="8" xfId="0" applyFont="1" applyFill="1" applyBorder="1" applyAlignment="1"/>
    <xf numFmtId="0" fontId="0" fillId="3" borderId="9" xfId="0" applyFont="1" applyFill="1" applyBorder="1" applyAlignment="1"/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54" fillId="2" borderId="1" xfId="0" applyFont="1" applyFill="1" applyBorder="1" applyAlignment="1">
      <alignment vertical="center"/>
    </xf>
    <xf numFmtId="0" fontId="0" fillId="3" borderId="2" xfId="0" applyFont="1" applyFill="1" applyBorder="1"/>
    <xf numFmtId="0" fontId="0" fillId="3" borderId="3" xfId="0" applyFont="1" applyFill="1" applyBorder="1"/>
    <xf numFmtId="0" fontId="0" fillId="3" borderId="2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44" fontId="1" fillId="0" borderId="1" xfId="14" applyFont="1" applyBorder="1" applyAlignment="1">
      <alignment horizontal="center" vertical="center" wrapText="1"/>
    </xf>
    <xf numFmtId="168" fontId="1" fillId="2" borderId="1" xfId="15" applyNumberFormat="1" applyFont="1" applyFill="1" applyBorder="1" applyAlignment="1">
      <alignment horizontal="center" vertical="top" wrapText="1"/>
    </xf>
    <xf numFmtId="168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vertical="center"/>
    </xf>
    <xf numFmtId="17" fontId="0" fillId="3" borderId="1" xfId="0" applyNumberFormat="1" applyFont="1" applyFill="1" applyBorder="1" applyAlignment="1">
      <alignment horizontal="center" vertical="center"/>
    </xf>
    <xf numFmtId="17" fontId="35" fillId="5" borderId="72" xfId="4" applyNumberFormat="1" applyFont="1" applyFill="1" applyBorder="1" applyAlignment="1">
      <alignment horizontal="center" vertical="center"/>
    </xf>
    <xf numFmtId="49" fontId="35" fillId="5" borderId="73" xfId="4" applyNumberFormat="1" applyFont="1" applyFill="1" applyBorder="1" applyAlignment="1">
      <alignment horizontal="center"/>
    </xf>
    <xf numFmtId="170" fontId="35" fillId="5" borderId="74" xfId="4" applyNumberFormat="1" applyFont="1" applyFill="1" applyBorder="1" applyAlignment="1">
      <alignment horizontal="center"/>
    </xf>
    <xf numFmtId="17" fontId="0" fillId="2" borderId="58" xfId="0" applyNumberFormat="1" applyFont="1" applyFill="1" applyBorder="1" applyAlignment="1">
      <alignment horizontal="center" vertical="center"/>
    </xf>
    <xf numFmtId="17" fontId="0" fillId="2" borderId="56" xfId="0" applyNumberFormat="1" applyFont="1" applyFill="1" applyBorder="1" applyAlignment="1">
      <alignment horizontal="center" vertical="center"/>
    </xf>
    <xf numFmtId="17" fontId="0" fillId="2" borderId="6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top" wrapText="1"/>
    </xf>
    <xf numFmtId="0" fontId="0" fillId="0" borderId="10" xfId="0" applyFont="1" applyBorder="1"/>
    <xf numFmtId="0" fontId="0" fillId="0" borderId="12" xfId="0" applyFont="1" applyBorder="1"/>
    <xf numFmtId="0" fontId="0" fillId="0" borderId="5" xfId="0" applyFont="1" applyBorder="1"/>
    <xf numFmtId="2" fontId="0" fillId="0" borderId="0" xfId="0" applyNumberFormat="1" applyFont="1"/>
    <xf numFmtId="0" fontId="0" fillId="0" borderId="10" xfId="0" applyFont="1" applyFill="1" applyBorder="1"/>
    <xf numFmtId="0" fontId="0" fillId="0" borderId="12" xfId="0" applyFont="1" applyFill="1" applyBorder="1"/>
    <xf numFmtId="0" fontId="0" fillId="0" borderId="5" xfId="0" applyFont="1" applyFill="1" applyBorder="1"/>
    <xf numFmtId="0" fontId="0" fillId="0" borderId="0" xfId="0" applyFont="1" applyFill="1" applyBorder="1"/>
    <xf numFmtId="0" fontId="0" fillId="2" borderId="2" xfId="0" applyFont="1" applyFill="1" applyBorder="1"/>
    <xf numFmtId="17" fontId="0" fillId="0" borderId="3" xfId="0" applyNumberFormat="1" applyFont="1" applyFill="1" applyBorder="1" applyAlignment="1">
      <alignment horizontal="left" vertical="top" wrapText="1"/>
    </xf>
    <xf numFmtId="0" fontId="0" fillId="2" borderId="4" xfId="0" applyFont="1" applyFill="1" applyBorder="1"/>
    <xf numFmtId="0" fontId="0" fillId="0" borderId="0" xfId="0" applyFont="1" applyAlignment="1"/>
    <xf numFmtId="0" fontId="59" fillId="0" borderId="0" xfId="24" applyFont="1" applyAlignment="1" applyProtection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2" borderId="0" xfId="0" applyFont="1" applyFill="1" applyBorder="1" applyAlignment="1">
      <alignment horizontal="center" vertical="top" wrapText="1"/>
    </xf>
    <xf numFmtId="0" fontId="0" fillId="2" borderId="5" xfId="0" applyFont="1" applyFill="1" applyBorder="1"/>
    <xf numFmtId="0" fontId="0" fillId="2" borderId="0" xfId="0" applyFont="1" applyFill="1" applyBorder="1"/>
    <xf numFmtId="0" fontId="0" fillId="0" borderId="11" xfId="0" applyFont="1" applyBorder="1"/>
    <xf numFmtId="0" fontId="0" fillId="0" borderId="2" xfId="0" applyFont="1" applyBorder="1"/>
    <xf numFmtId="0" fontId="0" fillId="0" borderId="3" xfId="0" applyFont="1" applyBorder="1"/>
    <xf numFmtId="0" fontId="0" fillId="2" borderId="10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44" fontId="1" fillId="2" borderId="1" xfId="14" applyFont="1" applyFill="1" applyBorder="1" applyAlignment="1">
      <alignment horizontal="center" vertical="top" wrapText="1"/>
    </xf>
    <xf numFmtId="44" fontId="0" fillId="3" borderId="1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right"/>
    </xf>
    <xf numFmtId="44" fontId="1" fillId="3" borderId="1" xfId="14" applyFont="1" applyFill="1" applyBorder="1" applyAlignment="1">
      <alignment horizontal="center"/>
    </xf>
    <xf numFmtId="0" fontId="0" fillId="3" borderId="3" xfId="0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44" fontId="1" fillId="2" borderId="1" xfId="14" applyFont="1" applyFill="1" applyBorder="1" applyAlignment="1">
      <alignment horizontal="center"/>
    </xf>
    <xf numFmtId="0" fontId="0" fillId="0" borderId="10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/>
    </xf>
    <xf numFmtId="2" fontId="10" fillId="0" borderId="1" xfId="4" applyNumberFormat="1" applyFont="1" applyFill="1" applyBorder="1" applyAlignment="1">
      <alignment horizontal="center" vertical="center"/>
    </xf>
    <xf numFmtId="0" fontId="10" fillId="5" borderId="1" xfId="4" applyFont="1" applyFill="1" applyBorder="1" applyAlignment="1">
      <alignment horizontal="center"/>
    </xf>
    <xf numFmtId="0" fontId="10" fillId="5" borderId="1" xfId="18" applyFont="1" applyFill="1" applyBorder="1" applyAlignment="1">
      <alignment horizontal="center"/>
    </xf>
    <xf numFmtId="2" fontId="10" fillId="0" borderId="1" xfId="4" applyNumberFormat="1" applyFont="1" applyFill="1" applyBorder="1" applyAlignment="1">
      <alignment horizontal="center" vertical="center"/>
    </xf>
    <xf numFmtId="0" fontId="12" fillId="0" borderId="1" xfId="19" applyFont="1" applyFill="1" applyBorder="1" applyAlignment="1">
      <alignment horizontal="center" vertical="center"/>
    </xf>
    <xf numFmtId="0" fontId="12" fillId="0" borderId="1" xfId="19" applyFont="1" applyFill="1" applyBorder="1" applyAlignment="1">
      <alignment horizontal="center" vertical="center" wrapText="1"/>
    </xf>
    <xf numFmtId="0" fontId="12" fillId="0" borderId="1" xfId="19" applyFont="1" applyFill="1" applyBorder="1" applyAlignment="1">
      <alignment horizontal="center" vertical="center" textRotation="90" wrapText="1"/>
    </xf>
    <xf numFmtId="0" fontId="12" fillId="0" borderId="1" xfId="19" applyFont="1" applyFill="1" applyBorder="1" applyAlignment="1">
      <alignment horizontal="center" vertical="center" textRotation="90"/>
    </xf>
    <xf numFmtId="0" fontId="0" fillId="3" borderId="5" xfId="0" applyFont="1" applyFill="1" applyBorder="1" applyAlignment="1">
      <alignment horizontal="right"/>
    </xf>
    <xf numFmtId="0" fontId="0" fillId="3" borderId="0" xfId="0" applyFont="1" applyFill="1" applyBorder="1"/>
    <xf numFmtId="8" fontId="1" fillId="2" borderId="1" xfId="14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8" fontId="0" fillId="3" borderId="1" xfId="0" applyNumberFormat="1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44" fontId="4" fillId="0" borderId="0" xfId="0" applyNumberFormat="1" applyFont="1" applyFill="1" applyBorder="1" applyAlignment="1">
      <alignment horizontal="center" vertical="center"/>
    </xf>
    <xf numFmtId="2" fontId="10" fillId="0" borderId="1" xfId="4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54" fillId="5" borderId="1" xfId="0" applyFont="1" applyFill="1" applyBorder="1" applyAlignment="1">
      <alignment horizontal="center" vertical="center" wrapText="1"/>
    </xf>
    <xf numFmtId="44" fontId="3" fillId="0" borderId="0" xfId="1" applyFont="1" applyFill="1" applyBorder="1" applyAlignment="1">
      <alignment horizontal="right"/>
    </xf>
    <xf numFmtId="44" fontId="0" fillId="0" borderId="0" xfId="1" applyFont="1" applyFill="1" applyBorder="1" applyAlignment="1">
      <alignment horizontal="right"/>
    </xf>
    <xf numFmtId="44" fontId="4" fillId="0" borderId="0" xfId="1" applyFont="1" applyFill="1" applyBorder="1" applyAlignment="1">
      <alignment horizontal="right" vertical="center"/>
    </xf>
    <xf numFmtId="44" fontId="0" fillId="0" borderId="0" xfId="1" applyFont="1" applyFill="1" applyAlignment="1">
      <alignment horizontal="right"/>
    </xf>
    <xf numFmtId="0" fontId="51" fillId="0" borderId="2" xfId="0" applyFont="1" applyBorder="1" applyAlignment="1">
      <alignment horizontal="left" vertical="center" wrapText="1"/>
    </xf>
    <xf numFmtId="4" fontId="56" fillId="0" borderId="1" xfId="0" applyNumberFormat="1" applyFont="1" applyBorder="1" applyAlignment="1">
      <alignment horizontal="right" vertical="center" wrapText="1"/>
    </xf>
    <xf numFmtId="4" fontId="54" fillId="0" borderId="1" xfId="0" applyNumberFormat="1" applyFont="1" applyBorder="1"/>
    <xf numFmtId="4" fontId="0" fillId="0" borderId="0" xfId="0" applyNumberFormat="1"/>
    <xf numFmtId="4" fontId="4" fillId="0" borderId="0" xfId="0" applyNumberFormat="1" applyFont="1"/>
    <xf numFmtId="177" fontId="3" fillId="0" borderId="0" xfId="2" applyNumberFormat="1" applyFont="1" applyFill="1" applyBorder="1" applyAlignment="1">
      <alignment horizontal="center"/>
    </xf>
    <xf numFmtId="177" fontId="0" fillId="0" borderId="0" xfId="2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center" vertical="center"/>
    </xf>
    <xf numFmtId="177" fontId="0" fillId="0" borderId="0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Border="1" applyAlignment="1">
      <alignment horizontal="right" vertical="center"/>
    </xf>
    <xf numFmtId="177" fontId="0" fillId="0" borderId="0" xfId="2" applyNumberFormat="1" applyFont="1" applyFill="1" applyAlignment="1">
      <alignment horizontal="center"/>
    </xf>
    <xf numFmtId="177" fontId="0" fillId="0" borderId="0" xfId="2" applyNumberFormat="1" applyFont="1" applyFill="1" applyBorder="1" applyAlignment="1">
      <alignment horizontal="left"/>
    </xf>
    <xf numFmtId="44" fontId="6" fillId="0" borderId="0" xfId="1" applyFont="1"/>
    <xf numFmtId="44" fontId="39" fillId="0" borderId="0" xfId="1" applyFont="1"/>
    <xf numFmtId="44" fontId="39" fillId="0" borderId="0" xfId="1" applyFont="1" applyFill="1"/>
    <xf numFmtId="44" fontId="6" fillId="0" borderId="0" xfId="1" applyFont="1" applyFill="1"/>
    <xf numFmtId="44" fontId="6" fillId="0" borderId="0" xfId="4" applyNumberFormat="1" applyFont="1"/>
    <xf numFmtId="178" fontId="0" fillId="0" borderId="55" xfId="0" applyNumberFormat="1" applyFont="1" applyBorder="1" applyAlignment="1">
      <alignment horizontal="center" vertical="center"/>
    </xf>
    <xf numFmtId="178" fontId="0" fillId="0" borderId="57" xfId="0" applyNumberFormat="1" applyFont="1" applyBorder="1" applyAlignment="1">
      <alignment horizontal="center" vertical="center"/>
    </xf>
    <xf numFmtId="178" fontId="0" fillId="0" borderId="63" xfId="0" applyNumberFormat="1" applyFont="1" applyBorder="1" applyAlignment="1">
      <alignment horizontal="center" vertical="center"/>
    </xf>
    <xf numFmtId="2" fontId="10" fillId="0" borderId="1" xfId="4" applyNumberFormat="1" applyFont="1" applyFill="1" applyBorder="1" applyAlignment="1">
      <alignment horizontal="center" vertical="center"/>
    </xf>
    <xf numFmtId="0" fontId="10" fillId="5" borderId="1" xfId="4" applyFont="1" applyFill="1" applyBorder="1" applyAlignment="1">
      <alignment horizontal="center"/>
    </xf>
    <xf numFmtId="0" fontId="10" fillId="5" borderId="1" xfId="18" applyFont="1" applyFill="1" applyBorder="1" applyAlignment="1">
      <alignment horizontal="center"/>
    </xf>
    <xf numFmtId="0" fontId="44" fillId="0" borderId="30" xfId="0" applyFont="1" applyBorder="1"/>
    <xf numFmtId="0" fontId="44" fillId="0" borderId="1" xfId="0" applyFont="1" applyFill="1" applyBorder="1" applyAlignment="1">
      <alignment horizontal="center"/>
    </xf>
    <xf numFmtId="166" fontId="44" fillId="0" borderId="1" xfId="0" applyNumberFormat="1" applyFont="1" applyFill="1" applyBorder="1" applyAlignment="1">
      <alignment horizontal="center"/>
    </xf>
    <xf numFmtId="0" fontId="44" fillId="0" borderId="6" xfId="0" applyFont="1" applyBorder="1" applyAlignment="1">
      <alignment horizontal="center"/>
    </xf>
    <xf numFmtId="0" fontId="64" fillId="0" borderId="1" xfId="0" applyFont="1" applyBorder="1" applyAlignment="1">
      <alignment horizontal="left" vertical="center" wrapText="1"/>
    </xf>
    <xf numFmtId="2" fontId="64" fillId="0" borderId="1" xfId="0" applyNumberFormat="1" applyFont="1" applyBorder="1" applyAlignment="1">
      <alignment horizontal="left" vertical="center" wrapText="1"/>
    </xf>
    <xf numFmtId="2" fontId="64" fillId="0" borderId="1" xfId="0" applyNumberFormat="1" applyFont="1" applyBorder="1" applyAlignment="1">
      <alignment horizontal="right" vertical="center" wrapText="1"/>
    </xf>
    <xf numFmtId="8" fontId="64" fillId="0" borderId="1" xfId="0" applyNumberFormat="1" applyFont="1" applyBorder="1" applyAlignment="1">
      <alignment horizontal="right" vertical="center" wrapText="1"/>
    </xf>
    <xf numFmtId="4" fontId="64" fillId="0" borderId="1" xfId="0" applyNumberFormat="1" applyFont="1" applyBorder="1" applyAlignment="1">
      <alignment horizontal="right" vertical="center" wrapText="1"/>
    </xf>
    <xf numFmtId="0" fontId="51" fillId="9" borderId="6" xfId="19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right"/>
    </xf>
    <xf numFmtId="0" fontId="0" fillId="3" borderId="3" xfId="0" applyFill="1" applyBorder="1"/>
    <xf numFmtId="0" fontId="0" fillId="3" borderId="25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14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0" borderId="10" xfId="0" applyBorder="1"/>
    <xf numFmtId="17" fontId="0" fillId="0" borderId="11" xfId="0" applyNumberFormat="1" applyBorder="1" applyAlignment="1">
      <alignment horizontal="left" vertical="top" wrapText="1"/>
    </xf>
    <xf numFmtId="0" fontId="0" fillId="0" borderId="12" xfId="0" applyBorder="1"/>
    <xf numFmtId="8" fontId="0" fillId="3" borderId="1" xfId="0" applyNumberForma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8" fontId="56" fillId="0" borderId="1" xfId="0" applyNumberFormat="1" applyFont="1" applyBorder="1" applyAlignment="1">
      <alignment horizontal="right" vertical="center" wrapText="1"/>
    </xf>
    <xf numFmtId="43" fontId="0" fillId="0" borderId="0" xfId="2" applyFont="1" applyFill="1" applyBorder="1" applyAlignment="1">
      <alignment horizontal="right" vertical="center"/>
    </xf>
    <xf numFmtId="0" fontId="28" fillId="0" borderId="0" xfId="0" applyFont="1"/>
    <xf numFmtId="170" fontId="28" fillId="0" borderId="0" xfId="0" applyNumberFormat="1" applyFont="1" applyAlignment="1">
      <alignment horizontal="center"/>
    </xf>
    <xf numFmtId="0" fontId="2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4" fontId="0" fillId="0" borderId="1" xfId="0" applyNumberFormat="1" applyFont="1" applyFill="1" applyBorder="1" applyAlignment="1">
      <alignment horizontal="center" vertical="center"/>
    </xf>
    <xf numFmtId="2" fontId="0" fillId="6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/>
    </xf>
    <xf numFmtId="167" fontId="28" fillId="4" borderId="1" xfId="1" applyNumberFormat="1" applyFont="1" applyFill="1" applyBorder="1" applyAlignment="1" applyProtection="1">
      <alignment horizontal="center" vertical="center"/>
      <protection locked="0"/>
    </xf>
    <xf numFmtId="167" fontId="0" fillId="3" borderId="1" xfId="0" applyNumberFormat="1" applyFont="1" applyFill="1" applyBorder="1" applyAlignment="1">
      <alignment horizontal="center" vertical="center"/>
    </xf>
    <xf numFmtId="167" fontId="0" fillId="0" borderId="1" xfId="1" applyNumberFormat="1" applyFont="1" applyFill="1" applyBorder="1" applyAlignment="1">
      <alignment horizontal="center" vertical="center"/>
    </xf>
    <xf numFmtId="165" fontId="0" fillId="0" borderId="1" xfId="2" applyNumberFormat="1" applyFont="1" applyFill="1" applyBorder="1" applyAlignment="1">
      <alignment horizontal="center" vertical="center"/>
    </xf>
    <xf numFmtId="2" fontId="0" fillId="6" borderId="1" xfId="2" applyNumberFormat="1" applyFont="1" applyFill="1" applyBorder="1" applyAlignment="1">
      <alignment horizontal="center" vertical="center"/>
    </xf>
    <xf numFmtId="43" fontId="0" fillId="6" borderId="1" xfId="2" applyNumberFormat="1" applyFont="1" applyFill="1" applyBorder="1" applyAlignment="1">
      <alignment horizontal="center" vertical="center"/>
    </xf>
    <xf numFmtId="176" fontId="0" fillId="0" borderId="1" xfId="2" applyNumberFormat="1" applyFont="1" applyFill="1" applyBorder="1" applyAlignment="1">
      <alignment horizontal="center" vertical="center"/>
    </xf>
    <xf numFmtId="10" fontId="0" fillId="0" borderId="1" xfId="3" applyNumberFormat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46" fillId="4" borderId="1" xfId="1" applyNumberFormat="1" applyFont="1" applyFill="1" applyBorder="1" applyAlignment="1">
      <alignment horizontal="center" vertical="center"/>
    </xf>
    <xf numFmtId="44" fontId="46" fillId="4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9" fontId="0" fillId="0" borderId="1" xfId="2" applyNumberFormat="1" applyFont="1" applyFill="1" applyBorder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/>
    </xf>
    <xf numFmtId="179" fontId="28" fillId="0" borderId="1" xfId="2" applyNumberFormat="1" applyFont="1" applyFill="1" applyBorder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 wrapText="1"/>
    </xf>
    <xf numFmtId="167" fontId="0" fillId="4" borderId="1" xfId="0" applyNumberFormat="1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44" fontId="46" fillId="0" borderId="1" xfId="1" applyNumberFormat="1" applyFont="1" applyFill="1" applyBorder="1" applyAlignment="1">
      <alignment horizontal="center" vertical="center"/>
    </xf>
    <xf numFmtId="44" fontId="46" fillId="0" borderId="1" xfId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11" borderId="85" xfId="0" applyFont="1" applyFill="1" applyBorder="1" applyAlignment="1" applyProtection="1">
      <alignment horizontal="left" vertical="center" wrapText="1"/>
      <protection locked="0"/>
    </xf>
    <xf numFmtId="0" fontId="4" fillId="3" borderId="10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vertical="center" wrapText="1"/>
    </xf>
    <xf numFmtId="0" fontId="67" fillId="3" borderId="10" xfId="0" applyFont="1" applyFill="1" applyBorder="1" applyAlignment="1">
      <alignment vertical="center" wrapText="1"/>
    </xf>
    <xf numFmtId="0" fontId="0" fillId="0" borderId="84" xfId="0" applyFont="1" applyFill="1" applyBorder="1" applyAlignment="1" applyProtection="1">
      <alignment horizontal="left" vertical="center" wrapText="1"/>
      <protection locked="0"/>
    </xf>
    <xf numFmtId="164" fontId="0" fillId="0" borderId="0" xfId="0" applyNumberFormat="1" applyFont="1"/>
    <xf numFmtId="44" fontId="0" fillId="0" borderId="0" xfId="0" applyNumberFormat="1" applyFont="1"/>
    <xf numFmtId="0" fontId="0" fillId="0" borderId="5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0" fontId="28" fillId="0" borderId="10" xfId="0" applyFont="1" applyFill="1" applyBorder="1" applyAlignment="1">
      <alignment vertical="center" wrapText="1"/>
    </xf>
    <xf numFmtId="44" fontId="0" fillId="2" borderId="0" xfId="1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3" fontId="0" fillId="2" borderId="0" xfId="0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/>
    </xf>
    <xf numFmtId="0" fontId="66" fillId="0" borderId="8" xfId="0" applyFont="1" applyBorder="1" applyAlignment="1">
      <alignment horizontal="center"/>
    </xf>
    <xf numFmtId="0" fontId="66" fillId="0" borderId="0" xfId="0" applyFont="1" applyAlignment="1">
      <alignment horizontal="center"/>
    </xf>
    <xf numFmtId="0" fontId="68" fillId="4" borderId="10" xfId="0" applyFont="1" applyFill="1" applyBorder="1" applyAlignment="1" applyProtection="1">
      <alignment horizontal="center" vertical="center"/>
      <protection locked="0"/>
    </xf>
    <xf numFmtId="0" fontId="68" fillId="4" borderId="11" xfId="0" applyFont="1" applyFill="1" applyBorder="1" applyAlignment="1" applyProtection="1">
      <alignment horizontal="center" vertical="center"/>
      <protection locked="0"/>
    </xf>
    <xf numFmtId="0" fontId="68" fillId="4" borderId="12" xfId="0" applyFont="1" applyFill="1" applyBorder="1" applyAlignment="1" applyProtection="1">
      <alignment horizontal="center" vertical="center"/>
      <protection locked="0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" fontId="47" fillId="0" borderId="0" xfId="0" applyNumberFormat="1" applyFont="1" applyBorder="1" applyAlignment="1">
      <alignment horizontal="left"/>
    </xf>
    <xf numFmtId="0" fontId="55" fillId="0" borderId="1" xfId="0" applyFont="1" applyBorder="1" applyAlignment="1">
      <alignment horizontal="center"/>
    </xf>
    <xf numFmtId="17" fontId="55" fillId="0" borderId="1" xfId="0" applyNumberFormat="1" applyFont="1" applyBorder="1" applyAlignment="1">
      <alignment horizontal="center"/>
    </xf>
    <xf numFmtId="14" fontId="55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6" fillId="3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" borderId="10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0" xfId="0" applyBorder="1" applyAlignment="1">
      <alignment horizontal="center"/>
    </xf>
    <xf numFmtId="0" fontId="5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0" fillId="2" borderId="25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58" fillId="0" borderId="10" xfId="0" applyFont="1" applyBorder="1" applyAlignment="1">
      <alignment horizontal="center" vertical="center"/>
    </xf>
    <xf numFmtId="0" fontId="58" fillId="0" borderId="11" xfId="0" applyFont="1" applyBorder="1" applyAlignment="1">
      <alignment horizontal="center" vertical="center"/>
    </xf>
    <xf numFmtId="0" fontId="58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0" fillId="0" borderId="12" xfId="1" applyFont="1" applyBorder="1" applyAlignment="1">
      <alignment horizontal="center"/>
    </xf>
    <xf numFmtId="17" fontId="4" fillId="0" borderId="10" xfId="0" applyNumberFormat="1" applyFont="1" applyBorder="1" applyAlignment="1">
      <alignment horizontal="center"/>
    </xf>
    <xf numFmtId="17" fontId="4" fillId="0" borderId="11" xfId="0" applyNumberFormat="1" applyFont="1" applyBorder="1" applyAlignment="1">
      <alignment horizontal="center"/>
    </xf>
    <xf numFmtId="17" fontId="4" fillId="0" borderId="12" xfId="0" applyNumberFormat="1" applyFont="1" applyBorder="1" applyAlignment="1">
      <alignment horizontal="center"/>
    </xf>
    <xf numFmtId="0" fontId="44" fillId="0" borderId="1" xfId="0" applyFont="1" applyBorder="1" applyAlignment="1">
      <alignment horizontal="right"/>
    </xf>
    <xf numFmtId="0" fontId="8" fillId="0" borderId="1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/>
    </xf>
    <xf numFmtId="0" fontId="7" fillId="0" borderId="10" xfId="6" applyFont="1" applyBorder="1" applyAlignment="1">
      <alignment horizontal="center" vertical="center"/>
    </xf>
    <xf numFmtId="0" fontId="7" fillId="0" borderId="11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17" fontId="7" fillId="0" borderId="1" xfId="6" applyNumberFormat="1" applyFont="1" applyBorder="1" applyAlignment="1">
      <alignment horizontal="center" vertical="center"/>
    </xf>
    <xf numFmtId="166" fontId="6" fillId="0" borderId="29" xfId="11" applyNumberFormat="1" applyFont="1" applyFill="1" applyBorder="1" applyAlignment="1">
      <alignment horizontal="center" vertical="center"/>
    </xf>
    <xf numFmtId="169" fontId="6" fillId="0" borderId="29" xfId="11" applyNumberFormat="1" applyFont="1" applyFill="1" applyBorder="1" applyAlignment="1">
      <alignment horizontal="center" vertical="center"/>
    </xf>
    <xf numFmtId="0" fontId="7" fillId="3" borderId="27" xfId="11" applyFont="1" applyFill="1" applyBorder="1" applyAlignment="1">
      <alignment horizontal="center" vertical="center" wrapText="1"/>
    </xf>
    <xf numFmtId="0" fontId="7" fillId="3" borderId="14" xfId="11" applyFont="1" applyFill="1" applyBorder="1" applyAlignment="1">
      <alignment horizontal="center" vertical="center"/>
    </xf>
    <xf numFmtId="0" fontId="7" fillId="3" borderId="15" xfId="11" applyFont="1" applyFill="1" applyBorder="1" applyAlignment="1">
      <alignment horizontal="center" vertical="center"/>
    </xf>
    <xf numFmtId="0" fontId="7" fillId="3" borderId="16" xfId="11" applyFont="1" applyFill="1" applyBorder="1" applyAlignment="1">
      <alignment horizontal="center" vertical="center"/>
    </xf>
    <xf numFmtId="0" fontId="7" fillId="3" borderId="52" xfId="11" applyFont="1" applyFill="1" applyBorder="1" applyAlignment="1">
      <alignment horizontal="center"/>
    </xf>
    <xf numFmtId="0" fontId="7" fillId="3" borderId="34" xfId="11" applyFont="1" applyFill="1" applyBorder="1" applyAlignment="1">
      <alignment horizontal="center"/>
    </xf>
    <xf numFmtId="0" fontId="7" fillId="3" borderId="53" xfId="11" applyFont="1" applyFill="1" applyBorder="1" applyAlignment="1">
      <alignment horizontal="center"/>
    </xf>
    <xf numFmtId="0" fontId="7" fillId="3" borderId="26" xfId="11" applyFont="1" applyFill="1" applyBorder="1" applyAlignment="1">
      <alignment horizontal="center" vertical="center" wrapText="1"/>
    </xf>
    <xf numFmtId="0" fontId="8" fillId="0" borderId="33" xfId="11" applyFont="1" applyFill="1" applyBorder="1" applyAlignment="1">
      <alignment horizontal="center" vertical="center"/>
    </xf>
    <xf numFmtId="0" fontId="8" fillId="0" borderId="24" xfId="11" applyFont="1" applyFill="1" applyBorder="1" applyAlignment="1">
      <alignment horizontal="center" vertical="center"/>
    </xf>
    <xf numFmtId="0" fontId="8" fillId="0" borderId="22" xfId="11" applyFont="1" applyFill="1" applyBorder="1" applyAlignment="1">
      <alignment horizontal="center" vertical="center"/>
    </xf>
    <xf numFmtId="0" fontId="8" fillId="0" borderId="23" xfId="11" applyFont="1" applyFill="1" applyBorder="1" applyAlignment="1">
      <alignment horizontal="center" vertical="center"/>
    </xf>
    <xf numFmtId="0" fontId="7" fillId="0" borderId="26" xfId="11" applyFont="1" applyFill="1" applyBorder="1" applyAlignment="1">
      <alignment horizontal="center" vertical="center"/>
    </xf>
    <xf numFmtId="0" fontId="7" fillId="0" borderId="27" xfId="11" applyFont="1" applyFill="1" applyBorder="1" applyAlignment="1">
      <alignment horizontal="center" vertical="center"/>
    </xf>
    <xf numFmtId="0" fontId="37" fillId="0" borderId="36" xfId="11" applyFont="1" applyBorder="1" applyAlignment="1">
      <alignment horizontal="center" vertical="center"/>
    </xf>
    <xf numFmtId="0" fontId="37" fillId="0" borderId="15" xfId="11" applyFont="1" applyBorder="1" applyAlignment="1">
      <alignment horizontal="center" vertical="center"/>
    </xf>
    <xf numFmtId="0" fontId="37" fillId="0" borderId="50" xfId="11" applyFont="1" applyBorder="1" applyAlignment="1">
      <alignment horizontal="center" vertical="center"/>
    </xf>
    <xf numFmtId="0" fontId="37" fillId="0" borderId="16" xfId="11" applyFont="1" applyBorder="1" applyAlignment="1">
      <alignment horizontal="center" vertical="center"/>
    </xf>
    <xf numFmtId="0" fontId="7" fillId="0" borderId="28" xfId="11" applyFont="1" applyBorder="1" applyAlignment="1">
      <alignment horizontal="center" vertical="center"/>
    </xf>
    <xf numFmtId="0" fontId="7" fillId="0" borderId="29" xfId="11" applyFont="1" applyBorder="1" applyAlignment="1">
      <alignment horizontal="center" vertical="center"/>
    </xf>
    <xf numFmtId="0" fontId="37" fillId="0" borderId="51" xfId="11" applyFont="1" applyBorder="1" applyAlignment="1">
      <alignment horizontal="center" vertical="center"/>
    </xf>
    <xf numFmtId="0" fontId="37" fillId="0" borderId="48" xfId="11" applyFont="1" applyBorder="1" applyAlignment="1">
      <alignment horizontal="center" vertical="center"/>
    </xf>
    <xf numFmtId="0" fontId="37" fillId="0" borderId="49" xfId="11" applyFont="1" applyBorder="1" applyAlignment="1">
      <alignment horizontal="center" vertical="center"/>
    </xf>
    <xf numFmtId="0" fontId="37" fillId="0" borderId="29" xfId="11" applyFont="1" applyBorder="1" applyAlignment="1">
      <alignment horizontal="center" vertical="center"/>
    </xf>
    <xf numFmtId="2" fontId="10" fillId="0" borderId="1" xfId="4" applyNumberFormat="1" applyFont="1" applyFill="1" applyBorder="1" applyAlignment="1">
      <alignment horizontal="center" vertical="center"/>
    </xf>
    <xf numFmtId="10" fontId="10" fillId="0" borderId="10" xfId="4" applyNumberFormat="1" applyFont="1" applyFill="1" applyBorder="1" applyAlignment="1">
      <alignment horizontal="center"/>
    </xf>
    <xf numFmtId="10" fontId="10" fillId="0" borderId="11" xfId="4" applyNumberFormat="1" applyFont="1" applyFill="1" applyBorder="1" applyAlignment="1">
      <alignment horizontal="center"/>
    </xf>
    <xf numFmtId="10" fontId="10" fillId="0" borderId="12" xfId="4" applyNumberFormat="1" applyFont="1" applyFill="1" applyBorder="1" applyAlignment="1">
      <alignment horizontal="center"/>
    </xf>
    <xf numFmtId="1" fontId="10" fillId="3" borderId="7" xfId="4" applyNumberFormat="1" applyFont="1" applyFill="1" applyBorder="1" applyAlignment="1">
      <alignment horizontal="left" vertical="center"/>
    </xf>
    <xf numFmtId="1" fontId="10" fillId="3" borderId="8" xfId="4" applyNumberFormat="1" applyFont="1" applyFill="1" applyBorder="1" applyAlignment="1">
      <alignment horizontal="left" vertical="center"/>
    </xf>
    <xf numFmtId="0" fontId="12" fillId="3" borderId="1" xfId="19" applyFont="1" applyFill="1" applyBorder="1" applyAlignment="1">
      <alignment horizontal="center" vertical="center"/>
    </xf>
    <xf numFmtId="0" fontId="12" fillId="3" borderId="1" xfId="19" applyFont="1" applyFill="1" applyBorder="1" applyAlignment="1">
      <alignment horizontal="center" vertical="center" textRotation="90" wrapText="1"/>
    </xf>
    <xf numFmtId="0" fontId="12" fillId="3" borderId="1" xfId="19" applyFont="1" applyFill="1" applyBorder="1" applyAlignment="1">
      <alignment horizontal="center" vertical="center" textRotation="90"/>
    </xf>
    <xf numFmtId="0" fontId="12" fillId="3" borderId="1" xfId="19" applyFont="1" applyFill="1" applyBorder="1" applyAlignment="1">
      <alignment horizontal="center" vertical="center" wrapText="1"/>
    </xf>
    <xf numFmtId="0" fontId="49" fillId="0" borderId="11" xfId="19" applyFont="1" applyBorder="1" applyAlignment="1">
      <alignment horizontal="center" vertical="center"/>
    </xf>
    <xf numFmtId="0" fontId="50" fillId="0" borderId="2" xfId="19" applyFont="1" applyBorder="1" applyAlignment="1">
      <alignment horizontal="center" vertical="center" wrapText="1"/>
    </xf>
    <xf numFmtId="0" fontId="50" fillId="0" borderId="3" xfId="19" applyFont="1" applyBorder="1" applyAlignment="1">
      <alignment horizontal="center" vertical="center" wrapText="1"/>
    </xf>
    <xf numFmtId="0" fontId="50" fillId="0" borderId="4" xfId="19" applyFont="1" applyBorder="1" applyAlignment="1">
      <alignment horizontal="center" vertical="center" wrapText="1"/>
    </xf>
    <xf numFmtId="0" fontId="50" fillId="0" borderId="5" xfId="19" applyFont="1" applyBorder="1" applyAlignment="1">
      <alignment horizontal="center" vertical="center" wrapText="1"/>
    </xf>
    <xf numFmtId="0" fontId="50" fillId="0" borderId="0" xfId="19" applyFont="1" applyBorder="1" applyAlignment="1">
      <alignment horizontal="center" vertical="center" wrapText="1"/>
    </xf>
    <xf numFmtId="0" fontId="50" fillId="0" borderId="6" xfId="19" applyFont="1" applyBorder="1" applyAlignment="1">
      <alignment horizontal="center" vertical="center" wrapText="1"/>
    </xf>
    <xf numFmtId="0" fontId="50" fillId="0" borderId="7" xfId="19" applyFont="1" applyBorder="1" applyAlignment="1">
      <alignment horizontal="center" vertical="center" wrapText="1"/>
    </xf>
    <xf numFmtId="0" fontId="50" fillId="0" borderId="8" xfId="19" applyFont="1" applyBorder="1" applyAlignment="1">
      <alignment horizontal="center" vertical="center" wrapText="1"/>
    </xf>
    <xf numFmtId="0" fontId="50" fillId="0" borderId="9" xfId="19" applyFont="1" applyBorder="1" applyAlignment="1">
      <alignment horizontal="center" vertical="center" wrapText="1"/>
    </xf>
    <xf numFmtId="14" fontId="51" fillId="0" borderId="11" xfId="19" applyNumberFormat="1" applyFont="1" applyBorder="1" applyAlignment="1">
      <alignment horizontal="center" vertical="center"/>
    </xf>
    <xf numFmtId="0" fontId="51" fillId="0" borderId="11" xfId="19" applyFont="1" applyBorder="1" applyAlignment="1">
      <alignment horizontal="center" vertical="center"/>
    </xf>
    <xf numFmtId="0" fontId="50" fillId="0" borderId="1" xfId="19" applyFont="1" applyBorder="1" applyAlignment="1">
      <alignment horizontal="center" vertical="center"/>
    </xf>
    <xf numFmtId="17" fontId="50" fillId="0" borderId="1" xfId="19" applyNumberFormat="1" applyFont="1" applyBorder="1" applyAlignment="1">
      <alignment horizontal="center" vertical="center"/>
    </xf>
    <xf numFmtId="14" fontId="50" fillId="0" borderId="1" xfId="19" applyNumberFormat="1" applyFont="1" applyBorder="1" applyAlignment="1">
      <alignment horizontal="center" vertical="center"/>
    </xf>
    <xf numFmtId="0" fontId="50" fillId="0" borderId="11" xfId="19" applyFont="1" applyBorder="1" applyAlignment="1">
      <alignment horizontal="center" vertical="center" wrapText="1"/>
    </xf>
    <xf numFmtId="0" fontId="50" fillId="0" borderId="12" xfId="19" applyFont="1" applyBorder="1" applyAlignment="1">
      <alignment horizontal="center" vertical="center" wrapText="1"/>
    </xf>
    <xf numFmtId="2" fontId="10" fillId="0" borderId="10" xfId="4" applyNumberFormat="1" applyFont="1" applyFill="1" applyBorder="1" applyAlignment="1">
      <alignment horizontal="center" vertical="center"/>
    </xf>
    <xf numFmtId="2" fontId="10" fillId="0" borderId="12" xfId="4" applyNumberFormat="1" applyFont="1" applyFill="1" applyBorder="1" applyAlignment="1">
      <alignment horizontal="center" vertical="center"/>
    </xf>
    <xf numFmtId="1" fontId="10" fillId="0" borderId="1" xfId="4" applyNumberFormat="1" applyFont="1" applyFill="1" applyBorder="1" applyAlignment="1">
      <alignment horizontal="right" vertical="center"/>
    </xf>
    <xf numFmtId="1" fontId="10" fillId="2" borderId="1" xfId="4" applyNumberFormat="1" applyFont="1" applyFill="1" applyBorder="1" applyAlignment="1">
      <alignment horizontal="right" vertical="center" wrapText="1"/>
    </xf>
    <xf numFmtId="1" fontId="10" fillId="0" borderId="1" xfId="4" applyNumberFormat="1" applyFont="1" applyFill="1" applyBorder="1" applyAlignment="1">
      <alignment horizontal="right" vertical="center" wrapText="1"/>
    </xf>
    <xf numFmtId="0" fontId="10" fillId="5" borderId="1" xfId="4" applyFont="1" applyFill="1" applyBorder="1" applyAlignment="1">
      <alignment horizontal="center"/>
    </xf>
    <xf numFmtId="1" fontId="10" fillId="0" borderId="1" xfId="6" applyNumberFormat="1" applyFont="1" applyFill="1" applyBorder="1" applyAlignment="1">
      <alignment horizontal="right" vertical="center"/>
    </xf>
    <xf numFmtId="0" fontId="11" fillId="0" borderId="1" xfId="6" applyFont="1" applyBorder="1" applyAlignment="1">
      <alignment horizontal="center" vertical="center"/>
    </xf>
    <xf numFmtId="17" fontId="11" fillId="0" borderId="1" xfId="6" applyNumberFormat="1" applyFont="1" applyBorder="1" applyAlignment="1">
      <alignment horizontal="center" vertical="center"/>
    </xf>
    <xf numFmtId="0" fontId="11" fillId="0" borderId="1" xfId="4" applyFont="1" applyBorder="1" applyAlignment="1">
      <alignment horizontal="center"/>
    </xf>
    <xf numFmtId="0" fontId="10" fillId="5" borderId="1" xfId="18" applyFont="1" applyFill="1" applyBorder="1" applyAlignment="1">
      <alignment horizontal="center"/>
    </xf>
    <xf numFmtId="0" fontId="8" fillId="0" borderId="1" xfId="18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6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1" fontId="4" fillId="0" borderId="7" xfId="0" applyNumberFormat="1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4" fillId="0" borderId="9" xfId="0" applyNumberFormat="1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7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1" fontId="4" fillId="0" borderId="9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/>
    </xf>
    <xf numFmtId="0" fontId="14" fillId="7" borderId="7" xfId="0" applyFont="1" applyFill="1" applyBorder="1" applyAlignment="1">
      <alignment horizontal="center"/>
    </xf>
    <xf numFmtId="0" fontId="14" fillId="7" borderId="12" xfId="0" applyFont="1" applyFill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60" fillId="3" borderId="2" xfId="0" applyFont="1" applyFill="1" applyBorder="1" applyAlignment="1">
      <alignment horizontal="left" vertical="top" wrapText="1"/>
    </xf>
    <xf numFmtId="0" fontId="60" fillId="3" borderId="3" xfId="0" applyFont="1" applyFill="1" applyBorder="1" applyAlignment="1">
      <alignment horizontal="left" vertical="top" wrapText="1"/>
    </xf>
    <xf numFmtId="0" fontId="60" fillId="3" borderId="4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10" fontId="18" fillId="0" borderId="1" xfId="3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0" fontId="14" fillId="8" borderId="2" xfId="0" applyFont="1" applyFill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0" fontId="14" fillId="8" borderId="4" xfId="0" applyFont="1" applyFill="1" applyBorder="1" applyAlignment="1">
      <alignment horizontal="center"/>
    </xf>
    <xf numFmtId="14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14" fillId="0" borderId="5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8" fillId="0" borderId="0" xfId="0" applyFont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65" fillId="5" borderId="10" xfId="0" applyFont="1" applyFill="1" applyBorder="1" applyAlignment="1">
      <alignment horizontal="center" vertical="center" wrapText="1"/>
    </xf>
    <xf numFmtId="0" fontId="65" fillId="5" borderId="11" xfId="0" applyFont="1" applyFill="1" applyBorder="1" applyAlignment="1">
      <alignment horizontal="center" vertical="center" wrapText="1"/>
    </xf>
    <xf numFmtId="0" fontId="65" fillId="5" borderId="12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/>
    </xf>
    <xf numFmtId="17" fontId="55" fillId="0" borderId="1" xfId="0" applyNumberFormat="1" applyFont="1" applyBorder="1" applyAlignment="1">
      <alignment horizontal="center" vertical="center" wrapText="1"/>
    </xf>
    <xf numFmtId="14" fontId="55" fillId="0" borderId="1" xfId="0" applyNumberFormat="1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4" fillId="5" borderId="10" xfId="0" applyFont="1" applyFill="1" applyBorder="1" applyAlignment="1">
      <alignment horizontal="center" vertical="center" wrapText="1"/>
    </xf>
    <xf numFmtId="0" fontId="54" fillId="5" borderId="11" xfId="0" applyFont="1" applyFill="1" applyBorder="1" applyAlignment="1">
      <alignment horizontal="center" vertical="center" wrapText="1"/>
    </xf>
    <xf numFmtId="0" fontId="54" fillId="5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right"/>
    </xf>
    <xf numFmtId="169" fontId="0" fillId="0" borderId="8" xfId="0" applyNumberFormat="1" applyBorder="1" applyAlignment="1">
      <alignment horizontal="right"/>
    </xf>
    <xf numFmtId="171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169" fontId="46" fillId="0" borderId="0" xfId="0" applyNumberFormat="1" applyFont="1" applyAlignment="1">
      <alignment horizontal="center"/>
    </xf>
    <xf numFmtId="169" fontId="46" fillId="0" borderId="0" xfId="0" applyNumberFormat="1" applyFont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70" fontId="0" fillId="0" borderId="0" xfId="0" applyNumberFormat="1" applyAlignment="1">
      <alignment horizontal="right"/>
    </xf>
    <xf numFmtId="169" fontId="28" fillId="0" borderId="0" xfId="0" applyNumberFormat="1" applyFont="1" applyAlignment="1">
      <alignment horizontal="center"/>
    </xf>
    <xf numFmtId="169" fontId="28" fillId="0" borderId="0" xfId="0" applyNumberFormat="1" applyFont="1" applyAlignment="1">
      <alignment horizontal="right"/>
    </xf>
    <xf numFmtId="169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169" fontId="0" fillId="0" borderId="0" xfId="0" applyNumberFormat="1" applyAlignment="1">
      <alignment horizontal="center"/>
    </xf>
    <xf numFmtId="171" fontId="46" fillId="0" borderId="0" xfId="0" applyNumberFormat="1" applyFont="1" applyAlignment="1">
      <alignment horizontal="right"/>
    </xf>
    <xf numFmtId="0" fontId="46" fillId="0" borderId="0" xfId="0" applyFont="1" applyAlignment="1">
      <alignment horizontal="right"/>
    </xf>
    <xf numFmtId="171" fontId="46" fillId="6" borderId="0" xfId="0" applyNumberFormat="1" applyFont="1" applyFill="1" applyAlignment="1">
      <alignment horizontal="right"/>
    </xf>
    <xf numFmtId="0" fontId="46" fillId="6" borderId="0" xfId="0" applyFont="1" applyFill="1" applyAlignment="1">
      <alignment horizontal="right"/>
    </xf>
    <xf numFmtId="169" fontId="46" fillId="0" borderId="3" xfId="0" applyNumberFormat="1" applyFont="1" applyBorder="1" applyAlignment="1">
      <alignment horizontal="center"/>
    </xf>
    <xf numFmtId="169" fontId="46" fillId="0" borderId="0" xfId="0" applyNumberFormat="1" applyFont="1" applyBorder="1" applyAlignment="1">
      <alignment horizontal="center"/>
    </xf>
    <xf numFmtId="169" fontId="46" fillId="6" borderId="0" xfId="0" applyNumberFormat="1" applyFont="1" applyFill="1" applyAlignment="1">
      <alignment horizontal="center"/>
    </xf>
    <xf numFmtId="171" fontId="46" fillId="0" borderId="0" xfId="0" applyNumberFormat="1" applyFon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0" fontId="0" fillId="3" borderId="3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3" xfId="0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0" fillId="3" borderId="12" xfId="0" applyFont="1" applyFill="1" applyBorder="1" applyAlignment="1">
      <alignment horizontal="right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17" fontId="29" fillId="2" borderId="25" xfId="0" applyNumberFormat="1" applyFont="1" applyFill="1" applyBorder="1" applyAlignment="1">
      <alignment horizontal="center"/>
    </xf>
    <xf numFmtId="17" fontId="29" fillId="2" borderId="59" xfId="0" applyNumberFormat="1" applyFont="1" applyFill="1" applyBorder="1" applyAlignment="1">
      <alignment horizontal="center"/>
    </xf>
    <xf numFmtId="17" fontId="29" fillId="2" borderId="30" xfId="0" applyNumberFormat="1" applyFont="1" applyFill="1" applyBorder="1" applyAlignment="1">
      <alignment horizontal="center"/>
    </xf>
    <xf numFmtId="17" fontId="35" fillId="2" borderId="10" xfId="0" applyNumberFormat="1" applyFont="1" applyFill="1" applyBorder="1" applyAlignment="1">
      <alignment horizontal="left" vertical="center"/>
    </xf>
    <xf numFmtId="17" fontId="35" fillId="2" borderId="11" xfId="0" applyNumberFormat="1" applyFont="1" applyFill="1" applyBorder="1" applyAlignment="1">
      <alignment horizontal="left" vertical="center"/>
    </xf>
    <xf numFmtId="17" fontId="35" fillId="2" borderId="12" xfId="0" applyNumberFormat="1" applyFont="1" applyFill="1" applyBorder="1" applyAlignment="1">
      <alignment horizontal="left" vertical="center"/>
    </xf>
    <xf numFmtId="0" fontId="34" fillId="0" borderId="10" xfId="8" applyFont="1" applyBorder="1" applyAlignment="1">
      <alignment horizontal="left"/>
    </xf>
    <xf numFmtId="0" fontId="34" fillId="0" borderId="11" xfId="8" applyFont="1" applyBorder="1" applyAlignment="1">
      <alignment horizontal="left"/>
    </xf>
    <xf numFmtId="0" fontId="34" fillId="0" borderId="12" xfId="8" applyFont="1" applyBorder="1" applyAlignment="1">
      <alignment horizontal="left"/>
    </xf>
    <xf numFmtId="49" fontId="35" fillId="5" borderId="67" xfId="4" applyNumberFormat="1" applyFont="1" applyFill="1" applyBorder="1" applyAlignment="1">
      <alignment horizontal="center" vertical="center"/>
    </xf>
    <xf numFmtId="49" fontId="35" fillId="5" borderId="68" xfId="4" applyNumberFormat="1" applyFont="1" applyFill="1" applyBorder="1" applyAlignment="1">
      <alignment horizontal="center" vertical="center"/>
    </xf>
    <xf numFmtId="0" fontId="0" fillId="2" borderId="69" xfId="0" applyFont="1" applyFill="1" applyBorder="1" applyAlignment="1">
      <alignment horizontal="center" vertical="center"/>
    </xf>
    <xf numFmtId="0" fontId="0" fillId="2" borderId="64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71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</cellXfs>
  <cellStyles count="25">
    <cellStyle name="Hiperlink" xfId="24" builtinId="8"/>
    <cellStyle name="Hiperlink 2" xfId="8"/>
    <cellStyle name="Moeda" xfId="1" builtinId="4"/>
    <cellStyle name="Moeda 2" xfId="14"/>
    <cellStyle name="Moeda 3" xfId="15"/>
    <cellStyle name="Moeda 4" xfId="22"/>
    <cellStyle name="Normal" xfId="0" builtinId="0"/>
    <cellStyle name="Normal 2" xfId="4"/>
    <cellStyle name="Normal 3" xfId="6"/>
    <cellStyle name="Normal 3 2" xfId="7"/>
    <cellStyle name="Normal 3 2 2" xfId="18"/>
    <cellStyle name="Normal 3 3" xfId="10"/>
    <cellStyle name="Normal 4" xfId="11"/>
    <cellStyle name="Normal 4 2" xfId="17"/>
    <cellStyle name="Normal 5" xfId="19"/>
    <cellStyle name="Porcentagem" xfId="3" builtinId="5"/>
    <cellStyle name="Porcentagem 2" xfId="13"/>
    <cellStyle name="Porcentagem 3" xfId="21"/>
    <cellStyle name="Separador de milhares 2" xfId="5"/>
    <cellStyle name="Vírgula" xfId="2" builtinId="3"/>
    <cellStyle name="Vírgula 2" xfId="12"/>
    <cellStyle name="Vírgula 3" xfId="16"/>
    <cellStyle name="Vírgula 3 2" xfId="9"/>
    <cellStyle name="Vírgula 4" xfId="20"/>
    <cellStyle name="Vírgula 5" xfId="23"/>
  </cellStyles>
  <dxfs count="9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wmf"/><Relationship Id="rId1" Type="http://schemas.openxmlformats.org/officeDocument/2006/relationships/image" Target="../media/image3.wmf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wmf"/><Relationship Id="rId1" Type="http://schemas.openxmlformats.org/officeDocument/2006/relationships/image" Target="../media/image3.w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wmf"/><Relationship Id="rId1" Type="http://schemas.openxmlformats.org/officeDocument/2006/relationships/image" Target="../media/image3.w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</xdr:colOff>
      <xdr:row>1</xdr:row>
      <xdr:rowOff>22407</xdr:rowOff>
    </xdr:from>
    <xdr:to>
      <xdr:col>0</xdr:col>
      <xdr:colOff>979138</xdr:colOff>
      <xdr:row>3</xdr:row>
      <xdr:rowOff>176488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" y="448231"/>
          <a:ext cx="938317" cy="86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28575</xdr:rowOff>
    </xdr:from>
    <xdr:to>
      <xdr:col>0</xdr:col>
      <xdr:colOff>953364</xdr:colOff>
      <xdr:row>2</xdr:row>
      <xdr:rowOff>171450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934314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22412</xdr:colOff>
      <xdr:row>0</xdr:row>
      <xdr:rowOff>28575</xdr:rowOff>
    </xdr:from>
    <xdr:to>
      <xdr:col>0</xdr:col>
      <xdr:colOff>960729</xdr:colOff>
      <xdr:row>2</xdr:row>
      <xdr:rowOff>171450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2" y="28575"/>
          <a:ext cx="938317" cy="86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26378</xdr:colOff>
      <xdr:row>0</xdr:row>
      <xdr:rowOff>35902</xdr:rowOff>
    </xdr:from>
    <xdr:to>
      <xdr:col>0</xdr:col>
      <xdr:colOff>770520</xdr:colOff>
      <xdr:row>2</xdr:row>
      <xdr:rowOff>139212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78" y="35902"/>
          <a:ext cx="744142" cy="682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0</xdr:rowOff>
    </xdr:from>
    <xdr:to>
      <xdr:col>0</xdr:col>
      <xdr:colOff>0</xdr:colOff>
      <xdr:row>42</xdr:row>
      <xdr:rowOff>19050</xdr:rowOff>
    </xdr:to>
    <xdr:pic>
      <xdr:nvPicPr>
        <xdr:cNvPr id="2" name="Picture 4" descr="epa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6025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38</xdr:row>
      <xdr:rowOff>66675</xdr:rowOff>
    </xdr:from>
    <xdr:to>
      <xdr:col>0</xdr:col>
      <xdr:colOff>0</xdr:colOff>
      <xdr:row>42</xdr:row>
      <xdr:rowOff>95250</xdr:rowOff>
    </xdr:to>
    <xdr:pic>
      <xdr:nvPicPr>
        <xdr:cNvPr id="3" name="Picture 5" descr="epa3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191250"/>
          <a:ext cx="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1</xdr:row>
      <xdr:rowOff>28575</xdr:rowOff>
    </xdr:from>
    <xdr:to>
      <xdr:col>1</xdr:col>
      <xdr:colOff>342900</xdr:colOff>
      <xdr:row>2</xdr:row>
      <xdr:rowOff>304800</xdr:rowOff>
    </xdr:to>
    <xdr:pic>
      <xdr:nvPicPr>
        <xdr:cNvPr id="4" name="Picture 30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6675"/>
          <a:ext cx="7143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428625</xdr:colOff>
      <xdr:row>14</xdr:row>
      <xdr:rowOff>28723</xdr:rowOff>
    </xdr:from>
    <xdr:to>
      <xdr:col>10</xdr:col>
      <xdr:colOff>304800</xdr:colOff>
      <xdr:row>36</xdr:row>
      <xdr:rowOff>142874</xdr:rowOff>
    </xdr:to>
    <xdr:pic>
      <xdr:nvPicPr>
        <xdr:cNvPr id="9" name="Imagem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2248048"/>
          <a:ext cx="4829175" cy="3676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19049</xdr:colOff>
      <xdr:row>44</xdr:row>
      <xdr:rowOff>46228</xdr:rowOff>
    </xdr:from>
    <xdr:to>
      <xdr:col>10</xdr:col>
      <xdr:colOff>285750</xdr:colOff>
      <xdr:row>66</xdr:row>
      <xdr:rowOff>133349</xdr:rowOff>
    </xdr:to>
    <xdr:pic>
      <xdr:nvPicPr>
        <xdr:cNvPr id="10" name="Imagem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299" y="7094728"/>
          <a:ext cx="4781551" cy="3649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36797</xdr:rowOff>
    </xdr:from>
    <xdr:to>
      <xdr:col>5</xdr:col>
      <xdr:colOff>177135</xdr:colOff>
      <xdr:row>2</xdr:row>
      <xdr:rowOff>323850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36797"/>
          <a:ext cx="1043910" cy="953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54</xdr:row>
      <xdr:rowOff>0</xdr:rowOff>
    </xdr:from>
    <xdr:to>
      <xdr:col>0</xdr:col>
      <xdr:colOff>0</xdr:colOff>
      <xdr:row>57</xdr:row>
      <xdr:rowOff>0</xdr:rowOff>
    </xdr:to>
    <xdr:pic>
      <xdr:nvPicPr>
        <xdr:cNvPr id="2" name="Picture 4" descr="epa4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22985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53</xdr:row>
      <xdr:rowOff>66675</xdr:rowOff>
    </xdr:from>
    <xdr:to>
      <xdr:col>0</xdr:col>
      <xdr:colOff>0</xdr:colOff>
      <xdr:row>57</xdr:row>
      <xdr:rowOff>0</xdr:rowOff>
    </xdr:to>
    <xdr:pic>
      <xdr:nvPicPr>
        <xdr:cNvPr id="3" name="Picture 5" descr="epa3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0134600"/>
          <a:ext cx="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146540</xdr:colOff>
      <xdr:row>0</xdr:row>
      <xdr:rowOff>21981</xdr:rowOff>
    </xdr:from>
    <xdr:to>
      <xdr:col>5</xdr:col>
      <xdr:colOff>139213</xdr:colOff>
      <xdr:row>2</xdr:row>
      <xdr:rowOff>148343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0" y="21981"/>
          <a:ext cx="827942" cy="756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0</xdr:rowOff>
    </xdr:from>
    <xdr:to>
      <xdr:col>0</xdr:col>
      <xdr:colOff>0</xdr:colOff>
      <xdr:row>36</xdr:row>
      <xdr:rowOff>0</xdr:rowOff>
    </xdr:to>
    <xdr:pic>
      <xdr:nvPicPr>
        <xdr:cNvPr id="2" name="Picture 4" descr="epa4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43890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0</xdr:colOff>
      <xdr:row>36</xdr:row>
      <xdr:rowOff>0</xdr:rowOff>
    </xdr:to>
    <xdr:pic>
      <xdr:nvPicPr>
        <xdr:cNvPr id="3" name="Picture 5" descr="epa3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343650"/>
          <a:ext cx="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14653</xdr:colOff>
      <xdr:row>0</xdr:row>
      <xdr:rowOff>36634</xdr:rowOff>
    </xdr:from>
    <xdr:to>
      <xdr:col>2</xdr:col>
      <xdr:colOff>231257</xdr:colOff>
      <xdr:row>2</xdr:row>
      <xdr:rowOff>139944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36634"/>
          <a:ext cx="744142" cy="682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28576</xdr:rowOff>
    </xdr:from>
    <xdr:to>
      <xdr:col>0</xdr:col>
      <xdr:colOff>916112</xdr:colOff>
      <xdr:row>2</xdr:row>
      <xdr:rowOff>122465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8576"/>
          <a:ext cx="792287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66675</xdr:rowOff>
    </xdr:from>
    <xdr:to>
      <xdr:col>0</xdr:col>
      <xdr:colOff>1332767</xdr:colOff>
      <xdr:row>2</xdr:row>
      <xdr:rowOff>146877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66675"/>
          <a:ext cx="827942" cy="756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38100</xdr:rowOff>
    </xdr:from>
    <xdr:to>
      <xdr:col>0</xdr:col>
      <xdr:colOff>999392</xdr:colOff>
      <xdr:row>2</xdr:row>
      <xdr:rowOff>159301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38100"/>
          <a:ext cx="827942" cy="759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66676</xdr:colOff>
      <xdr:row>0</xdr:row>
      <xdr:rowOff>114300</xdr:rowOff>
    </xdr:from>
    <xdr:to>
      <xdr:col>4</xdr:col>
      <xdr:colOff>1609725</xdr:colOff>
      <xdr:row>2</xdr:row>
      <xdr:rowOff>62576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1" y="114300"/>
          <a:ext cx="1543049" cy="776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47624</xdr:rowOff>
    </xdr:from>
    <xdr:to>
      <xdr:col>0</xdr:col>
      <xdr:colOff>1049308</xdr:colOff>
      <xdr:row>2</xdr:row>
      <xdr:rowOff>142874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47624"/>
          <a:ext cx="1011209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66676</xdr:colOff>
      <xdr:row>0</xdr:row>
      <xdr:rowOff>114300</xdr:rowOff>
    </xdr:from>
    <xdr:to>
      <xdr:col>4</xdr:col>
      <xdr:colOff>1609725</xdr:colOff>
      <xdr:row>2</xdr:row>
      <xdr:rowOff>62576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8351" y="114300"/>
          <a:ext cx="1543049" cy="776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38099</xdr:colOff>
      <xdr:row>0</xdr:row>
      <xdr:rowOff>47624</xdr:rowOff>
    </xdr:from>
    <xdr:to>
      <xdr:col>0</xdr:col>
      <xdr:colOff>1049308</xdr:colOff>
      <xdr:row>2</xdr:row>
      <xdr:rowOff>142874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47624"/>
          <a:ext cx="1011209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99\e\Users\usuario\Desktop\02%20-%20ALTERA&#199;&#213;ES%20CAIXA_180219\PROJETO%20II%20-%20VILA%20CONCEI&#199;&#195;O\PLANILHA%20PROJETO%20II_0102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UA%20FRANCISCO%20CONSTANTINO%20DE%20OLIVEIRA%20-%20PAVIMENTA&#199;&#195;O\PLANILHA%20OR&#199;AMENTARIA_MR%20466%20V1.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cio/Desktop/PAVIMENTA&#199;&#195;O%20-%20RUA%20FLORIAN&#211;POLIS/PAVIMENTA&#199;&#195;O%20-%20RUA%20FPOL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ARIA"/>
      <sheetName val="Cronograma"/>
      <sheetName val="MEMORIAL DE CAL - PRAÇA SRA"/>
      <sheetName val="MEMORIAL DE CAL - PR TRECHO A"/>
      <sheetName val="MEMORIAL DE CAL - PR TRECHO B"/>
      <sheetName val="BDI"/>
      <sheetName val="PESQUISA"/>
      <sheetName val="COMPOSIÇÕES"/>
    </sheetNames>
    <sheetDataSet>
      <sheetData sheetId="0"/>
      <sheetData sheetId="1"/>
      <sheetData sheetId="2"/>
      <sheetData sheetId="3"/>
      <sheetData sheetId="4"/>
      <sheetData sheetId="5">
        <row r="17">
          <cell r="Q17">
            <v>0.03</v>
          </cell>
          <cell r="R17">
            <v>3.7999999999999999E-2</v>
          </cell>
          <cell r="S17">
            <v>3.4299999999999997E-2</v>
          </cell>
          <cell r="T17">
            <v>5.2900000000000003E-2</v>
          </cell>
          <cell r="U17">
            <v>0.04</v>
          </cell>
          <cell r="V17">
            <v>1.4999999999999999E-2</v>
          </cell>
        </row>
        <row r="18">
          <cell r="Q18">
            <v>8.0000000000000002E-3</v>
          </cell>
          <cell r="R18">
            <v>3.2000000000000002E-3</v>
          </cell>
          <cell r="S18">
            <v>2.8E-3</v>
          </cell>
          <cell r="T18">
            <v>2.5000000000000001E-3</v>
          </cell>
          <cell r="U18">
            <v>8.0999999999999996E-3</v>
          </cell>
          <cell r="V18">
            <v>3.0000000000000001E-3</v>
          </cell>
        </row>
        <row r="19">
          <cell r="Q19">
            <v>9.7000000000000003E-3</v>
          </cell>
          <cell r="R19">
            <v>5.0000000000000001E-3</v>
          </cell>
          <cell r="S19">
            <v>0.01</v>
          </cell>
          <cell r="T19">
            <v>0.01</v>
          </cell>
          <cell r="U19">
            <v>1.46E-2</v>
          </cell>
          <cell r="V19">
            <v>5.5999999999999999E-3</v>
          </cell>
        </row>
        <row r="20">
          <cell r="Q20">
            <v>5.8999999999999999E-3</v>
          </cell>
          <cell r="R20">
            <v>1.0200000000000001E-2</v>
          </cell>
          <cell r="S20">
            <v>9.4000000000000004E-3</v>
          </cell>
          <cell r="T20">
            <v>1.01E-2</v>
          </cell>
          <cell r="U20">
            <v>9.4000000000000004E-3</v>
          </cell>
          <cell r="V20">
            <v>8.5000000000000006E-3</v>
          </cell>
        </row>
        <row r="21">
          <cell r="Q21">
            <v>6.1600000000000002E-2</v>
          </cell>
          <cell r="R21">
            <v>6.6400000000000001E-2</v>
          </cell>
          <cell r="S21">
            <v>6.7400000000000002E-2</v>
          </cell>
          <cell r="T21">
            <v>0.08</v>
          </cell>
          <cell r="U21">
            <v>7.1400000000000005E-2</v>
          </cell>
          <cell r="V21">
            <v>3.5000000000000003E-2</v>
          </cell>
        </row>
        <row r="23">
          <cell r="Q23">
            <v>5.5E-2</v>
          </cell>
          <cell r="R23">
            <v>4.6699999999999998E-2</v>
          </cell>
          <cell r="S23">
            <v>6.7100000000000007E-2</v>
          </cell>
          <cell r="T23">
            <v>7.9299999999999995E-2</v>
          </cell>
          <cell r="U23">
            <v>7.85E-2</v>
          </cell>
          <cell r="V23">
            <v>4.4900000000000002E-2</v>
          </cell>
        </row>
        <row r="24">
          <cell r="Q24">
            <v>0.01</v>
          </cell>
          <cell r="R24">
            <v>7.4000000000000003E-3</v>
          </cell>
          <cell r="S24">
            <v>7.4999999999999997E-3</v>
          </cell>
          <cell r="T24">
            <v>5.5999999999999999E-3</v>
          </cell>
          <cell r="U24">
            <v>1.9900000000000001E-2</v>
          </cell>
          <cell r="V24">
            <v>8.2000000000000007E-3</v>
          </cell>
        </row>
        <row r="25">
          <cell r="Q25">
            <v>1.2699999999999999E-2</v>
          </cell>
          <cell r="R25">
            <v>9.7000000000000003E-3</v>
          </cell>
          <cell r="S25">
            <v>1.7399999999999999E-2</v>
          </cell>
          <cell r="T25">
            <v>1.9699999999999999E-2</v>
          </cell>
          <cell r="U25">
            <v>3.1600000000000003E-2</v>
          </cell>
          <cell r="V25">
            <v>8.8999999999999999E-3</v>
          </cell>
        </row>
        <row r="26">
          <cell r="Q26">
            <v>1.3899999999999999E-2</v>
          </cell>
          <cell r="R26">
            <v>1.21E-2</v>
          </cell>
          <cell r="S26">
            <v>1.17E-2</v>
          </cell>
          <cell r="T26">
            <v>1.11E-2</v>
          </cell>
          <cell r="U26">
            <v>1.3299999999999999E-2</v>
          </cell>
          <cell r="V26">
            <v>1.11E-2</v>
          </cell>
        </row>
        <row r="27">
          <cell r="Q27">
            <v>8.9599999999999999E-2</v>
          </cell>
          <cell r="R27">
            <v>8.6900000000000005E-2</v>
          </cell>
          <cell r="S27">
            <v>9.4E-2</v>
          </cell>
          <cell r="T27">
            <v>9.5100000000000004E-2</v>
          </cell>
          <cell r="U27">
            <v>0.1043</v>
          </cell>
          <cell r="V27">
            <v>6.2199999999999998E-2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MEMORIAL CÁLCULO"/>
      <sheetName val="INDICE DE REAJUSTE "/>
      <sheetName val="AQUISIÇÃO MATERIAL BETUMINOSO"/>
      <sheetName val="Cronograma"/>
      <sheetName val="BDI"/>
      <sheetName val="COMPOSIÇÕES"/>
      <sheetName val="PESQUI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QCI"/>
      <sheetName val="CRONOGRAMA"/>
      <sheetName val="TERRAPL."/>
      <sheetName val="DIM. DREN."/>
      <sheetName val="BACIAS"/>
      <sheetName val="DRENAGEM"/>
      <sheetName val="PAVIM."/>
      <sheetName val="SINALIZAÇÃO"/>
      <sheetName val="BDI"/>
      <sheetName val="COMP. SINAPI"/>
      <sheetName val="COMP. SICRO"/>
      <sheetName val="COTAÇÃO"/>
      <sheetName val="REAJUSTE"/>
      <sheetName val="MAT. BE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G2" t="str">
            <v>PREFEITURA MUNICIPAL DE MARACAJÁ</v>
          </cell>
          <cell r="I2" t="str">
            <v>BAIRRO: VILA BEATRIZ</v>
          </cell>
          <cell r="K2" t="str">
            <v>MUNICIPIO: MARACAJÁ</v>
          </cell>
          <cell r="M2" t="str">
            <v>ESTADO: SANTA CATARINA</v>
          </cell>
        </row>
        <row r="3">
          <cell r="G3" t="str">
            <v>RUA FLORIANÓPOLIS</v>
          </cell>
        </row>
      </sheetData>
      <sheetData sheetId="8"/>
      <sheetData sheetId="9"/>
      <sheetData sheetId="10"/>
      <sheetData sheetId="11"/>
      <sheetData sheetId="12">
        <row r="65">
          <cell r="F65">
            <v>89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anp.gov.br/precos-e-defesa-da-concorrencia/precos/precos-de-distribuica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0"/>
  <sheetViews>
    <sheetView showGridLines="0" tabSelected="1" zoomScale="89" zoomScaleNormal="89" zoomScaleSheetLayoutView="55" workbookViewId="0">
      <pane ySplit="8" topLeftCell="A9" activePane="bottomLeft" state="frozen"/>
      <selection activeCell="C26" sqref="C26"/>
      <selection pane="bottomLeft" activeCell="G10" sqref="G10"/>
    </sheetView>
  </sheetViews>
  <sheetFormatPr defaultRowHeight="15"/>
  <cols>
    <col min="1" max="1" width="15.140625" customWidth="1"/>
    <col min="2" max="2" width="118.42578125" customWidth="1"/>
    <col min="3" max="3" width="9.28515625" bestFit="1" customWidth="1"/>
    <col min="4" max="4" width="12.85546875" bestFit="1" customWidth="1"/>
    <col min="5" max="5" width="18.140625" hidden="1" customWidth="1"/>
    <col min="6" max="6" width="18.140625" style="194" hidden="1" customWidth="1"/>
    <col min="7" max="7" width="16.28515625" customWidth="1"/>
    <col min="8" max="8" width="14.7109375" customWidth="1"/>
    <col min="9" max="9" width="16.7109375" customWidth="1"/>
    <col min="10" max="10" width="19.140625" bestFit="1" customWidth="1"/>
    <col min="11" max="11" width="16.7109375" style="1" customWidth="1"/>
    <col min="12" max="12" width="16.85546875" style="1" customWidth="1"/>
    <col min="13" max="13" width="14.42578125" style="82" bestFit="1" customWidth="1"/>
    <col min="14" max="14" width="15.5703125" style="82" customWidth="1"/>
    <col min="15" max="15" width="9.140625" style="17"/>
    <col min="16" max="16" width="11.5703125" bestFit="1" customWidth="1"/>
    <col min="17" max="18" width="9.28515625" bestFit="1" customWidth="1"/>
    <col min="19" max="19" width="8.7109375" bestFit="1" customWidth="1"/>
    <col min="20" max="20" width="12.28515625" bestFit="1" customWidth="1"/>
    <col min="21" max="21" width="12.7109375" bestFit="1" customWidth="1"/>
    <col min="22" max="22" width="16.42578125" bestFit="1" customWidth="1"/>
  </cols>
  <sheetData>
    <row r="1" spans="1:18" s="249" customFormat="1" ht="33.75">
      <c r="A1" s="635"/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6"/>
      <c r="N1" s="585"/>
      <c r="O1" s="585"/>
      <c r="P1" s="585"/>
      <c r="Q1" s="251"/>
    </row>
    <row r="2" spans="1:18" s="249" customFormat="1" ht="39.75" customHeight="1">
      <c r="B2" s="605" t="s">
        <v>0</v>
      </c>
      <c r="C2" s="637" t="s">
        <v>596</v>
      </c>
      <c r="D2" s="638"/>
      <c r="E2" s="638"/>
      <c r="F2" s="638"/>
      <c r="G2" s="638"/>
      <c r="H2" s="638"/>
      <c r="I2" s="638"/>
      <c r="J2" s="638"/>
      <c r="K2" s="638"/>
      <c r="L2" s="639"/>
      <c r="M2" s="586"/>
    </row>
    <row r="3" spans="1:18" s="376" customFormat="1" ht="15.75">
      <c r="A3" s="646"/>
      <c r="B3" s="423" t="str">
        <f>PAVIM.!$G$2</f>
        <v>PREFEITURA MUNICIPAL DE MARACAJÁ</v>
      </c>
      <c r="C3" s="643" t="s">
        <v>597</v>
      </c>
      <c r="D3" s="643"/>
      <c r="E3" s="643"/>
      <c r="F3" s="643"/>
      <c r="G3" s="643"/>
      <c r="H3" s="644" t="str">
        <f>PAVIM.!$K$2</f>
        <v>MUNICIPIO: MARACAJÁ</v>
      </c>
      <c r="I3" s="644"/>
      <c r="J3" s="643" t="str">
        <f>PAVIM.!$M$2</f>
        <v>ESTADO: SANTA CATARINA</v>
      </c>
      <c r="K3" s="643"/>
      <c r="L3" s="643"/>
      <c r="M3" s="421"/>
      <c r="N3" s="421"/>
      <c r="O3" s="422"/>
    </row>
    <row r="4" spans="1:18" s="376" customFormat="1" ht="15.75">
      <c r="A4" s="646"/>
      <c r="B4" s="643" t="s">
        <v>598</v>
      </c>
      <c r="C4" s="643"/>
      <c r="D4" s="643"/>
      <c r="E4" s="643"/>
      <c r="F4" s="643"/>
      <c r="G4" s="643"/>
      <c r="H4" s="643"/>
      <c r="I4" s="643"/>
      <c r="J4" s="645" t="str">
        <f ca="1">PAVIM.!$M$3</f>
        <v>DATA: 08/10/26</v>
      </c>
      <c r="K4" s="645"/>
      <c r="L4" s="645"/>
      <c r="M4" s="421"/>
      <c r="N4" s="421"/>
      <c r="O4" s="422"/>
    </row>
    <row r="5" spans="1:18">
      <c r="A5" s="237"/>
      <c r="B5" s="232"/>
      <c r="C5" s="232"/>
      <c r="D5" s="642"/>
      <c r="E5" s="642"/>
      <c r="F5" s="642"/>
      <c r="G5" s="642"/>
      <c r="H5" s="232"/>
      <c r="I5" s="232"/>
      <c r="J5" s="233"/>
      <c r="K5" s="234"/>
      <c r="L5" s="238"/>
      <c r="M5" s="75"/>
      <c r="N5" s="75"/>
    </row>
    <row r="6" spans="1:18">
      <c r="A6" s="641" t="s">
        <v>1</v>
      </c>
      <c r="B6" s="640" t="s">
        <v>2</v>
      </c>
      <c r="C6" s="640" t="s">
        <v>3</v>
      </c>
      <c r="D6" s="640" t="s">
        <v>4</v>
      </c>
      <c r="E6" s="647" t="s">
        <v>296</v>
      </c>
      <c r="F6" s="647" t="s">
        <v>297</v>
      </c>
      <c r="G6" s="640" t="s">
        <v>5</v>
      </c>
      <c r="H6" s="640"/>
      <c r="I6" s="640"/>
      <c r="J6" s="640"/>
      <c r="K6" s="640" t="s">
        <v>9</v>
      </c>
      <c r="L6" s="641" t="s">
        <v>10</v>
      </c>
      <c r="M6" s="76"/>
      <c r="N6" s="76"/>
    </row>
    <row r="7" spans="1:18">
      <c r="A7" s="641"/>
      <c r="B7" s="640"/>
      <c r="C7" s="640"/>
      <c r="D7" s="640"/>
      <c r="E7" s="647"/>
      <c r="F7" s="647"/>
      <c r="G7" s="587" t="s">
        <v>6</v>
      </c>
      <c r="H7" s="587" t="s">
        <v>7</v>
      </c>
      <c r="I7" s="587" t="s">
        <v>11</v>
      </c>
      <c r="J7" s="587" t="s">
        <v>450</v>
      </c>
      <c r="K7" s="640"/>
      <c r="L7" s="641"/>
      <c r="M7" s="76"/>
      <c r="N7" s="76"/>
    </row>
    <row r="8" spans="1:18" s="6" customFormat="1">
      <c r="A8" s="626"/>
      <c r="B8" s="627"/>
      <c r="C8" s="627"/>
      <c r="D8" s="627"/>
      <c r="E8" s="627"/>
      <c r="F8" s="628"/>
      <c r="G8" s="627"/>
      <c r="H8" s="627"/>
      <c r="I8" s="627"/>
      <c r="J8" s="627"/>
      <c r="K8" s="628"/>
      <c r="L8" s="629"/>
      <c r="M8" s="77"/>
      <c r="N8" s="77"/>
      <c r="O8" s="18"/>
    </row>
    <row r="9" spans="1:18" s="6" customFormat="1">
      <c r="A9" s="618" t="s">
        <v>635</v>
      </c>
      <c r="B9" s="621" t="s">
        <v>271</v>
      </c>
      <c r="C9" s="650"/>
      <c r="D9" s="651"/>
      <c r="E9" s="651"/>
      <c r="F9" s="651"/>
      <c r="G9" s="651"/>
      <c r="H9" s="651"/>
      <c r="I9" s="651"/>
      <c r="J9" s="651"/>
      <c r="K9" s="651"/>
      <c r="L9" s="652"/>
      <c r="M9" s="76"/>
      <c r="N9" s="76"/>
      <c r="O9" s="18"/>
      <c r="Q9" s="33"/>
      <c r="R9" s="33"/>
    </row>
    <row r="10" spans="1:18">
      <c r="A10" s="197" t="s">
        <v>636</v>
      </c>
      <c r="B10" s="623" t="s">
        <v>271</v>
      </c>
      <c r="C10" s="197" t="s">
        <v>1027</v>
      </c>
      <c r="D10" s="590">
        <v>12</v>
      </c>
      <c r="E10" s="591"/>
      <c r="F10" s="591"/>
      <c r="G10" s="594">
        <v>3413.87</v>
      </c>
      <c r="H10" s="601">
        <v>0.23980000000000001</v>
      </c>
      <c r="I10" s="596">
        <f>TRUNC(G10*(1+H10),2)</f>
        <v>4232.51</v>
      </c>
      <c r="J10" s="596">
        <f>TRUNC(D10*I10,2)</f>
        <v>50790.12</v>
      </c>
      <c r="K10" s="197" t="s">
        <v>1037</v>
      </c>
      <c r="L10" s="597" t="s">
        <v>1038</v>
      </c>
      <c r="M10" s="78"/>
      <c r="N10" s="83"/>
    </row>
    <row r="11" spans="1:18" s="6" customFormat="1">
      <c r="A11" s="618" t="s">
        <v>637</v>
      </c>
      <c r="B11" s="620" t="s">
        <v>599</v>
      </c>
      <c r="C11" s="650"/>
      <c r="D11" s="651"/>
      <c r="E11" s="651"/>
      <c r="F11" s="651"/>
      <c r="G11" s="651"/>
      <c r="H11" s="651"/>
      <c r="I11" s="651"/>
      <c r="J11" s="651"/>
      <c r="K11" s="651"/>
      <c r="L11" s="652"/>
      <c r="M11" s="76"/>
      <c r="N11" s="76"/>
      <c r="O11" s="18"/>
    </row>
    <row r="12" spans="1:18" s="249" customFormat="1">
      <c r="A12" s="197" t="s">
        <v>638</v>
      </c>
      <c r="B12" s="589" t="s">
        <v>625</v>
      </c>
      <c r="C12" s="197" t="s">
        <v>1028</v>
      </c>
      <c r="D12" s="606">
        <v>2</v>
      </c>
      <c r="E12" s="598"/>
      <c r="F12" s="598"/>
      <c r="G12" s="594">
        <v>504.08</v>
      </c>
      <c r="H12" s="601">
        <v>0.23980000000000001</v>
      </c>
      <c r="I12" s="596">
        <f t="shared" ref="I12:I75" si="0">TRUNC(G12*(1+H12),2)</f>
        <v>624.95000000000005</v>
      </c>
      <c r="J12" s="596">
        <f t="shared" ref="J12:J75" si="1">TRUNC(D12*I12,2)</f>
        <v>1249.9000000000001</v>
      </c>
      <c r="K12" s="197" t="s">
        <v>1034</v>
      </c>
      <c r="L12" s="597" t="s">
        <v>1039</v>
      </c>
      <c r="M12" s="78"/>
      <c r="N12" s="78"/>
      <c r="O12" s="251"/>
    </row>
    <row r="13" spans="1:18">
      <c r="A13" s="197" t="s">
        <v>639</v>
      </c>
      <c r="B13" s="589" t="s">
        <v>626</v>
      </c>
      <c r="C13" s="197" t="s">
        <v>1029</v>
      </c>
      <c r="D13" s="606">
        <v>140</v>
      </c>
      <c r="E13" s="598"/>
      <c r="F13" s="598"/>
      <c r="G13" s="594">
        <v>52.65</v>
      </c>
      <c r="H13" s="601">
        <v>0.23980000000000001</v>
      </c>
      <c r="I13" s="596">
        <f t="shared" si="0"/>
        <v>65.27</v>
      </c>
      <c r="J13" s="596">
        <f t="shared" si="1"/>
        <v>9137.7999999999993</v>
      </c>
      <c r="K13" s="197" t="s">
        <v>1034</v>
      </c>
      <c r="L13" s="597" t="s">
        <v>1040</v>
      </c>
      <c r="M13" s="78"/>
      <c r="N13" s="78"/>
    </row>
    <row r="14" spans="1:18" s="249" customFormat="1" ht="30">
      <c r="A14" s="197" t="s">
        <v>640</v>
      </c>
      <c r="B14" s="589" t="s">
        <v>627</v>
      </c>
      <c r="C14" s="197" t="s">
        <v>1028</v>
      </c>
      <c r="D14" s="606">
        <v>11850</v>
      </c>
      <c r="E14" s="598"/>
      <c r="F14" s="598"/>
      <c r="G14" s="594">
        <v>0.75</v>
      </c>
      <c r="H14" s="601">
        <v>0.23980000000000001</v>
      </c>
      <c r="I14" s="596">
        <f t="shared" si="0"/>
        <v>0.92</v>
      </c>
      <c r="J14" s="596">
        <f t="shared" si="1"/>
        <v>10902</v>
      </c>
      <c r="K14" s="197" t="s">
        <v>1034</v>
      </c>
      <c r="L14" s="597" t="s">
        <v>1041</v>
      </c>
      <c r="M14" s="78"/>
      <c r="N14" s="78"/>
      <c r="O14" s="251"/>
    </row>
    <row r="15" spans="1:18" s="249" customFormat="1" ht="30">
      <c r="A15" s="197" t="s">
        <v>641</v>
      </c>
      <c r="B15" s="589" t="s">
        <v>628</v>
      </c>
      <c r="C15" s="197" t="s">
        <v>1029</v>
      </c>
      <c r="D15" s="606">
        <v>1</v>
      </c>
      <c r="E15" s="598"/>
      <c r="F15" s="598"/>
      <c r="G15" s="594">
        <v>2346.42</v>
      </c>
      <c r="H15" s="601">
        <v>0.23980000000000001</v>
      </c>
      <c r="I15" s="596">
        <f t="shared" si="0"/>
        <v>2909.09</v>
      </c>
      <c r="J15" s="596">
        <f t="shared" si="1"/>
        <v>2909.09</v>
      </c>
      <c r="K15" s="197" t="s">
        <v>1034</v>
      </c>
      <c r="L15" s="597" t="s">
        <v>1042</v>
      </c>
      <c r="M15" s="78"/>
      <c r="N15" s="78"/>
      <c r="O15" s="251"/>
    </row>
    <row r="16" spans="1:18" s="249" customFormat="1">
      <c r="A16" s="197" t="s">
        <v>642</v>
      </c>
      <c r="B16" s="589" t="s">
        <v>629</v>
      </c>
      <c r="C16" s="197" t="s">
        <v>1029</v>
      </c>
      <c r="D16" s="606">
        <v>1</v>
      </c>
      <c r="E16" s="598"/>
      <c r="F16" s="598"/>
      <c r="G16" s="594">
        <v>1300</v>
      </c>
      <c r="H16" s="601">
        <v>0.23980000000000001</v>
      </c>
      <c r="I16" s="596">
        <f t="shared" si="0"/>
        <v>1611.74</v>
      </c>
      <c r="J16" s="596">
        <f t="shared" si="1"/>
        <v>1611.74</v>
      </c>
      <c r="K16" s="197" t="s">
        <v>1034</v>
      </c>
      <c r="L16" s="597" t="s">
        <v>1043</v>
      </c>
      <c r="M16" s="78"/>
      <c r="N16" s="78"/>
      <c r="O16" s="251"/>
    </row>
    <row r="17" spans="1:15" s="249" customFormat="1" ht="30">
      <c r="A17" s="197" t="s">
        <v>643</v>
      </c>
      <c r="B17" s="589" t="s">
        <v>630</v>
      </c>
      <c r="C17" s="197" t="s">
        <v>1029</v>
      </c>
      <c r="D17" s="606">
        <v>1</v>
      </c>
      <c r="E17" s="598"/>
      <c r="F17" s="598"/>
      <c r="G17" s="594">
        <v>203.81</v>
      </c>
      <c r="H17" s="601">
        <v>0.23980000000000001</v>
      </c>
      <c r="I17" s="596">
        <f t="shared" si="0"/>
        <v>252.68</v>
      </c>
      <c r="J17" s="596">
        <f t="shared" si="1"/>
        <v>252.68</v>
      </c>
      <c r="K17" s="197" t="s">
        <v>1034</v>
      </c>
      <c r="L17" s="597" t="s">
        <v>1044</v>
      </c>
      <c r="M17" s="78"/>
      <c r="N17" s="78"/>
      <c r="O17" s="251"/>
    </row>
    <row r="18" spans="1:15" s="249" customFormat="1">
      <c r="A18" s="197" t="s">
        <v>644</v>
      </c>
      <c r="B18" s="589" t="s">
        <v>631</v>
      </c>
      <c r="C18" s="197" t="s">
        <v>1029</v>
      </c>
      <c r="D18" s="606">
        <v>1</v>
      </c>
      <c r="E18" s="598"/>
      <c r="F18" s="598"/>
      <c r="G18" s="594">
        <v>211.35</v>
      </c>
      <c r="H18" s="601">
        <v>0.23980000000000001</v>
      </c>
      <c r="I18" s="596">
        <f t="shared" si="0"/>
        <v>262.02999999999997</v>
      </c>
      <c r="J18" s="596">
        <f t="shared" si="1"/>
        <v>262.02999999999997</v>
      </c>
      <c r="K18" s="197" t="s">
        <v>1034</v>
      </c>
      <c r="L18" s="597" t="s">
        <v>1045</v>
      </c>
      <c r="M18" s="78"/>
      <c r="N18" s="78"/>
      <c r="O18" s="251"/>
    </row>
    <row r="19" spans="1:15" s="249" customFormat="1">
      <c r="A19" s="197" t="s">
        <v>645</v>
      </c>
      <c r="B19" s="589" t="s">
        <v>632</v>
      </c>
      <c r="C19" s="197" t="s">
        <v>1029</v>
      </c>
      <c r="D19" s="606">
        <v>1</v>
      </c>
      <c r="E19" s="598"/>
      <c r="F19" s="598"/>
      <c r="G19" s="594">
        <v>157.75</v>
      </c>
      <c r="H19" s="601">
        <v>0.23980000000000001</v>
      </c>
      <c r="I19" s="596">
        <f t="shared" si="0"/>
        <v>195.57</v>
      </c>
      <c r="J19" s="596">
        <f t="shared" si="1"/>
        <v>195.57</v>
      </c>
      <c r="K19" s="197" t="s">
        <v>1034</v>
      </c>
      <c r="L19" s="597" t="s">
        <v>1046</v>
      </c>
      <c r="M19" s="78"/>
      <c r="N19" s="78"/>
      <c r="O19" s="251"/>
    </row>
    <row r="20" spans="1:15" s="249" customFormat="1" ht="30">
      <c r="A20" s="197" t="s">
        <v>646</v>
      </c>
      <c r="B20" s="589" t="s">
        <v>633</v>
      </c>
      <c r="C20" s="197" t="s">
        <v>1030</v>
      </c>
      <c r="D20" s="606">
        <v>6</v>
      </c>
      <c r="E20" s="598"/>
      <c r="F20" s="598"/>
      <c r="G20" s="594">
        <v>6700</v>
      </c>
      <c r="H20" s="601">
        <v>0.23980000000000001</v>
      </c>
      <c r="I20" s="596">
        <f t="shared" si="0"/>
        <v>8306.66</v>
      </c>
      <c r="J20" s="596">
        <f t="shared" si="1"/>
        <v>49839.96</v>
      </c>
      <c r="K20" s="197" t="s">
        <v>1034</v>
      </c>
      <c r="L20" s="597" t="s">
        <v>1047</v>
      </c>
      <c r="M20" s="78"/>
      <c r="N20" s="78"/>
      <c r="O20" s="251"/>
    </row>
    <row r="21" spans="1:15" s="249" customFormat="1" ht="30">
      <c r="A21" s="197" t="s">
        <v>647</v>
      </c>
      <c r="B21" s="589" t="s">
        <v>634</v>
      </c>
      <c r="C21" s="197" t="s">
        <v>1028</v>
      </c>
      <c r="D21" s="606">
        <v>11850</v>
      </c>
      <c r="E21" s="598"/>
      <c r="F21" s="598"/>
      <c r="G21" s="594">
        <v>3.23</v>
      </c>
      <c r="H21" s="601">
        <v>0.23980000000000001</v>
      </c>
      <c r="I21" s="596">
        <f t="shared" si="0"/>
        <v>4</v>
      </c>
      <c r="J21" s="596">
        <f t="shared" si="1"/>
        <v>47400</v>
      </c>
      <c r="K21" s="197" t="s">
        <v>1034</v>
      </c>
      <c r="L21" s="597" t="s">
        <v>1048</v>
      </c>
      <c r="M21" s="78"/>
      <c r="N21" s="78"/>
      <c r="O21" s="251"/>
    </row>
    <row r="22" spans="1:15" s="6" customFormat="1">
      <c r="A22" s="618" t="s">
        <v>657</v>
      </c>
      <c r="B22" s="617" t="s">
        <v>600</v>
      </c>
      <c r="C22" s="650"/>
      <c r="D22" s="651"/>
      <c r="E22" s="651"/>
      <c r="F22" s="651"/>
      <c r="G22" s="651"/>
      <c r="H22" s="651"/>
      <c r="I22" s="651"/>
      <c r="J22" s="651"/>
      <c r="K22" s="651"/>
      <c r="L22" s="652"/>
      <c r="M22" s="76"/>
      <c r="N22" s="76"/>
      <c r="O22" s="18"/>
    </row>
    <row r="23" spans="1:15" ht="45">
      <c r="A23" s="197" t="s">
        <v>658</v>
      </c>
      <c r="B23" s="589" t="s">
        <v>648</v>
      </c>
      <c r="C23" s="197" t="s">
        <v>1031</v>
      </c>
      <c r="D23" s="606">
        <v>174</v>
      </c>
      <c r="E23" s="599"/>
      <c r="F23" s="599"/>
      <c r="G23" s="594">
        <v>67.27</v>
      </c>
      <c r="H23" s="601">
        <v>0.23980000000000001</v>
      </c>
      <c r="I23" s="596">
        <f t="shared" si="0"/>
        <v>83.4</v>
      </c>
      <c r="J23" s="596">
        <f t="shared" si="1"/>
        <v>14511.6</v>
      </c>
      <c r="K23" s="197" t="s">
        <v>1034</v>
      </c>
      <c r="L23" s="597" t="s">
        <v>1049</v>
      </c>
      <c r="M23" s="78"/>
      <c r="N23" s="83"/>
    </row>
    <row r="24" spans="1:15" s="249" customFormat="1" ht="30">
      <c r="A24" s="197" t="s">
        <v>659</v>
      </c>
      <c r="B24" s="589" t="s">
        <v>649</v>
      </c>
      <c r="C24" s="197" t="s">
        <v>567</v>
      </c>
      <c r="D24" s="606">
        <v>43</v>
      </c>
      <c r="E24" s="599"/>
      <c r="F24" s="599"/>
      <c r="G24" s="594">
        <v>918.36</v>
      </c>
      <c r="H24" s="601">
        <v>0.23980000000000001</v>
      </c>
      <c r="I24" s="596">
        <f t="shared" si="0"/>
        <v>1138.58</v>
      </c>
      <c r="J24" s="596">
        <f t="shared" si="1"/>
        <v>48958.94</v>
      </c>
      <c r="K24" s="197" t="s">
        <v>1034</v>
      </c>
      <c r="L24" s="597" t="s">
        <v>1050</v>
      </c>
      <c r="M24" s="78"/>
      <c r="N24" s="83"/>
      <c r="O24" s="251"/>
    </row>
    <row r="25" spans="1:15" s="249" customFormat="1" ht="30">
      <c r="A25" s="197" t="s">
        <v>660</v>
      </c>
      <c r="B25" s="589" t="s">
        <v>650</v>
      </c>
      <c r="C25" s="197" t="s">
        <v>1032</v>
      </c>
      <c r="D25" s="606">
        <v>430.43</v>
      </c>
      <c r="E25" s="599"/>
      <c r="F25" s="599"/>
      <c r="G25" s="594">
        <v>15.56</v>
      </c>
      <c r="H25" s="601">
        <v>0.23980000000000001</v>
      </c>
      <c r="I25" s="596">
        <f t="shared" si="0"/>
        <v>19.29</v>
      </c>
      <c r="J25" s="596">
        <f t="shared" si="1"/>
        <v>8302.99</v>
      </c>
      <c r="K25" s="197" t="s">
        <v>1034</v>
      </c>
      <c r="L25" s="597" t="s">
        <v>1051</v>
      </c>
      <c r="M25" s="78"/>
      <c r="N25" s="83"/>
      <c r="O25" s="251"/>
    </row>
    <row r="26" spans="1:15" s="249" customFormat="1" ht="30">
      <c r="A26" s="197" t="s">
        <v>661</v>
      </c>
      <c r="B26" s="589" t="s">
        <v>651</v>
      </c>
      <c r="C26" s="197" t="s">
        <v>1032</v>
      </c>
      <c r="D26" s="606">
        <v>1592</v>
      </c>
      <c r="E26" s="599"/>
      <c r="F26" s="599"/>
      <c r="G26" s="594">
        <v>11.17</v>
      </c>
      <c r="H26" s="601">
        <v>0.23980000000000001</v>
      </c>
      <c r="I26" s="596">
        <f t="shared" si="0"/>
        <v>13.84</v>
      </c>
      <c r="J26" s="596">
        <f t="shared" si="1"/>
        <v>22033.279999999999</v>
      </c>
      <c r="K26" s="197" t="s">
        <v>1034</v>
      </c>
      <c r="L26" s="597" t="s">
        <v>1052</v>
      </c>
      <c r="M26" s="78"/>
      <c r="N26" s="83"/>
      <c r="O26" s="251"/>
    </row>
    <row r="27" spans="1:15" s="249" customFormat="1" ht="30">
      <c r="A27" s="197" t="s">
        <v>662</v>
      </c>
      <c r="B27" s="589" t="s">
        <v>652</v>
      </c>
      <c r="C27" s="197" t="s">
        <v>1028</v>
      </c>
      <c r="D27" s="606">
        <v>430</v>
      </c>
      <c r="E27" s="599"/>
      <c r="F27" s="599"/>
      <c r="G27" s="594">
        <v>81.680000000000007</v>
      </c>
      <c r="H27" s="601">
        <v>0.23980000000000001</v>
      </c>
      <c r="I27" s="596">
        <f t="shared" si="0"/>
        <v>101.26</v>
      </c>
      <c r="J27" s="596">
        <f t="shared" si="1"/>
        <v>43541.8</v>
      </c>
      <c r="K27" s="197" t="s">
        <v>1034</v>
      </c>
      <c r="L27" s="597" t="s">
        <v>1053</v>
      </c>
      <c r="M27" s="78"/>
      <c r="N27" s="83"/>
      <c r="O27" s="251"/>
    </row>
    <row r="28" spans="1:15" s="249" customFormat="1">
      <c r="A28" s="197" t="s">
        <v>663</v>
      </c>
      <c r="B28" s="589" t="s">
        <v>653</v>
      </c>
      <c r="C28" s="197" t="s">
        <v>324</v>
      </c>
      <c r="D28" s="606">
        <v>260</v>
      </c>
      <c r="E28" s="599"/>
      <c r="F28" s="599"/>
      <c r="G28" s="594">
        <v>37.79</v>
      </c>
      <c r="H28" s="601">
        <v>0.23980000000000001</v>
      </c>
      <c r="I28" s="596">
        <f t="shared" si="0"/>
        <v>46.85</v>
      </c>
      <c r="J28" s="596">
        <f t="shared" si="1"/>
        <v>12181</v>
      </c>
      <c r="K28" s="197" t="s">
        <v>1034</v>
      </c>
      <c r="L28" s="597" t="s">
        <v>1054</v>
      </c>
      <c r="M28" s="78"/>
      <c r="N28" s="83"/>
      <c r="O28" s="251"/>
    </row>
    <row r="29" spans="1:15" s="249" customFormat="1">
      <c r="A29" s="197" t="s">
        <v>664</v>
      </c>
      <c r="B29" s="589" t="s">
        <v>1214</v>
      </c>
      <c r="C29" s="197" t="s">
        <v>1029</v>
      </c>
      <c r="D29" s="606">
        <v>173</v>
      </c>
      <c r="E29" s="599"/>
      <c r="F29" s="599"/>
      <c r="G29" s="594">
        <v>536.35</v>
      </c>
      <c r="H29" s="601">
        <v>0.23980000000000001</v>
      </c>
      <c r="I29" s="596">
        <f t="shared" si="0"/>
        <v>664.96</v>
      </c>
      <c r="J29" s="596">
        <f t="shared" si="1"/>
        <v>115038.08</v>
      </c>
      <c r="K29" s="197" t="s">
        <v>1036</v>
      </c>
      <c r="L29" s="597" t="s">
        <v>1055</v>
      </c>
      <c r="M29" s="78"/>
      <c r="N29" s="83"/>
      <c r="O29" s="251"/>
    </row>
    <row r="30" spans="1:15" s="249" customFormat="1">
      <c r="A30" s="197" t="s">
        <v>665</v>
      </c>
      <c r="B30" s="589" t="s">
        <v>654</v>
      </c>
      <c r="C30" s="197" t="s">
        <v>1029</v>
      </c>
      <c r="D30" s="606">
        <v>1211</v>
      </c>
      <c r="E30" s="599"/>
      <c r="F30" s="599"/>
      <c r="G30" s="594">
        <v>14.04</v>
      </c>
      <c r="H30" s="601">
        <v>0.23980000000000001</v>
      </c>
      <c r="I30" s="596">
        <f t="shared" si="0"/>
        <v>17.399999999999999</v>
      </c>
      <c r="J30" s="596">
        <f t="shared" si="1"/>
        <v>21071.4</v>
      </c>
      <c r="K30" s="197" t="s">
        <v>1036</v>
      </c>
      <c r="L30" s="597" t="s">
        <v>1056</v>
      </c>
      <c r="M30" s="78"/>
      <c r="N30" s="83"/>
      <c r="O30" s="251"/>
    </row>
    <row r="31" spans="1:15">
      <c r="A31" s="197" t="s">
        <v>666</v>
      </c>
      <c r="B31" s="589" t="s">
        <v>655</v>
      </c>
      <c r="C31" s="197" t="s">
        <v>1029</v>
      </c>
      <c r="D31" s="606">
        <v>173</v>
      </c>
      <c r="E31" s="599"/>
      <c r="F31" s="599"/>
      <c r="G31" s="594">
        <v>8.5</v>
      </c>
      <c r="H31" s="601">
        <v>0.23980000000000001</v>
      </c>
      <c r="I31" s="596">
        <f t="shared" si="0"/>
        <v>10.53</v>
      </c>
      <c r="J31" s="596">
        <f t="shared" si="1"/>
        <v>1821.69</v>
      </c>
      <c r="K31" s="197" t="s">
        <v>1036</v>
      </c>
      <c r="L31" s="597" t="s">
        <v>1057</v>
      </c>
      <c r="M31" s="78"/>
      <c r="N31" s="78"/>
    </row>
    <row r="32" spans="1:15" s="249" customFormat="1">
      <c r="A32" s="197" t="s">
        <v>667</v>
      </c>
      <c r="B32" s="589" t="s">
        <v>656</v>
      </c>
      <c r="C32" s="197" t="s">
        <v>1029</v>
      </c>
      <c r="D32" s="607">
        <v>692</v>
      </c>
      <c r="E32" s="591"/>
      <c r="F32" s="591"/>
      <c r="G32" s="594">
        <v>8.6</v>
      </c>
      <c r="H32" s="601">
        <v>0.23980000000000001</v>
      </c>
      <c r="I32" s="596">
        <f t="shared" si="0"/>
        <v>10.66</v>
      </c>
      <c r="J32" s="596">
        <f t="shared" si="1"/>
        <v>7376.72</v>
      </c>
      <c r="K32" s="197" t="s">
        <v>1036</v>
      </c>
      <c r="L32" s="597" t="s">
        <v>1058</v>
      </c>
      <c r="M32" s="78"/>
      <c r="N32" s="83"/>
      <c r="O32" s="251"/>
    </row>
    <row r="33" spans="1:15">
      <c r="A33" s="197" t="s">
        <v>668</v>
      </c>
      <c r="B33" s="589" t="s">
        <v>1215</v>
      </c>
      <c r="C33" s="197" t="s">
        <v>1029</v>
      </c>
      <c r="D33" s="606">
        <v>172</v>
      </c>
      <c r="E33" s="599"/>
      <c r="F33" s="599"/>
      <c r="G33" s="594">
        <v>1856.1</v>
      </c>
      <c r="H33" s="601">
        <v>0.23980000000000001</v>
      </c>
      <c r="I33" s="596">
        <f t="shared" si="0"/>
        <v>2301.19</v>
      </c>
      <c r="J33" s="596">
        <f t="shared" si="1"/>
        <v>395804.68</v>
      </c>
      <c r="K33" s="197" t="s">
        <v>1036</v>
      </c>
      <c r="L33" s="597" t="s">
        <v>1059</v>
      </c>
      <c r="M33" s="78"/>
      <c r="N33" s="78"/>
    </row>
    <row r="34" spans="1:15" s="6" customFormat="1">
      <c r="A34" s="618" t="s">
        <v>691</v>
      </c>
      <c r="B34" s="617" t="s">
        <v>601</v>
      </c>
      <c r="C34" s="650"/>
      <c r="D34" s="651"/>
      <c r="E34" s="651"/>
      <c r="F34" s="651"/>
      <c r="G34" s="651"/>
      <c r="H34" s="651"/>
      <c r="I34" s="651"/>
      <c r="J34" s="651"/>
      <c r="K34" s="651"/>
      <c r="L34" s="652"/>
      <c r="M34" s="527"/>
      <c r="N34" s="76"/>
      <c r="O34" s="18"/>
    </row>
    <row r="35" spans="1:15" s="249" customFormat="1">
      <c r="A35" s="197" t="s">
        <v>692</v>
      </c>
      <c r="B35" s="630" t="s">
        <v>669</v>
      </c>
      <c r="C35" s="197" t="s">
        <v>1028</v>
      </c>
      <c r="D35" s="606">
        <v>1612</v>
      </c>
      <c r="E35" s="602"/>
      <c r="F35" s="602"/>
      <c r="G35" s="594">
        <v>3.09</v>
      </c>
      <c r="H35" s="601">
        <v>0.23980000000000001</v>
      </c>
      <c r="I35" s="596">
        <f t="shared" si="0"/>
        <v>3.83</v>
      </c>
      <c r="J35" s="596">
        <f t="shared" si="1"/>
        <v>6173.96</v>
      </c>
      <c r="K35" s="197" t="s">
        <v>1034</v>
      </c>
      <c r="L35" s="197" t="s">
        <v>1060</v>
      </c>
      <c r="M35" s="581"/>
    </row>
    <row r="36" spans="1:15" s="249" customFormat="1" ht="30">
      <c r="A36" s="197" t="s">
        <v>693</v>
      </c>
      <c r="B36" s="630" t="s">
        <v>670</v>
      </c>
      <c r="C36" s="197" t="s">
        <v>567</v>
      </c>
      <c r="D36" s="606">
        <v>161.19999999999999</v>
      </c>
      <c r="E36" s="602"/>
      <c r="F36" s="602"/>
      <c r="G36" s="594">
        <v>235.51</v>
      </c>
      <c r="H36" s="601">
        <v>0.23980000000000001</v>
      </c>
      <c r="I36" s="596">
        <f t="shared" si="0"/>
        <v>291.98</v>
      </c>
      <c r="J36" s="596">
        <f t="shared" si="1"/>
        <v>47067.17</v>
      </c>
      <c r="K36" s="197" t="s">
        <v>1034</v>
      </c>
      <c r="L36" s="197" t="s">
        <v>1061</v>
      </c>
      <c r="M36" s="581"/>
    </row>
    <row r="37" spans="1:15" s="249" customFormat="1" ht="30">
      <c r="A37" s="197" t="s">
        <v>694</v>
      </c>
      <c r="B37" s="630" t="s">
        <v>671</v>
      </c>
      <c r="C37" s="197" t="s">
        <v>1028</v>
      </c>
      <c r="D37" s="606">
        <v>1612</v>
      </c>
      <c r="E37" s="602"/>
      <c r="F37" s="602"/>
      <c r="G37" s="594">
        <v>108.55</v>
      </c>
      <c r="H37" s="601">
        <v>0.23980000000000001</v>
      </c>
      <c r="I37" s="596">
        <f t="shared" si="0"/>
        <v>134.58000000000001</v>
      </c>
      <c r="J37" s="596">
        <f t="shared" si="1"/>
        <v>216942.96</v>
      </c>
      <c r="K37" s="197" t="s">
        <v>1034</v>
      </c>
      <c r="L37" s="197" t="s">
        <v>1062</v>
      </c>
      <c r="M37" s="581"/>
    </row>
    <row r="38" spans="1:15" s="249" customFormat="1">
      <c r="A38" s="197" t="s">
        <v>695</v>
      </c>
      <c r="B38" s="630" t="s">
        <v>672</v>
      </c>
      <c r="C38" s="197" t="s">
        <v>1028</v>
      </c>
      <c r="D38" s="606">
        <v>1612</v>
      </c>
      <c r="E38" s="602"/>
      <c r="F38" s="602"/>
      <c r="G38" s="594">
        <v>4.8499999999999996</v>
      </c>
      <c r="H38" s="601">
        <v>0.23980000000000001</v>
      </c>
      <c r="I38" s="596">
        <f t="shared" si="0"/>
        <v>6.01</v>
      </c>
      <c r="J38" s="596">
        <f t="shared" si="1"/>
        <v>9688.1200000000008</v>
      </c>
      <c r="K38" s="197" t="s">
        <v>1034</v>
      </c>
      <c r="L38" s="197" t="s">
        <v>1063</v>
      </c>
      <c r="M38" s="581"/>
    </row>
    <row r="39" spans="1:15" s="249" customFormat="1">
      <c r="A39" s="197" t="s">
        <v>696</v>
      </c>
      <c r="B39" s="630" t="s">
        <v>673</v>
      </c>
      <c r="C39" s="197" t="s">
        <v>1028</v>
      </c>
      <c r="D39" s="606">
        <v>1612</v>
      </c>
      <c r="E39" s="602"/>
      <c r="F39" s="602"/>
      <c r="G39" s="594">
        <v>29.79</v>
      </c>
      <c r="H39" s="601">
        <v>0.23980000000000001</v>
      </c>
      <c r="I39" s="596">
        <f t="shared" si="0"/>
        <v>36.93</v>
      </c>
      <c r="J39" s="596">
        <f t="shared" si="1"/>
        <v>59531.16</v>
      </c>
      <c r="K39" s="197" t="s">
        <v>1034</v>
      </c>
      <c r="L39" s="197" t="s">
        <v>1064</v>
      </c>
      <c r="M39" s="581"/>
    </row>
    <row r="40" spans="1:15" s="249" customFormat="1">
      <c r="A40" s="618" t="s">
        <v>697</v>
      </c>
      <c r="B40" s="619" t="s">
        <v>184</v>
      </c>
      <c r="C40" s="653"/>
      <c r="D40" s="654"/>
      <c r="E40" s="654"/>
      <c r="F40" s="654"/>
      <c r="G40" s="654"/>
      <c r="H40" s="654"/>
      <c r="I40" s="654"/>
      <c r="J40" s="654"/>
      <c r="K40" s="654"/>
      <c r="L40" s="655"/>
      <c r="M40" s="581"/>
    </row>
    <row r="41" spans="1:15" s="249" customFormat="1" ht="45">
      <c r="A41" s="197" t="s">
        <v>698</v>
      </c>
      <c r="B41" s="630" t="s">
        <v>674</v>
      </c>
      <c r="C41" s="197" t="s">
        <v>567</v>
      </c>
      <c r="D41" s="606">
        <v>585</v>
      </c>
      <c r="E41" s="602"/>
      <c r="F41" s="602"/>
      <c r="G41" s="594">
        <v>7.36</v>
      </c>
      <c r="H41" s="601">
        <v>0.23980000000000001</v>
      </c>
      <c r="I41" s="596">
        <f t="shared" si="0"/>
        <v>9.1199999999999992</v>
      </c>
      <c r="J41" s="596">
        <f t="shared" si="1"/>
        <v>5335.2</v>
      </c>
      <c r="K41" s="197" t="s">
        <v>1034</v>
      </c>
      <c r="L41" s="197" t="s">
        <v>1065</v>
      </c>
      <c r="M41" s="581"/>
    </row>
    <row r="42" spans="1:15" s="249" customFormat="1" ht="30">
      <c r="A42" s="197" t="s">
        <v>699</v>
      </c>
      <c r="B42" s="630" t="s">
        <v>675</v>
      </c>
      <c r="C42" s="197" t="s">
        <v>1031</v>
      </c>
      <c r="D42" s="606">
        <v>390</v>
      </c>
      <c r="E42" s="602"/>
      <c r="F42" s="602"/>
      <c r="G42" s="594">
        <v>77.319999999999993</v>
      </c>
      <c r="H42" s="601">
        <v>0.23980000000000001</v>
      </c>
      <c r="I42" s="596">
        <f t="shared" si="0"/>
        <v>95.86</v>
      </c>
      <c r="J42" s="596">
        <f t="shared" si="1"/>
        <v>37385.4</v>
      </c>
      <c r="K42" s="197" t="s">
        <v>1034</v>
      </c>
      <c r="L42" s="197" t="s">
        <v>1066</v>
      </c>
      <c r="M42" s="581"/>
    </row>
    <row r="43" spans="1:15" s="249" customFormat="1" ht="45">
      <c r="A43" s="197" t="s">
        <v>700</v>
      </c>
      <c r="B43" s="630" t="s">
        <v>676</v>
      </c>
      <c r="C43" s="197" t="s">
        <v>567</v>
      </c>
      <c r="D43" s="606">
        <v>585</v>
      </c>
      <c r="E43" s="602"/>
      <c r="F43" s="602"/>
      <c r="G43" s="594">
        <v>21.09</v>
      </c>
      <c r="H43" s="601">
        <v>0.23980000000000001</v>
      </c>
      <c r="I43" s="596">
        <f t="shared" si="0"/>
        <v>26.14</v>
      </c>
      <c r="J43" s="596">
        <f t="shared" si="1"/>
        <v>15291.9</v>
      </c>
      <c r="K43" s="197" t="s">
        <v>1034</v>
      </c>
      <c r="L43" s="197" t="s">
        <v>1067</v>
      </c>
      <c r="M43" s="581"/>
    </row>
    <row r="44" spans="1:15" s="249" customFormat="1" ht="30">
      <c r="A44" s="197" t="s">
        <v>701</v>
      </c>
      <c r="B44" s="630" t="s">
        <v>677</v>
      </c>
      <c r="C44" s="197" t="s">
        <v>1029</v>
      </c>
      <c r="D44" s="606">
        <v>17</v>
      </c>
      <c r="E44" s="602"/>
      <c r="F44" s="602"/>
      <c r="G44" s="594">
        <v>1241.6300000000001</v>
      </c>
      <c r="H44" s="601">
        <v>0.23980000000000001</v>
      </c>
      <c r="I44" s="596">
        <f t="shared" si="0"/>
        <v>1539.37</v>
      </c>
      <c r="J44" s="596">
        <f t="shared" si="1"/>
        <v>26169.29</v>
      </c>
      <c r="K44" s="197" t="s">
        <v>1034</v>
      </c>
      <c r="L44" s="197" t="s">
        <v>1068</v>
      </c>
      <c r="M44" s="581"/>
    </row>
    <row r="45" spans="1:15" s="249" customFormat="1">
      <c r="A45" s="618" t="s">
        <v>702</v>
      </c>
      <c r="B45" s="617" t="s">
        <v>185</v>
      </c>
      <c r="C45" s="653"/>
      <c r="D45" s="654"/>
      <c r="E45" s="654"/>
      <c r="F45" s="654"/>
      <c r="G45" s="654"/>
      <c r="H45" s="654"/>
      <c r="I45" s="654"/>
      <c r="J45" s="654"/>
      <c r="K45" s="654"/>
      <c r="L45" s="655"/>
      <c r="M45" s="581"/>
    </row>
    <row r="46" spans="1:15" s="249" customFormat="1" ht="30">
      <c r="A46" s="197" t="s">
        <v>703</v>
      </c>
      <c r="B46" s="630" t="s">
        <v>678</v>
      </c>
      <c r="C46" s="197" t="s">
        <v>1028</v>
      </c>
      <c r="D46" s="606">
        <v>1750</v>
      </c>
      <c r="E46" s="602"/>
      <c r="F46" s="602"/>
      <c r="G46" s="594">
        <v>109.49</v>
      </c>
      <c r="H46" s="601">
        <v>0.23980000000000001</v>
      </c>
      <c r="I46" s="596">
        <f t="shared" si="0"/>
        <v>135.74</v>
      </c>
      <c r="J46" s="596">
        <f t="shared" si="1"/>
        <v>237545</v>
      </c>
      <c r="K46" s="197" t="s">
        <v>1034</v>
      </c>
      <c r="L46" s="197" t="s">
        <v>1069</v>
      </c>
      <c r="M46" s="581"/>
    </row>
    <row r="47" spans="1:15" s="249" customFormat="1" ht="30">
      <c r="A47" s="197" t="s">
        <v>704</v>
      </c>
      <c r="B47" s="630" t="s">
        <v>679</v>
      </c>
      <c r="C47" s="197" t="s">
        <v>1028</v>
      </c>
      <c r="D47" s="606">
        <v>3000</v>
      </c>
      <c r="E47" s="602"/>
      <c r="F47" s="602"/>
      <c r="G47" s="594">
        <v>77.61</v>
      </c>
      <c r="H47" s="601">
        <v>0.23980000000000001</v>
      </c>
      <c r="I47" s="596">
        <f t="shared" si="0"/>
        <v>96.22</v>
      </c>
      <c r="J47" s="596">
        <f t="shared" si="1"/>
        <v>288660</v>
      </c>
      <c r="K47" s="197" t="s">
        <v>1034</v>
      </c>
      <c r="L47" s="197" t="s">
        <v>1070</v>
      </c>
      <c r="M47" s="581"/>
    </row>
    <row r="48" spans="1:15" s="249" customFormat="1" ht="30">
      <c r="A48" s="197" t="s">
        <v>705</v>
      </c>
      <c r="B48" s="630" t="s">
        <v>680</v>
      </c>
      <c r="C48" s="197" t="s">
        <v>1031</v>
      </c>
      <c r="D48" s="606">
        <v>600</v>
      </c>
      <c r="E48" s="602"/>
      <c r="F48" s="602"/>
      <c r="G48" s="594">
        <v>53.45</v>
      </c>
      <c r="H48" s="601">
        <v>0.23980000000000001</v>
      </c>
      <c r="I48" s="596">
        <f t="shared" si="0"/>
        <v>66.260000000000005</v>
      </c>
      <c r="J48" s="596">
        <f t="shared" si="1"/>
        <v>39756</v>
      </c>
      <c r="K48" s="197" t="s">
        <v>1034</v>
      </c>
      <c r="L48" s="597" t="s">
        <v>1071</v>
      </c>
      <c r="M48" s="581"/>
    </row>
    <row r="49" spans="1:21" s="249" customFormat="1" ht="30">
      <c r="A49" s="197" t="s">
        <v>706</v>
      </c>
      <c r="B49" s="630" t="s">
        <v>681</v>
      </c>
      <c r="C49" s="197" t="s">
        <v>1031</v>
      </c>
      <c r="D49" s="608">
        <v>550</v>
      </c>
      <c r="E49" s="602"/>
      <c r="F49" s="602"/>
      <c r="G49" s="594">
        <v>49.72</v>
      </c>
      <c r="H49" s="601">
        <v>0.23980000000000001</v>
      </c>
      <c r="I49" s="596">
        <f t="shared" si="0"/>
        <v>61.64</v>
      </c>
      <c r="J49" s="596">
        <f t="shared" si="1"/>
        <v>33902</v>
      </c>
      <c r="K49" s="197" t="s">
        <v>1034</v>
      </c>
      <c r="L49" s="597" t="s">
        <v>1072</v>
      </c>
      <c r="M49" s="581"/>
    </row>
    <row r="50" spans="1:21" s="249" customFormat="1">
      <c r="A50" s="618" t="s">
        <v>707</v>
      </c>
      <c r="B50" s="622" t="s">
        <v>602</v>
      </c>
      <c r="C50" s="653"/>
      <c r="D50" s="654"/>
      <c r="E50" s="654"/>
      <c r="F50" s="654"/>
      <c r="G50" s="654"/>
      <c r="H50" s="654"/>
      <c r="I50" s="654"/>
      <c r="J50" s="654"/>
      <c r="K50" s="654"/>
      <c r="L50" s="655"/>
      <c r="M50" s="581"/>
    </row>
    <row r="51" spans="1:21" s="249" customFormat="1" ht="30">
      <c r="A51" s="197" t="s">
        <v>708</v>
      </c>
      <c r="B51" s="630" t="s">
        <v>682</v>
      </c>
      <c r="C51" s="197" t="s">
        <v>567</v>
      </c>
      <c r="D51" s="608">
        <v>300</v>
      </c>
      <c r="E51" s="602"/>
      <c r="F51" s="602"/>
      <c r="G51" s="594">
        <v>6.86</v>
      </c>
      <c r="H51" s="601">
        <v>0.23980000000000001</v>
      </c>
      <c r="I51" s="596">
        <f t="shared" si="0"/>
        <v>8.5</v>
      </c>
      <c r="J51" s="596">
        <f t="shared" si="1"/>
        <v>2550</v>
      </c>
      <c r="K51" s="197" t="s">
        <v>1034</v>
      </c>
      <c r="L51" s="597" t="s">
        <v>1073</v>
      </c>
      <c r="M51" s="581"/>
      <c r="N51" s="581"/>
      <c r="O51" s="251"/>
      <c r="P51" s="89"/>
    </row>
    <row r="52" spans="1:21" s="249" customFormat="1" ht="30">
      <c r="A52" s="197" t="s">
        <v>709</v>
      </c>
      <c r="B52" s="630" t="s">
        <v>683</v>
      </c>
      <c r="C52" s="197" t="s">
        <v>1033</v>
      </c>
      <c r="D52" s="606">
        <v>3000</v>
      </c>
      <c r="E52" s="602"/>
      <c r="F52" s="602"/>
      <c r="G52" s="594">
        <v>2.4900000000000002</v>
      </c>
      <c r="H52" s="601">
        <v>0.23980000000000001</v>
      </c>
      <c r="I52" s="596">
        <f t="shared" si="0"/>
        <v>3.08</v>
      </c>
      <c r="J52" s="596">
        <f t="shared" si="1"/>
        <v>9240</v>
      </c>
      <c r="K52" s="197" t="s">
        <v>1034</v>
      </c>
      <c r="L52" s="597" t="s">
        <v>1074</v>
      </c>
      <c r="M52" s="581"/>
      <c r="N52" s="581"/>
      <c r="O52" s="251"/>
      <c r="P52" s="89"/>
    </row>
    <row r="53" spans="1:21" s="6" customFormat="1">
      <c r="A53" s="197" t="s">
        <v>710</v>
      </c>
      <c r="B53" s="589" t="s">
        <v>684</v>
      </c>
      <c r="C53" s="592" t="s">
        <v>1028</v>
      </c>
      <c r="D53" s="609">
        <v>3000</v>
      </c>
      <c r="E53" s="592"/>
      <c r="F53" s="592"/>
      <c r="G53" s="610">
        <v>23.64</v>
      </c>
      <c r="H53" s="601">
        <v>0.23980000000000001</v>
      </c>
      <c r="I53" s="596">
        <f t="shared" si="0"/>
        <v>29.3</v>
      </c>
      <c r="J53" s="596">
        <f t="shared" si="1"/>
        <v>87900</v>
      </c>
      <c r="K53" s="197" t="s">
        <v>1034</v>
      </c>
      <c r="L53" s="197" t="s">
        <v>1075</v>
      </c>
      <c r="M53" s="76"/>
      <c r="N53" s="76"/>
      <c r="O53" s="18"/>
    </row>
    <row r="54" spans="1:21">
      <c r="A54" s="618" t="s">
        <v>711</v>
      </c>
      <c r="B54" s="617" t="s">
        <v>603</v>
      </c>
      <c r="C54" s="653"/>
      <c r="D54" s="654"/>
      <c r="E54" s="654"/>
      <c r="F54" s="654"/>
      <c r="G54" s="654"/>
      <c r="H54" s="654"/>
      <c r="I54" s="654"/>
      <c r="J54" s="654"/>
      <c r="K54" s="654"/>
      <c r="L54" s="655"/>
      <c r="M54" s="79"/>
      <c r="N54" s="83"/>
      <c r="R54" s="2"/>
      <c r="S54" s="2"/>
      <c r="T54" s="2"/>
      <c r="U54" s="2"/>
    </row>
    <row r="55" spans="1:21" s="249" customFormat="1" ht="30">
      <c r="A55" s="197" t="s">
        <v>712</v>
      </c>
      <c r="B55" s="589" t="s">
        <v>685</v>
      </c>
      <c r="C55" s="197" t="s">
        <v>1029</v>
      </c>
      <c r="D55" s="606">
        <v>30</v>
      </c>
      <c r="E55" s="599"/>
      <c r="F55" s="599"/>
      <c r="G55" s="594">
        <v>161.12</v>
      </c>
      <c r="H55" s="601">
        <v>0.23980000000000001</v>
      </c>
      <c r="I55" s="596">
        <f t="shared" si="0"/>
        <v>199.75</v>
      </c>
      <c r="J55" s="596">
        <f t="shared" si="1"/>
        <v>5992.5</v>
      </c>
      <c r="K55" s="197" t="s">
        <v>1034</v>
      </c>
      <c r="L55" s="593" t="s">
        <v>1076</v>
      </c>
      <c r="M55" s="79"/>
      <c r="N55" s="83"/>
      <c r="O55" s="251"/>
      <c r="R55" s="250"/>
      <c r="S55" s="250"/>
      <c r="T55" s="250"/>
      <c r="U55" s="250"/>
    </row>
    <row r="56" spans="1:21" s="249" customFormat="1" ht="30">
      <c r="A56" s="197" t="s">
        <v>713</v>
      </c>
      <c r="B56" s="589" t="s">
        <v>686</v>
      </c>
      <c r="C56" s="197" t="s">
        <v>1029</v>
      </c>
      <c r="D56" s="606">
        <v>30</v>
      </c>
      <c r="E56" s="603">
        <v>39.43</v>
      </c>
      <c r="F56" s="604" t="s">
        <v>282</v>
      </c>
      <c r="G56" s="594">
        <v>2447.73</v>
      </c>
      <c r="H56" s="601">
        <v>0.23980000000000001</v>
      </c>
      <c r="I56" s="596">
        <f t="shared" si="0"/>
        <v>3034.69</v>
      </c>
      <c r="J56" s="596">
        <f t="shared" si="1"/>
        <v>91040.7</v>
      </c>
      <c r="K56" s="197" t="s">
        <v>1034</v>
      </c>
      <c r="L56" s="593" t="s">
        <v>1077</v>
      </c>
      <c r="M56" s="79"/>
      <c r="N56" s="83"/>
      <c r="O56" s="251"/>
      <c r="R56" s="250"/>
      <c r="S56" s="250"/>
      <c r="T56" s="250"/>
      <c r="U56" s="250"/>
    </row>
    <row r="57" spans="1:21" ht="30">
      <c r="A57" s="197" t="s">
        <v>714</v>
      </c>
      <c r="B57" s="589" t="s">
        <v>687</v>
      </c>
      <c r="C57" s="197" t="s">
        <v>1031</v>
      </c>
      <c r="D57" s="606">
        <v>1800</v>
      </c>
      <c r="E57" s="603">
        <v>250.45</v>
      </c>
      <c r="F57" s="604" t="s">
        <v>285</v>
      </c>
      <c r="G57" s="594">
        <v>6.32</v>
      </c>
      <c r="H57" s="601">
        <v>0.23980000000000001</v>
      </c>
      <c r="I57" s="596">
        <f t="shared" si="0"/>
        <v>7.83</v>
      </c>
      <c r="J57" s="596">
        <f t="shared" si="1"/>
        <v>14094</v>
      </c>
      <c r="K57" s="197" t="s">
        <v>1034</v>
      </c>
      <c r="L57" s="593" t="s">
        <v>1078</v>
      </c>
      <c r="M57" s="80"/>
      <c r="N57" s="83"/>
    </row>
    <row r="58" spans="1:21" s="249" customFormat="1" ht="30">
      <c r="A58" s="197" t="s">
        <v>715</v>
      </c>
      <c r="B58" s="589" t="s">
        <v>688</v>
      </c>
      <c r="C58" s="197" t="s">
        <v>1031</v>
      </c>
      <c r="D58" s="606">
        <v>600</v>
      </c>
      <c r="E58" s="603">
        <v>413.92</v>
      </c>
      <c r="F58" s="604" t="s">
        <v>285</v>
      </c>
      <c r="G58" s="594">
        <v>8.94</v>
      </c>
      <c r="H58" s="601">
        <v>0.23980000000000001</v>
      </c>
      <c r="I58" s="596">
        <f t="shared" si="0"/>
        <v>11.08</v>
      </c>
      <c r="J58" s="596">
        <f t="shared" si="1"/>
        <v>6648</v>
      </c>
      <c r="K58" s="197" t="s">
        <v>1034</v>
      </c>
      <c r="L58" s="593" t="s">
        <v>1079</v>
      </c>
      <c r="M58" s="79"/>
      <c r="N58" s="83"/>
      <c r="O58" s="251"/>
      <c r="R58" s="250"/>
      <c r="S58" s="250"/>
      <c r="T58" s="250"/>
      <c r="U58" s="250"/>
    </row>
    <row r="59" spans="1:21" s="249" customFormat="1">
      <c r="A59" s="197" t="s">
        <v>716</v>
      </c>
      <c r="B59" s="589" t="s">
        <v>689</v>
      </c>
      <c r="C59" s="197" t="s">
        <v>1029</v>
      </c>
      <c r="D59" s="606">
        <v>60</v>
      </c>
      <c r="E59" s="603">
        <v>234.94</v>
      </c>
      <c r="F59" s="604" t="s">
        <v>285</v>
      </c>
      <c r="G59" s="594">
        <v>511.58</v>
      </c>
      <c r="H59" s="601">
        <v>0.23980000000000001</v>
      </c>
      <c r="I59" s="596">
        <f t="shared" si="0"/>
        <v>634.25</v>
      </c>
      <c r="J59" s="596">
        <f t="shared" si="1"/>
        <v>38055</v>
      </c>
      <c r="K59" s="197" t="s">
        <v>1034</v>
      </c>
      <c r="L59" s="593" t="s">
        <v>1080</v>
      </c>
      <c r="M59" s="80"/>
      <c r="N59" s="83"/>
      <c r="O59" s="251"/>
    </row>
    <row r="60" spans="1:21" s="249" customFormat="1">
      <c r="A60" s="197" t="s">
        <v>717</v>
      </c>
      <c r="B60" s="589" t="s">
        <v>690</v>
      </c>
      <c r="C60" s="197" t="s">
        <v>1029</v>
      </c>
      <c r="D60" s="606">
        <v>30</v>
      </c>
      <c r="E60" s="603">
        <v>461.07</v>
      </c>
      <c r="F60" s="604" t="s">
        <v>285</v>
      </c>
      <c r="G60" s="594">
        <v>28.48</v>
      </c>
      <c r="H60" s="601">
        <v>0.23980000000000001</v>
      </c>
      <c r="I60" s="596">
        <f t="shared" si="0"/>
        <v>35.299999999999997</v>
      </c>
      <c r="J60" s="596">
        <f t="shared" si="1"/>
        <v>1059</v>
      </c>
      <c r="K60" s="197" t="s">
        <v>1034</v>
      </c>
      <c r="L60" s="593" t="s">
        <v>1081</v>
      </c>
      <c r="M60" s="79"/>
      <c r="N60" s="83"/>
      <c r="O60" s="251"/>
      <c r="R60" s="250"/>
      <c r="S60" s="250"/>
      <c r="T60" s="250"/>
      <c r="U60" s="250"/>
    </row>
    <row r="61" spans="1:21">
      <c r="A61" s="618" t="s">
        <v>734</v>
      </c>
      <c r="B61" s="617" t="s">
        <v>604</v>
      </c>
      <c r="C61" s="653"/>
      <c r="D61" s="654"/>
      <c r="E61" s="654"/>
      <c r="F61" s="654"/>
      <c r="G61" s="654"/>
      <c r="H61" s="654"/>
      <c r="I61" s="654"/>
      <c r="J61" s="654"/>
      <c r="K61" s="654"/>
      <c r="L61" s="655"/>
      <c r="M61" s="75"/>
      <c r="N61" s="75"/>
      <c r="R61" s="2"/>
      <c r="S61" s="2"/>
      <c r="T61" s="2"/>
      <c r="U61" s="2"/>
    </row>
    <row r="62" spans="1:21" ht="30">
      <c r="A62" s="197" t="s">
        <v>735</v>
      </c>
      <c r="B62" s="589" t="s">
        <v>718</v>
      </c>
      <c r="C62" s="197" t="s">
        <v>1029</v>
      </c>
      <c r="D62" s="606">
        <v>1</v>
      </c>
      <c r="E62" s="603">
        <v>102.43</v>
      </c>
      <c r="F62" s="604" t="s">
        <v>285</v>
      </c>
      <c r="G62" s="594">
        <v>20000</v>
      </c>
      <c r="H62" s="601">
        <v>0.23980000000000001</v>
      </c>
      <c r="I62" s="596">
        <f t="shared" si="0"/>
        <v>24796</v>
      </c>
      <c r="J62" s="596">
        <f t="shared" si="1"/>
        <v>24796</v>
      </c>
      <c r="K62" s="197" t="s">
        <v>1034</v>
      </c>
      <c r="L62" s="593" t="s">
        <v>1082</v>
      </c>
      <c r="M62" s="75"/>
      <c r="N62" s="75"/>
      <c r="R62" s="2"/>
      <c r="S62" s="2"/>
      <c r="T62" s="2"/>
      <c r="U62" s="2"/>
    </row>
    <row r="63" spans="1:21" s="249" customFormat="1">
      <c r="A63" s="588" t="s">
        <v>736</v>
      </c>
      <c r="B63" s="589" t="s">
        <v>719</v>
      </c>
      <c r="C63" s="197" t="s">
        <v>1031</v>
      </c>
      <c r="D63" s="606">
        <v>200</v>
      </c>
      <c r="E63" s="603"/>
      <c r="F63" s="604"/>
      <c r="G63" s="594">
        <v>30.51</v>
      </c>
      <c r="H63" s="601">
        <v>0.23980000000000001</v>
      </c>
      <c r="I63" s="596">
        <f t="shared" si="0"/>
        <v>37.82</v>
      </c>
      <c r="J63" s="596">
        <f t="shared" si="1"/>
        <v>7564</v>
      </c>
      <c r="K63" s="197" t="s">
        <v>1034</v>
      </c>
      <c r="L63" s="593" t="s">
        <v>1083</v>
      </c>
      <c r="M63" s="252"/>
      <c r="N63" s="252"/>
      <c r="O63" s="251"/>
      <c r="R63" s="250"/>
      <c r="S63" s="250"/>
      <c r="T63" s="250"/>
      <c r="U63" s="250"/>
    </row>
    <row r="64" spans="1:21" s="249" customFormat="1" ht="30">
      <c r="A64" s="588" t="s">
        <v>737</v>
      </c>
      <c r="B64" s="589" t="s">
        <v>720</v>
      </c>
      <c r="C64" s="197" t="s">
        <v>1029</v>
      </c>
      <c r="D64" s="606">
        <v>4</v>
      </c>
      <c r="E64" s="603"/>
      <c r="F64" s="604"/>
      <c r="G64" s="594">
        <v>12.47</v>
      </c>
      <c r="H64" s="601">
        <v>0.23980000000000001</v>
      </c>
      <c r="I64" s="596">
        <f t="shared" si="0"/>
        <v>15.46</v>
      </c>
      <c r="J64" s="596">
        <f t="shared" si="1"/>
        <v>61.84</v>
      </c>
      <c r="K64" s="197" t="s">
        <v>1034</v>
      </c>
      <c r="L64" s="593" t="s">
        <v>1084</v>
      </c>
      <c r="M64" s="252"/>
      <c r="N64" s="252"/>
      <c r="O64" s="251"/>
      <c r="R64" s="250"/>
      <c r="S64" s="250"/>
      <c r="T64" s="250"/>
      <c r="U64" s="250"/>
    </row>
    <row r="65" spans="1:21" s="249" customFormat="1" ht="30">
      <c r="A65" s="588" t="s">
        <v>738</v>
      </c>
      <c r="B65" s="589" t="s">
        <v>721</v>
      </c>
      <c r="C65" s="197" t="s">
        <v>1029</v>
      </c>
      <c r="D65" s="606">
        <v>5</v>
      </c>
      <c r="E65" s="603"/>
      <c r="F65" s="604"/>
      <c r="G65" s="594">
        <v>18.93</v>
      </c>
      <c r="H65" s="601">
        <v>0.23980000000000001</v>
      </c>
      <c r="I65" s="596">
        <f t="shared" si="0"/>
        <v>23.46</v>
      </c>
      <c r="J65" s="596">
        <f t="shared" si="1"/>
        <v>117.3</v>
      </c>
      <c r="K65" s="197" t="s">
        <v>1034</v>
      </c>
      <c r="L65" s="593" t="s">
        <v>1085</v>
      </c>
      <c r="M65" s="252"/>
      <c r="N65" s="252"/>
      <c r="O65" s="251"/>
      <c r="R65" s="250"/>
      <c r="S65" s="250"/>
      <c r="T65" s="250"/>
      <c r="U65" s="250"/>
    </row>
    <row r="66" spans="1:21" s="249" customFormat="1">
      <c r="A66" s="588" t="s">
        <v>739</v>
      </c>
      <c r="B66" s="589" t="s">
        <v>722</v>
      </c>
      <c r="C66" s="197" t="s">
        <v>1029</v>
      </c>
      <c r="D66" s="606">
        <v>4</v>
      </c>
      <c r="E66" s="603"/>
      <c r="F66" s="604"/>
      <c r="G66" s="594">
        <v>17.100000000000001</v>
      </c>
      <c r="H66" s="601">
        <v>0.23980000000000001</v>
      </c>
      <c r="I66" s="596">
        <f t="shared" si="0"/>
        <v>21.2</v>
      </c>
      <c r="J66" s="596">
        <f t="shared" si="1"/>
        <v>84.8</v>
      </c>
      <c r="K66" s="197" t="s">
        <v>1034</v>
      </c>
      <c r="L66" s="593" t="s">
        <v>1086</v>
      </c>
      <c r="M66" s="252"/>
      <c r="N66" s="252"/>
      <c r="O66" s="251"/>
      <c r="R66" s="250"/>
      <c r="S66" s="250"/>
      <c r="T66" s="250"/>
      <c r="U66" s="250"/>
    </row>
    <row r="67" spans="1:21" s="249" customFormat="1">
      <c r="A67" s="588" t="s">
        <v>740</v>
      </c>
      <c r="B67" s="589" t="s">
        <v>723</v>
      </c>
      <c r="C67" s="197" t="s">
        <v>1029</v>
      </c>
      <c r="D67" s="606">
        <v>20</v>
      </c>
      <c r="E67" s="603"/>
      <c r="F67" s="604"/>
      <c r="G67" s="594">
        <v>9.1</v>
      </c>
      <c r="H67" s="601">
        <v>0.23980000000000001</v>
      </c>
      <c r="I67" s="596">
        <f t="shared" si="0"/>
        <v>11.28</v>
      </c>
      <c r="J67" s="596">
        <f t="shared" si="1"/>
        <v>225.6</v>
      </c>
      <c r="K67" s="197" t="s">
        <v>1034</v>
      </c>
      <c r="L67" s="593" t="s">
        <v>1087</v>
      </c>
      <c r="M67" s="252"/>
      <c r="N67" s="252"/>
      <c r="O67" s="251"/>
      <c r="R67" s="250"/>
      <c r="S67" s="250"/>
      <c r="T67" s="250"/>
      <c r="U67" s="250"/>
    </row>
    <row r="68" spans="1:21" s="249" customFormat="1">
      <c r="A68" s="588" t="s">
        <v>741</v>
      </c>
      <c r="B68" s="589" t="s">
        <v>724</v>
      </c>
      <c r="C68" s="197" t="s">
        <v>1029</v>
      </c>
      <c r="D68" s="606">
        <v>3</v>
      </c>
      <c r="E68" s="603"/>
      <c r="F68" s="604"/>
      <c r="G68" s="594">
        <v>138.15</v>
      </c>
      <c r="H68" s="601">
        <v>0.23980000000000001</v>
      </c>
      <c r="I68" s="596">
        <f t="shared" si="0"/>
        <v>171.27</v>
      </c>
      <c r="J68" s="596">
        <f t="shared" si="1"/>
        <v>513.80999999999995</v>
      </c>
      <c r="K68" s="197" t="s">
        <v>1034</v>
      </c>
      <c r="L68" s="593" t="s">
        <v>1088</v>
      </c>
      <c r="M68" s="252"/>
      <c r="N68" s="252"/>
      <c r="O68" s="251"/>
      <c r="R68" s="250"/>
      <c r="S68" s="250"/>
      <c r="T68" s="250"/>
      <c r="U68" s="250"/>
    </row>
    <row r="69" spans="1:21" s="249" customFormat="1">
      <c r="A69" s="616" t="s">
        <v>742</v>
      </c>
      <c r="B69" s="617" t="s">
        <v>605</v>
      </c>
      <c r="C69" s="653"/>
      <c r="D69" s="654"/>
      <c r="E69" s="654"/>
      <c r="F69" s="654"/>
      <c r="G69" s="654"/>
      <c r="H69" s="654"/>
      <c r="I69" s="654"/>
      <c r="J69" s="654"/>
      <c r="K69" s="654"/>
      <c r="L69" s="655"/>
      <c r="M69" s="252"/>
      <c r="N69" s="252"/>
      <c r="O69" s="251"/>
      <c r="R69" s="250"/>
      <c r="S69" s="250"/>
      <c r="T69" s="250"/>
      <c r="U69" s="250"/>
    </row>
    <row r="70" spans="1:21" s="249" customFormat="1">
      <c r="A70" s="616" t="s">
        <v>743</v>
      </c>
      <c r="B70" s="617" t="s">
        <v>599</v>
      </c>
      <c r="C70" s="611"/>
      <c r="D70" s="612"/>
      <c r="E70" s="612"/>
      <c r="F70" s="612"/>
      <c r="G70" s="612"/>
      <c r="H70" s="612"/>
      <c r="I70" s="612"/>
      <c r="J70" s="612"/>
      <c r="K70" s="612"/>
      <c r="L70" s="613"/>
      <c r="M70" s="252"/>
      <c r="N70" s="252"/>
      <c r="O70" s="251"/>
      <c r="R70" s="250"/>
      <c r="S70" s="250"/>
      <c r="T70" s="250"/>
      <c r="U70" s="250"/>
    </row>
    <row r="71" spans="1:21" s="249" customFormat="1" ht="30">
      <c r="A71" s="588" t="s">
        <v>744</v>
      </c>
      <c r="B71" s="589" t="s">
        <v>725</v>
      </c>
      <c r="C71" s="197" t="s">
        <v>1031</v>
      </c>
      <c r="D71" s="606">
        <v>31.2</v>
      </c>
      <c r="E71" s="603"/>
      <c r="F71" s="604"/>
      <c r="G71" s="594">
        <v>94.72</v>
      </c>
      <c r="H71" s="601">
        <v>0.2354</v>
      </c>
      <c r="I71" s="596">
        <f t="shared" si="0"/>
        <v>117.01</v>
      </c>
      <c r="J71" s="596">
        <f t="shared" si="1"/>
        <v>3650.71</v>
      </c>
      <c r="K71" s="197" t="s">
        <v>1034</v>
      </c>
      <c r="L71" s="593" t="s">
        <v>1089</v>
      </c>
      <c r="M71" s="252"/>
      <c r="N71" s="252"/>
      <c r="O71" s="251"/>
      <c r="R71" s="250"/>
      <c r="S71" s="250"/>
      <c r="T71" s="250"/>
      <c r="U71" s="250"/>
    </row>
    <row r="72" spans="1:21" s="249" customFormat="1">
      <c r="A72" s="616" t="s">
        <v>745</v>
      </c>
      <c r="B72" s="617" t="s">
        <v>606</v>
      </c>
      <c r="C72" s="653"/>
      <c r="D72" s="654"/>
      <c r="E72" s="654"/>
      <c r="F72" s="654"/>
      <c r="G72" s="654"/>
      <c r="H72" s="654"/>
      <c r="I72" s="654"/>
      <c r="J72" s="654"/>
      <c r="K72" s="654"/>
      <c r="L72" s="655"/>
      <c r="M72" s="252"/>
      <c r="N72" s="252"/>
      <c r="O72" s="251"/>
      <c r="R72" s="250"/>
      <c r="S72" s="250"/>
      <c r="T72" s="250"/>
      <c r="U72" s="250"/>
    </row>
    <row r="73" spans="1:21" s="249" customFormat="1" ht="45">
      <c r="A73" s="588" t="s">
        <v>746</v>
      </c>
      <c r="B73" s="589" t="s">
        <v>726</v>
      </c>
      <c r="C73" s="197" t="s">
        <v>1031</v>
      </c>
      <c r="D73" s="606">
        <v>27</v>
      </c>
      <c r="E73" s="603"/>
      <c r="F73" s="604"/>
      <c r="G73" s="594">
        <v>58.7</v>
      </c>
      <c r="H73" s="601">
        <v>0.2354</v>
      </c>
      <c r="I73" s="596">
        <f t="shared" si="0"/>
        <v>72.510000000000005</v>
      </c>
      <c r="J73" s="596">
        <f t="shared" si="1"/>
        <v>1957.77</v>
      </c>
      <c r="K73" s="197" t="s">
        <v>1034</v>
      </c>
      <c r="L73" s="593" t="s">
        <v>1090</v>
      </c>
      <c r="M73" s="252"/>
      <c r="N73" s="252"/>
      <c r="O73" s="251"/>
      <c r="R73" s="250"/>
      <c r="S73" s="250"/>
      <c r="T73" s="250"/>
      <c r="U73" s="250"/>
    </row>
    <row r="74" spans="1:21" s="249" customFormat="1">
      <c r="A74" s="588" t="s">
        <v>747</v>
      </c>
      <c r="B74" s="589" t="s">
        <v>727</v>
      </c>
      <c r="C74" s="197" t="s">
        <v>1032</v>
      </c>
      <c r="D74" s="606">
        <v>66.64</v>
      </c>
      <c r="E74" s="603"/>
      <c r="F74" s="604"/>
      <c r="G74" s="594">
        <v>10.72</v>
      </c>
      <c r="H74" s="601">
        <v>0.2354</v>
      </c>
      <c r="I74" s="596">
        <f t="shared" si="0"/>
        <v>13.24</v>
      </c>
      <c r="J74" s="596">
        <f t="shared" si="1"/>
        <v>882.31</v>
      </c>
      <c r="K74" s="197" t="s">
        <v>1034</v>
      </c>
      <c r="L74" s="593" t="s">
        <v>1091</v>
      </c>
      <c r="M74" s="252"/>
      <c r="N74" s="252"/>
      <c r="O74" s="251"/>
      <c r="R74" s="250"/>
      <c r="S74" s="250"/>
      <c r="T74" s="250"/>
      <c r="U74" s="250"/>
    </row>
    <row r="75" spans="1:21" s="249" customFormat="1">
      <c r="A75" s="588" t="s">
        <v>748</v>
      </c>
      <c r="B75" s="589" t="s">
        <v>728</v>
      </c>
      <c r="C75" s="197" t="s">
        <v>1032</v>
      </c>
      <c r="D75" s="606">
        <v>19.399999999999999</v>
      </c>
      <c r="E75" s="603"/>
      <c r="F75" s="604"/>
      <c r="G75" s="594">
        <v>18.13</v>
      </c>
      <c r="H75" s="601">
        <v>0.2354</v>
      </c>
      <c r="I75" s="596">
        <f t="shared" si="0"/>
        <v>22.39</v>
      </c>
      <c r="J75" s="596">
        <f t="shared" si="1"/>
        <v>434.36</v>
      </c>
      <c r="K75" s="197" t="s">
        <v>1034</v>
      </c>
      <c r="L75" s="593" t="s">
        <v>1092</v>
      </c>
      <c r="M75" s="252"/>
      <c r="N75" s="252"/>
      <c r="O75" s="251"/>
      <c r="R75" s="250"/>
      <c r="S75" s="250"/>
      <c r="T75" s="250"/>
      <c r="U75" s="250"/>
    </row>
    <row r="76" spans="1:21" s="249" customFormat="1" ht="30">
      <c r="A76" s="588" t="s">
        <v>749</v>
      </c>
      <c r="B76" s="589" t="s">
        <v>652</v>
      </c>
      <c r="C76" s="197" t="s">
        <v>1028</v>
      </c>
      <c r="D76" s="606">
        <v>19.2</v>
      </c>
      <c r="E76" s="603"/>
      <c r="F76" s="604"/>
      <c r="G76" s="594">
        <v>81.680000000000007</v>
      </c>
      <c r="H76" s="601">
        <v>0.2354</v>
      </c>
      <c r="I76" s="596">
        <f t="shared" ref="I76:I140" si="2">TRUNC(G76*(1+H76),2)</f>
        <v>100.9</v>
      </c>
      <c r="J76" s="596">
        <f t="shared" ref="J76:J140" si="3">TRUNC(D76*I76,2)</f>
        <v>1937.28</v>
      </c>
      <c r="K76" s="197" t="s">
        <v>1034</v>
      </c>
      <c r="L76" s="593" t="s">
        <v>1053</v>
      </c>
      <c r="M76" s="252"/>
      <c r="N76" s="252"/>
      <c r="O76" s="251"/>
      <c r="R76" s="250"/>
      <c r="S76" s="250"/>
      <c r="T76" s="250"/>
      <c r="U76" s="250"/>
    </row>
    <row r="77" spans="1:21" s="249" customFormat="1">
      <c r="A77" s="588" t="s">
        <v>750</v>
      </c>
      <c r="B77" s="589" t="s">
        <v>729</v>
      </c>
      <c r="C77" s="197" t="s">
        <v>1032</v>
      </c>
      <c r="D77" s="606">
        <v>23.1</v>
      </c>
      <c r="E77" s="603"/>
      <c r="F77" s="604"/>
      <c r="G77" s="594">
        <v>19.11</v>
      </c>
      <c r="H77" s="601">
        <v>0.2354</v>
      </c>
      <c r="I77" s="596">
        <f t="shared" si="2"/>
        <v>23.6</v>
      </c>
      <c r="J77" s="596">
        <f t="shared" si="3"/>
        <v>545.16</v>
      </c>
      <c r="K77" s="197" t="s">
        <v>1034</v>
      </c>
      <c r="L77" s="593" t="s">
        <v>1093</v>
      </c>
      <c r="M77" s="252"/>
      <c r="N77" s="252"/>
      <c r="O77" s="251"/>
      <c r="R77" s="250"/>
      <c r="S77" s="250"/>
      <c r="T77" s="250"/>
      <c r="U77" s="250"/>
    </row>
    <row r="78" spans="1:21" s="249" customFormat="1" ht="30">
      <c r="A78" s="588" t="s">
        <v>751</v>
      </c>
      <c r="B78" s="589" t="s">
        <v>730</v>
      </c>
      <c r="C78" s="197" t="s">
        <v>1032</v>
      </c>
      <c r="D78" s="606">
        <v>39.5</v>
      </c>
      <c r="E78" s="603"/>
      <c r="F78" s="604"/>
      <c r="G78" s="594">
        <v>13.46</v>
      </c>
      <c r="H78" s="601">
        <v>0.2354</v>
      </c>
      <c r="I78" s="596">
        <f t="shared" si="2"/>
        <v>16.62</v>
      </c>
      <c r="J78" s="596">
        <f t="shared" si="3"/>
        <v>656.49</v>
      </c>
      <c r="K78" s="197" t="s">
        <v>1034</v>
      </c>
      <c r="L78" s="593" t="s">
        <v>1094</v>
      </c>
      <c r="M78" s="252"/>
      <c r="N78" s="252"/>
      <c r="O78" s="251"/>
      <c r="R78" s="250"/>
      <c r="S78" s="250"/>
      <c r="T78" s="250"/>
      <c r="U78" s="250"/>
    </row>
    <row r="79" spans="1:21" s="249" customFormat="1">
      <c r="A79" s="588" t="s">
        <v>752</v>
      </c>
      <c r="B79" s="589" t="s">
        <v>731</v>
      </c>
      <c r="C79" s="197" t="s">
        <v>1032</v>
      </c>
      <c r="D79" s="606">
        <v>25.28</v>
      </c>
      <c r="E79" s="603"/>
      <c r="F79" s="604"/>
      <c r="G79" s="594">
        <v>15.33</v>
      </c>
      <c r="H79" s="601">
        <v>0.2354</v>
      </c>
      <c r="I79" s="596">
        <f t="shared" si="2"/>
        <v>18.93</v>
      </c>
      <c r="J79" s="596">
        <f t="shared" si="3"/>
        <v>478.55</v>
      </c>
      <c r="K79" s="197" t="s">
        <v>1034</v>
      </c>
      <c r="L79" s="593" t="s">
        <v>1095</v>
      </c>
      <c r="M79" s="252"/>
      <c r="N79" s="252"/>
      <c r="O79" s="251"/>
      <c r="R79" s="250"/>
      <c r="S79" s="250"/>
      <c r="T79" s="250"/>
      <c r="U79" s="250"/>
    </row>
    <row r="80" spans="1:21" s="249" customFormat="1" ht="30">
      <c r="A80" s="588" t="s">
        <v>753</v>
      </c>
      <c r="B80" s="589" t="s">
        <v>732</v>
      </c>
      <c r="C80" s="197" t="s">
        <v>567</v>
      </c>
      <c r="D80" s="606">
        <v>1.35</v>
      </c>
      <c r="E80" s="603"/>
      <c r="F80" s="604"/>
      <c r="G80" s="594">
        <v>896.62</v>
      </c>
      <c r="H80" s="601">
        <v>0.2354</v>
      </c>
      <c r="I80" s="596">
        <f t="shared" si="2"/>
        <v>1107.68</v>
      </c>
      <c r="J80" s="596">
        <f t="shared" si="3"/>
        <v>1495.36</v>
      </c>
      <c r="K80" s="197" t="s">
        <v>1034</v>
      </c>
      <c r="L80" s="593" t="s">
        <v>1096</v>
      </c>
      <c r="M80" s="252"/>
      <c r="N80" s="252"/>
      <c r="O80" s="251"/>
      <c r="R80" s="250"/>
      <c r="S80" s="250"/>
      <c r="T80" s="250"/>
      <c r="U80" s="250"/>
    </row>
    <row r="81" spans="1:21" s="249" customFormat="1">
      <c r="A81" s="588" t="s">
        <v>754</v>
      </c>
      <c r="B81" s="589" t="s">
        <v>733</v>
      </c>
      <c r="C81" s="197" t="s">
        <v>1028</v>
      </c>
      <c r="D81" s="606">
        <v>23.68</v>
      </c>
      <c r="E81" s="603"/>
      <c r="F81" s="604"/>
      <c r="G81" s="594">
        <v>49.97</v>
      </c>
      <c r="H81" s="601">
        <v>0.2354</v>
      </c>
      <c r="I81" s="596">
        <f t="shared" si="2"/>
        <v>61.73</v>
      </c>
      <c r="J81" s="596">
        <f t="shared" si="3"/>
        <v>1461.76</v>
      </c>
      <c r="K81" s="197" t="s">
        <v>1034</v>
      </c>
      <c r="L81" s="593" t="s">
        <v>1097</v>
      </c>
      <c r="M81" s="252"/>
      <c r="N81" s="252"/>
      <c r="O81" s="251"/>
      <c r="R81" s="250"/>
      <c r="S81" s="250"/>
      <c r="T81" s="250"/>
      <c r="U81" s="250"/>
    </row>
    <row r="82" spans="1:21" s="249" customFormat="1">
      <c r="A82" s="616" t="s">
        <v>773</v>
      </c>
      <c r="B82" s="617" t="s">
        <v>607</v>
      </c>
      <c r="C82" s="653"/>
      <c r="D82" s="654"/>
      <c r="E82" s="654"/>
      <c r="F82" s="654"/>
      <c r="G82" s="654"/>
      <c r="H82" s="654"/>
      <c r="I82" s="654"/>
      <c r="J82" s="654"/>
      <c r="K82" s="654"/>
      <c r="L82" s="655"/>
      <c r="M82" s="252"/>
      <c r="N82" s="252"/>
      <c r="O82" s="251"/>
      <c r="R82" s="250"/>
      <c r="S82" s="250"/>
      <c r="T82" s="250"/>
      <c r="U82" s="250"/>
    </row>
    <row r="83" spans="1:21" s="249" customFormat="1" ht="30">
      <c r="A83" s="588" t="s">
        <v>774</v>
      </c>
      <c r="B83" s="589" t="s">
        <v>682</v>
      </c>
      <c r="C83" s="197" t="s">
        <v>567</v>
      </c>
      <c r="D83" s="606">
        <v>10.26</v>
      </c>
      <c r="E83" s="603"/>
      <c r="F83" s="604"/>
      <c r="G83" s="594">
        <v>6.86</v>
      </c>
      <c r="H83" s="601">
        <v>0.2354</v>
      </c>
      <c r="I83" s="596">
        <f t="shared" si="2"/>
        <v>8.4700000000000006</v>
      </c>
      <c r="J83" s="596">
        <f t="shared" si="3"/>
        <v>86.9</v>
      </c>
      <c r="K83" s="197" t="s">
        <v>1034</v>
      </c>
      <c r="L83" s="593" t="s">
        <v>1073</v>
      </c>
      <c r="M83" s="252"/>
      <c r="N83" s="252"/>
      <c r="O83" s="251"/>
      <c r="R83" s="250"/>
      <c r="S83" s="250"/>
      <c r="T83" s="250"/>
      <c r="U83" s="250"/>
    </row>
    <row r="84" spans="1:21" s="249" customFormat="1" ht="30">
      <c r="A84" s="588" t="s">
        <v>775</v>
      </c>
      <c r="B84" s="589" t="s">
        <v>683</v>
      </c>
      <c r="C84" s="197" t="s">
        <v>1033</v>
      </c>
      <c r="D84" s="606">
        <v>102.6</v>
      </c>
      <c r="E84" s="603"/>
      <c r="F84" s="604"/>
      <c r="G84" s="594">
        <v>2.4900000000000002</v>
      </c>
      <c r="H84" s="601">
        <v>0.2354</v>
      </c>
      <c r="I84" s="596">
        <f t="shared" si="2"/>
        <v>3.07</v>
      </c>
      <c r="J84" s="596">
        <f t="shared" si="3"/>
        <v>314.98</v>
      </c>
      <c r="K84" s="197" t="s">
        <v>1034</v>
      </c>
      <c r="L84" s="593" t="s">
        <v>1074</v>
      </c>
      <c r="M84" s="252"/>
      <c r="N84" s="252"/>
      <c r="O84" s="251"/>
      <c r="R84" s="250"/>
      <c r="S84" s="250"/>
      <c r="T84" s="250"/>
      <c r="U84" s="250"/>
    </row>
    <row r="85" spans="1:21" s="249" customFormat="1">
      <c r="A85" s="588" t="s">
        <v>776</v>
      </c>
      <c r="B85" s="589" t="s">
        <v>669</v>
      </c>
      <c r="C85" s="197" t="s">
        <v>1028</v>
      </c>
      <c r="D85" s="606">
        <v>51.3</v>
      </c>
      <c r="E85" s="603"/>
      <c r="F85" s="604"/>
      <c r="G85" s="594">
        <v>3.09</v>
      </c>
      <c r="H85" s="601">
        <v>0.2354</v>
      </c>
      <c r="I85" s="596">
        <f t="shared" si="2"/>
        <v>3.81</v>
      </c>
      <c r="J85" s="596">
        <f t="shared" si="3"/>
        <v>195.45</v>
      </c>
      <c r="K85" s="197" t="s">
        <v>1034</v>
      </c>
      <c r="L85" s="593" t="s">
        <v>1060</v>
      </c>
      <c r="M85" s="252"/>
      <c r="N85" s="252"/>
      <c r="O85" s="251"/>
      <c r="R85" s="250"/>
      <c r="S85" s="250"/>
      <c r="T85" s="250"/>
      <c r="U85" s="250"/>
    </row>
    <row r="86" spans="1:21" s="249" customFormat="1" ht="30">
      <c r="A86" s="588" t="s">
        <v>777</v>
      </c>
      <c r="B86" s="589" t="s">
        <v>670</v>
      </c>
      <c r="C86" s="197" t="s">
        <v>567</v>
      </c>
      <c r="D86" s="606">
        <v>10.26</v>
      </c>
      <c r="E86" s="603"/>
      <c r="F86" s="604"/>
      <c r="G86" s="594">
        <v>235.51</v>
      </c>
      <c r="H86" s="601">
        <v>0.2354</v>
      </c>
      <c r="I86" s="596">
        <f t="shared" si="2"/>
        <v>290.94</v>
      </c>
      <c r="J86" s="596">
        <f t="shared" si="3"/>
        <v>2985.04</v>
      </c>
      <c r="K86" s="197" t="s">
        <v>1034</v>
      </c>
      <c r="L86" s="593" t="s">
        <v>1061</v>
      </c>
      <c r="M86" s="252"/>
      <c r="N86" s="252"/>
      <c r="O86" s="251"/>
      <c r="R86" s="250"/>
      <c r="S86" s="250"/>
      <c r="T86" s="250"/>
      <c r="U86" s="250"/>
    </row>
    <row r="87" spans="1:21" s="249" customFormat="1" ht="30">
      <c r="A87" s="588" t="s">
        <v>778</v>
      </c>
      <c r="B87" s="589" t="s">
        <v>755</v>
      </c>
      <c r="C87" s="197" t="s">
        <v>1028</v>
      </c>
      <c r="D87" s="606">
        <v>51.3</v>
      </c>
      <c r="E87" s="603"/>
      <c r="F87" s="604"/>
      <c r="G87" s="594">
        <v>83.52</v>
      </c>
      <c r="H87" s="601">
        <v>0.2354</v>
      </c>
      <c r="I87" s="596">
        <f t="shared" si="2"/>
        <v>103.18</v>
      </c>
      <c r="J87" s="596">
        <f t="shared" si="3"/>
        <v>5293.13</v>
      </c>
      <c r="K87" s="197" t="s">
        <v>1034</v>
      </c>
      <c r="L87" s="593" t="s">
        <v>1098</v>
      </c>
      <c r="M87" s="252"/>
      <c r="N87" s="252"/>
      <c r="O87" s="251"/>
      <c r="R87" s="250"/>
      <c r="S87" s="250"/>
      <c r="T87" s="250"/>
      <c r="U87" s="250"/>
    </row>
    <row r="88" spans="1:21" s="249" customFormat="1">
      <c r="A88" s="616" t="s">
        <v>779</v>
      </c>
      <c r="B88" s="617" t="s">
        <v>608</v>
      </c>
      <c r="C88" s="653"/>
      <c r="D88" s="654"/>
      <c r="E88" s="654"/>
      <c r="F88" s="654"/>
      <c r="G88" s="654"/>
      <c r="H88" s="654"/>
      <c r="I88" s="654"/>
      <c r="J88" s="654"/>
      <c r="K88" s="654"/>
      <c r="L88" s="655"/>
      <c r="M88" s="252"/>
      <c r="N88" s="252"/>
      <c r="O88" s="251"/>
      <c r="R88" s="250"/>
      <c r="S88" s="250"/>
      <c r="T88" s="250"/>
      <c r="U88" s="250"/>
    </row>
    <row r="89" spans="1:21" s="249" customFormat="1" ht="30">
      <c r="A89" s="588" t="s">
        <v>780</v>
      </c>
      <c r="B89" s="589" t="s">
        <v>650</v>
      </c>
      <c r="C89" s="197" t="s">
        <v>1032</v>
      </c>
      <c r="D89" s="606">
        <v>19.41</v>
      </c>
      <c r="E89" s="603"/>
      <c r="F89" s="604"/>
      <c r="G89" s="594">
        <v>15.56</v>
      </c>
      <c r="H89" s="601">
        <v>0.2354</v>
      </c>
      <c r="I89" s="596">
        <f t="shared" si="2"/>
        <v>19.22</v>
      </c>
      <c r="J89" s="596">
        <f t="shared" si="3"/>
        <v>373.06</v>
      </c>
      <c r="K89" s="197" t="s">
        <v>1034</v>
      </c>
      <c r="L89" s="593" t="s">
        <v>1051</v>
      </c>
      <c r="M89" s="252"/>
      <c r="N89" s="252"/>
      <c r="O89" s="251"/>
      <c r="R89" s="250"/>
      <c r="S89" s="250"/>
      <c r="T89" s="250"/>
      <c r="U89" s="250"/>
    </row>
    <row r="90" spans="1:21" s="249" customFormat="1" ht="30">
      <c r="A90" s="588" t="s">
        <v>781</v>
      </c>
      <c r="B90" s="589" t="s">
        <v>651</v>
      </c>
      <c r="C90" s="197" t="s">
        <v>1032</v>
      </c>
      <c r="D90" s="606">
        <v>66.64</v>
      </c>
      <c r="E90" s="603"/>
      <c r="F90" s="604"/>
      <c r="G90" s="594">
        <v>11.17</v>
      </c>
      <c r="H90" s="601">
        <v>0.2354</v>
      </c>
      <c r="I90" s="596">
        <f t="shared" si="2"/>
        <v>13.79</v>
      </c>
      <c r="J90" s="596">
        <f t="shared" si="3"/>
        <v>918.96</v>
      </c>
      <c r="K90" s="197" t="s">
        <v>1034</v>
      </c>
      <c r="L90" s="593" t="s">
        <v>1052</v>
      </c>
      <c r="M90" s="252"/>
      <c r="N90" s="252"/>
      <c r="O90" s="251"/>
      <c r="R90" s="250"/>
      <c r="S90" s="250"/>
      <c r="T90" s="250"/>
      <c r="U90" s="250"/>
    </row>
    <row r="91" spans="1:21" s="249" customFormat="1">
      <c r="A91" s="588" t="s">
        <v>782</v>
      </c>
      <c r="B91" s="589" t="s">
        <v>756</v>
      </c>
      <c r="C91" s="197" t="s">
        <v>1028</v>
      </c>
      <c r="D91" s="606">
        <v>23.76</v>
      </c>
      <c r="E91" s="603"/>
      <c r="F91" s="604"/>
      <c r="G91" s="594">
        <v>127.8</v>
      </c>
      <c r="H91" s="601">
        <v>0.2354</v>
      </c>
      <c r="I91" s="596">
        <f t="shared" si="2"/>
        <v>157.88</v>
      </c>
      <c r="J91" s="596">
        <f t="shared" si="3"/>
        <v>3751.22</v>
      </c>
      <c r="K91" s="197" t="s">
        <v>1034</v>
      </c>
      <c r="L91" s="593" t="s">
        <v>1099</v>
      </c>
      <c r="M91" s="252"/>
      <c r="N91" s="252"/>
      <c r="O91" s="251"/>
      <c r="R91" s="250"/>
      <c r="S91" s="250"/>
      <c r="T91" s="250"/>
      <c r="U91" s="250"/>
    </row>
    <row r="92" spans="1:21" s="249" customFormat="1">
      <c r="A92" s="588" t="s">
        <v>783</v>
      </c>
      <c r="B92" s="589" t="s">
        <v>757</v>
      </c>
      <c r="C92" s="197" t="s">
        <v>567</v>
      </c>
      <c r="D92" s="606">
        <v>1.1299999999999999</v>
      </c>
      <c r="E92" s="603"/>
      <c r="F92" s="604"/>
      <c r="G92" s="594">
        <v>812.22</v>
      </c>
      <c r="H92" s="601">
        <v>0.2354</v>
      </c>
      <c r="I92" s="596">
        <f t="shared" si="2"/>
        <v>1003.41</v>
      </c>
      <c r="J92" s="596">
        <f t="shared" si="3"/>
        <v>1133.8499999999999</v>
      </c>
      <c r="K92" s="197" t="s">
        <v>1034</v>
      </c>
      <c r="L92" s="593" t="s">
        <v>1100</v>
      </c>
      <c r="M92" s="252"/>
      <c r="N92" s="252"/>
      <c r="O92" s="251"/>
      <c r="R92" s="250"/>
      <c r="S92" s="250"/>
      <c r="T92" s="250"/>
      <c r="U92" s="250"/>
    </row>
    <row r="93" spans="1:21" s="249" customFormat="1" ht="30">
      <c r="A93" s="588" t="s">
        <v>784</v>
      </c>
      <c r="B93" s="589" t="s">
        <v>758</v>
      </c>
      <c r="C93" s="197" t="s">
        <v>1032</v>
      </c>
      <c r="D93" s="606">
        <v>50.56</v>
      </c>
      <c r="E93" s="603"/>
      <c r="F93" s="604"/>
      <c r="G93" s="594">
        <v>12.76</v>
      </c>
      <c r="H93" s="601">
        <v>0.2354</v>
      </c>
      <c r="I93" s="596">
        <f t="shared" si="2"/>
        <v>15.76</v>
      </c>
      <c r="J93" s="596">
        <f t="shared" si="3"/>
        <v>796.82</v>
      </c>
      <c r="K93" s="197" t="s">
        <v>1034</v>
      </c>
      <c r="L93" s="593" t="s">
        <v>1101</v>
      </c>
      <c r="M93" s="252"/>
      <c r="N93" s="252"/>
      <c r="O93" s="251"/>
      <c r="R93" s="250"/>
      <c r="S93" s="250"/>
      <c r="T93" s="250"/>
      <c r="U93" s="250"/>
    </row>
    <row r="94" spans="1:21" s="249" customFormat="1">
      <c r="A94" s="588" t="s">
        <v>785</v>
      </c>
      <c r="B94" s="589" t="s">
        <v>759</v>
      </c>
      <c r="C94" s="197" t="s">
        <v>1028</v>
      </c>
      <c r="D94" s="606">
        <v>23.68</v>
      </c>
      <c r="E94" s="603"/>
      <c r="F94" s="604"/>
      <c r="G94" s="594">
        <v>137.5</v>
      </c>
      <c r="H94" s="601">
        <v>0.2354</v>
      </c>
      <c r="I94" s="596">
        <f t="shared" si="2"/>
        <v>169.86</v>
      </c>
      <c r="J94" s="596">
        <f t="shared" si="3"/>
        <v>4022.28</v>
      </c>
      <c r="K94" s="197" t="s">
        <v>1034</v>
      </c>
      <c r="L94" s="593" t="s">
        <v>1102</v>
      </c>
      <c r="M94" s="252"/>
      <c r="N94" s="252"/>
      <c r="O94" s="251"/>
      <c r="R94" s="250"/>
      <c r="S94" s="250"/>
      <c r="T94" s="250"/>
      <c r="U94" s="250"/>
    </row>
    <row r="95" spans="1:21" s="249" customFormat="1" ht="30">
      <c r="A95" s="588" t="s">
        <v>786</v>
      </c>
      <c r="B95" s="589" t="s">
        <v>760</v>
      </c>
      <c r="C95" s="197" t="s">
        <v>567</v>
      </c>
      <c r="D95" s="606">
        <v>1.34</v>
      </c>
      <c r="E95" s="603"/>
      <c r="F95" s="604"/>
      <c r="G95" s="594">
        <v>813.8</v>
      </c>
      <c r="H95" s="601">
        <v>0.2354</v>
      </c>
      <c r="I95" s="596">
        <f t="shared" si="2"/>
        <v>1005.36</v>
      </c>
      <c r="J95" s="596">
        <f t="shared" si="3"/>
        <v>1347.18</v>
      </c>
      <c r="K95" s="197" t="s">
        <v>1034</v>
      </c>
      <c r="L95" s="593" t="s">
        <v>1103</v>
      </c>
      <c r="M95" s="252"/>
      <c r="N95" s="252"/>
      <c r="O95" s="251"/>
      <c r="R95" s="250"/>
      <c r="S95" s="250"/>
      <c r="T95" s="250"/>
      <c r="U95" s="250"/>
    </row>
    <row r="96" spans="1:21" s="249" customFormat="1">
      <c r="A96" s="616" t="s">
        <v>787</v>
      </c>
      <c r="B96" s="617" t="s">
        <v>609</v>
      </c>
      <c r="C96" s="653"/>
      <c r="D96" s="654"/>
      <c r="E96" s="654"/>
      <c r="F96" s="654"/>
      <c r="G96" s="654"/>
      <c r="H96" s="654"/>
      <c r="I96" s="654"/>
      <c r="J96" s="654"/>
      <c r="K96" s="654"/>
      <c r="L96" s="655"/>
      <c r="M96" s="252"/>
      <c r="N96" s="252"/>
      <c r="O96" s="251"/>
      <c r="R96" s="250"/>
      <c r="S96" s="250"/>
      <c r="T96" s="250"/>
      <c r="U96" s="250"/>
    </row>
    <row r="97" spans="1:21" s="249" customFormat="1" ht="30">
      <c r="A97" s="588" t="s">
        <v>788</v>
      </c>
      <c r="B97" s="589" t="s">
        <v>761</v>
      </c>
      <c r="C97" s="197" t="s">
        <v>1028</v>
      </c>
      <c r="D97" s="606">
        <v>110</v>
      </c>
      <c r="E97" s="603"/>
      <c r="F97" s="604"/>
      <c r="G97" s="594">
        <v>92.15</v>
      </c>
      <c r="H97" s="601">
        <v>0.2354</v>
      </c>
      <c r="I97" s="596">
        <f t="shared" si="2"/>
        <v>113.84</v>
      </c>
      <c r="J97" s="596">
        <f t="shared" si="3"/>
        <v>12522.4</v>
      </c>
      <c r="K97" s="197" t="s">
        <v>1034</v>
      </c>
      <c r="L97" s="593" t="s">
        <v>1104</v>
      </c>
      <c r="M97" s="252"/>
      <c r="N97" s="252"/>
      <c r="O97" s="251"/>
      <c r="R97" s="250"/>
      <c r="S97" s="250"/>
      <c r="T97" s="250"/>
      <c r="U97" s="250"/>
    </row>
    <row r="98" spans="1:21" s="249" customFormat="1">
      <c r="A98" s="588" t="s">
        <v>789</v>
      </c>
      <c r="B98" s="589" t="s">
        <v>762</v>
      </c>
      <c r="C98" s="197" t="s">
        <v>1031</v>
      </c>
      <c r="D98" s="606">
        <v>6</v>
      </c>
      <c r="E98" s="603"/>
      <c r="F98" s="604"/>
      <c r="G98" s="594">
        <v>72.91</v>
      </c>
      <c r="H98" s="601">
        <v>0.2354</v>
      </c>
      <c r="I98" s="596">
        <f t="shared" si="2"/>
        <v>90.07</v>
      </c>
      <c r="J98" s="596">
        <f t="shared" si="3"/>
        <v>540.41999999999996</v>
      </c>
      <c r="K98" s="197" t="s">
        <v>1034</v>
      </c>
      <c r="L98" s="593" t="s">
        <v>1105</v>
      </c>
      <c r="M98" s="252"/>
      <c r="N98" s="252"/>
      <c r="O98" s="251"/>
      <c r="R98" s="250"/>
      <c r="S98" s="250"/>
      <c r="T98" s="250"/>
      <c r="U98" s="250"/>
    </row>
    <row r="99" spans="1:21" s="249" customFormat="1">
      <c r="A99" s="588" t="s">
        <v>790</v>
      </c>
      <c r="B99" s="589" t="s">
        <v>763</v>
      </c>
      <c r="C99" s="197" t="s">
        <v>1031</v>
      </c>
      <c r="D99" s="606">
        <v>3</v>
      </c>
      <c r="E99" s="603"/>
      <c r="F99" s="604"/>
      <c r="G99" s="594">
        <v>56.69</v>
      </c>
      <c r="H99" s="601">
        <v>0.2354</v>
      </c>
      <c r="I99" s="596">
        <f t="shared" si="2"/>
        <v>70.03</v>
      </c>
      <c r="J99" s="596">
        <f t="shared" si="3"/>
        <v>210.09</v>
      </c>
      <c r="K99" s="197" t="s">
        <v>1034</v>
      </c>
      <c r="L99" s="593" t="s">
        <v>1106</v>
      </c>
      <c r="M99" s="252"/>
      <c r="N99" s="252"/>
      <c r="O99" s="251"/>
      <c r="R99" s="250"/>
      <c r="S99" s="250"/>
      <c r="T99" s="250"/>
      <c r="U99" s="250"/>
    </row>
    <row r="100" spans="1:21" s="249" customFormat="1">
      <c r="A100" s="588" t="s">
        <v>791</v>
      </c>
      <c r="B100" s="589" t="s">
        <v>764</v>
      </c>
      <c r="C100" s="197" t="s">
        <v>1028</v>
      </c>
      <c r="D100" s="606">
        <v>23.76</v>
      </c>
      <c r="E100" s="603"/>
      <c r="F100" s="604"/>
      <c r="G100" s="594">
        <v>1088.73</v>
      </c>
      <c r="H100" s="601">
        <v>0.2354</v>
      </c>
      <c r="I100" s="596">
        <f t="shared" si="2"/>
        <v>1345.01</v>
      </c>
      <c r="J100" s="596">
        <f t="shared" si="3"/>
        <v>31957.43</v>
      </c>
      <c r="K100" s="197" t="s">
        <v>1034</v>
      </c>
      <c r="L100" s="593" t="s">
        <v>1107</v>
      </c>
      <c r="M100" s="252"/>
      <c r="N100" s="252"/>
      <c r="O100" s="251"/>
      <c r="R100" s="250"/>
      <c r="S100" s="250"/>
      <c r="T100" s="250"/>
      <c r="U100" s="250"/>
    </row>
    <row r="101" spans="1:21" s="249" customFormat="1">
      <c r="A101" s="616" t="s">
        <v>792</v>
      </c>
      <c r="B101" s="617" t="s">
        <v>610</v>
      </c>
      <c r="C101" s="653"/>
      <c r="D101" s="654"/>
      <c r="E101" s="654"/>
      <c r="F101" s="654"/>
      <c r="G101" s="654"/>
      <c r="H101" s="654"/>
      <c r="I101" s="654"/>
      <c r="J101" s="654"/>
      <c r="K101" s="654"/>
      <c r="L101" s="655"/>
      <c r="M101" s="252"/>
      <c r="N101" s="252"/>
      <c r="O101" s="251"/>
      <c r="R101" s="250"/>
      <c r="S101" s="250"/>
      <c r="T101" s="250"/>
      <c r="U101" s="250"/>
    </row>
    <row r="102" spans="1:21" s="249" customFormat="1" ht="30">
      <c r="A102" s="588" t="s">
        <v>793</v>
      </c>
      <c r="B102" s="589" t="s">
        <v>765</v>
      </c>
      <c r="C102" s="197" t="s">
        <v>1028</v>
      </c>
      <c r="D102" s="606">
        <v>70.5</v>
      </c>
      <c r="E102" s="603"/>
      <c r="F102" s="604"/>
      <c r="G102" s="594">
        <v>233.65</v>
      </c>
      <c r="H102" s="601">
        <v>0.2354</v>
      </c>
      <c r="I102" s="596">
        <f t="shared" si="2"/>
        <v>288.64999999999998</v>
      </c>
      <c r="J102" s="596">
        <f t="shared" si="3"/>
        <v>20349.82</v>
      </c>
      <c r="K102" s="197" t="s">
        <v>1034</v>
      </c>
      <c r="L102" s="593" t="s">
        <v>1108</v>
      </c>
      <c r="M102" s="252"/>
      <c r="N102" s="252"/>
      <c r="O102" s="251"/>
      <c r="R102" s="250"/>
      <c r="S102" s="250"/>
      <c r="T102" s="250"/>
      <c r="U102" s="250"/>
    </row>
    <row r="103" spans="1:21" s="249" customFormat="1">
      <c r="A103" s="588" t="s">
        <v>794</v>
      </c>
      <c r="B103" s="589" t="s">
        <v>766</v>
      </c>
      <c r="C103" s="197" t="s">
        <v>1028</v>
      </c>
      <c r="D103" s="606">
        <v>70.5</v>
      </c>
      <c r="E103" s="603"/>
      <c r="F103" s="604"/>
      <c r="G103" s="594">
        <v>152.27000000000001</v>
      </c>
      <c r="H103" s="601">
        <v>0.2354</v>
      </c>
      <c r="I103" s="596">
        <f t="shared" si="2"/>
        <v>188.11</v>
      </c>
      <c r="J103" s="596">
        <f t="shared" si="3"/>
        <v>13261.75</v>
      </c>
      <c r="K103" s="197" t="s">
        <v>1034</v>
      </c>
      <c r="L103" s="593" t="s">
        <v>1109</v>
      </c>
      <c r="M103" s="252"/>
      <c r="N103" s="252"/>
      <c r="O103" s="251"/>
      <c r="R103" s="250"/>
      <c r="S103" s="250"/>
      <c r="T103" s="250"/>
      <c r="U103" s="250"/>
    </row>
    <row r="104" spans="1:21" s="249" customFormat="1">
      <c r="A104" s="616" t="s">
        <v>795</v>
      </c>
      <c r="B104" s="617" t="s">
        <v>611</v>
      </c>
      <c r="C104" s="653"/>
      <c r="D104" s="654"/>
      <c r="E104" s="654"/>
      <c r="F104" s="654"/>
      <c r="G104" s="654"/>
      <c r="H104" s="654"/>
      <c r="I104" s="654"/>
      <c r="J104" s="654"/>
      <c r="K104" s="654"/>
      <c r="L104" s="655"/>
      <c r="M104" s="252"/>
      <c r="N104" s="252"/>
      <c r="O104" s="251"/>
      <c r="R104" s="250"/>
      <c r="S104" s="250"/>
      <c r="T104" s="250"/>
      <c r="U104" s="250"/>
    </row>
    <row r="105" spans="1:21" s="249" customFormat="1" ht="30">
      <c r="A105" s="588" t="s">
        <v>796</v>
      </c>
      <c r="B105" s="589" t="s">
        <v>767</v>
      </c>
      <c r="C105" s="197" t="s">
        <v>1028</v>
      </c>
      <c r="D105" s="606">
        <v>110</v>
      </c>
      <c r="E105" s="603"/>
      <c r="F105" s="604"/>
      <c r="G105" s="594">
        <v>10.76</v>
      </c>
      <c r="H105" s="601">
        <v>0.2354</v>
      </c>
      <c r="I105" s="596">
        <f t="shared" si="2"/>
        <v>13.29</v>
      </c>
      <c r="J105" s="596">
        <f t="shared" si="3"/>
        <v>1461.9</v>
      </c>
      <c r="K105" s="197" t="s">
        <v>1034</v>
      </c>
      <c r="L105" s="593" t="s">
        <v>1110</v>
      </c>
      <c r="M105" s="252"/>
      <c r="N105" s="252"/>
      <c r="O105" s="251"/>
      <c r="R105" s="250"/>
      <c r="S105" s="250"/>
      <c r="T105" s="250"/>
      <c r="U105" s="250"/>
    </row>
    <row r="106" spans="1:21" s="249" customFormat="1" ht="30">
      <c r="A106" s="588" t="s">
        <v>797</v>
      </c>
      <c r="B106" s="589" t="s">
        <v>768</v>
      </c>
      <c r="C106" s="197" t="s">
        <v>1028</v>
      </c>
      <c r="D106" s="606">
        <v>110</v>
      </c>
      <c r="E106" s="603"/>
      <c r="F106" s="604"/>
      <c r="G106" s="594">
        <v>5.89</v>
      </c>
      <c r="H106" s="601">
        <v>0.2354</v>
      </c>
      <c r="I106" s="596">
        <f t="shared" si="2"/>
        <v>7.27</v>
      </c>
      <c r="J106" s="596">
        <f t="shared" si="3"/>
        <v>799.7</v>
      </c>
      <c r="K106" s="197" t="s">
        <v>1034</v>
      </c>
      <c r="L106" s="593" t="s">
        <v>1111</v>
      </c>
      <c r="M106" s="252"/>
      <c r="N106" s="252"/>
      <c r="O106" s="251"/>
      <c r="R106" s="250"/>
      <c r="S106" s="250"/>
      <c r="T106" s="250"/>
      <c r="U106" s="250"/>
    </row>
    <row r="107" spans="1:21" s="249" customFormat="1" ht="30">
      <c r="A107" s="588" t="s">
        <v>798</v>
      </c>
      <c r="B107" s="589" t="s">
        <v>769</v>
      </c>
      <c r="C107" s="197" t="s">
        <v>1028</v>
      </c>
      <c r="D107" s="606">
        <v>110</v>
      </c>
      <c r="E107" s="603"/>
      <c r="F107" s="604"/>
      <c r="G107" s="594">
        <v>29.14</v>
      </c>
      <c r="H107" s="601">
        <v>0.2354</v>
      </c>
      <c r="I107" s="596">
        <f t="shared" si="2"/>
        <v>35.99</v>
      </c>
      <c r="J107" s="596">
        <f t="shared" si="3"/>
        <v>3958.9</v>
      </c>
      <c r="K107" s="197" t="s">
        <v>1034</v>
      </c>
      <c r="L107" s="593" t="s">
        <v>1112</v>
      </c>
      <c r="M107" s="252"/>
      <c r="N107" s="252"/>
      <c r="O107" s="251"/>
      <c r="R107" s="250"/>
      <c r="S107" s="250"/>
      <c r="T107" s="250"/>
      <c r="U107" s="250"/>
    </row>
    <row r="108" spans="1:21" s="249" customFormat="1" ht="30">
      <c r="A108" s="588" t="s">
        <v>799</v>
      </c>
      <c r="B108" s="589" t="s">
        <v>770</v>
      </c>
      <c r="C108" s="197" t="s">
        <v>1028</v>
      </c>
      <c r="D108" s="606">
        <v>110</v>
      </c>
      <c r="E108" s="603"/>
      <c r="F108" s="604"/>
      <c r="G108" s="594">
        <v>63.96</v>
      </c>
      <c r="H108" s="601">
        <v>0.2354</v>
      </c>
      <c r="I108" s="596">
        <f t="shared" si="2"/>
        <v>79.010000000000005</v>
      </c>
      <c r="J108" s="596">
        <f t="shared" si="3"/>
        <v>8691.1</v>
      </c>
      <c r="K108" s="197" t="s">
        <v>1034</v>
      </c>
      <c r="L108" s="593" t="s">
        <v>1113</v>
      </c>
      <c r="M108" s="252"/>
      <c r="N108" s="252"/>
      <c r="O108" s="251"/>
      <c r="R108" s="250"/>
      <c r="S108" s="250"/>
      <c r="T108" s="250"/>
      <c r="U108" s="250"/>
    </row>
    <row r="109" spans="1:21" s="249" customFormat="1" ht="30">
      <c r="A109" s="588" t="s">
        <v>800</v>
      </c>
      <c r="B109" s="589" t="s">
        <v>771</v>
      </c>
      <c r="C109" s="197" t="s">
        <v>1028</v>
      </c>
      <c r="D109" s="606">
        <v>110</v>
      </c>
      <c r="E109" s="603"/>
      <c r="F109" s="604"/>
      <c r="G109" s="594">
        <v>95.25</v>
      </c>
      <c r="H109" s="601">
        <v>0.2354</v>
      </c>
      <c r="I109" s="596">
        <f t="shared" si="2"/>
        <v>117.67</v>
      </c>
      <c r="J109" s="596">
        <f t="shared" si="3"/>
        <v>12943.7</v>
      </c>
      <c r="K109" s="197" t="s">
        <v>1034</v>
      </c>
      <c r="L109" s="593" t="s">
        <v>1114</v>
      </c>
      <c r="M109" s="252"/>
      <c r="N109" s="252"/>
      <c r="O109" s="251"/>
      <c r="R109" s="250"/>
      <c r="S109" s="250"/>
      <c r="T109" s="250"/>
      <c r="U109" s="250"/>
    </row>
    <row r="110" spans="1:21" s="249" customFormat="1">
      <c r="A110" s="588" t="s">
        <v>801</v>
      </c>
      <c r="B110" s="589" t="s">
        <v>772</v>
      </c>
      <c r="C110" s="197" t="s">
        <v>1028</v>
      </c>
      <c r="D110" s="606">
        <v>110</v>
      </c>
      <c r="E110" s="603"/>
      <c r="F110" s="604"/>
      <c r="G110" s="594">
        <v>35.75</v>
      </c>
      <c r="H110" s="601">
        <v>0.2354</v>
      </c>
      <c r="I110" s="596">
        <f t="shared" si="2"/>
        <v>44.16</v>
      </c>
      <c r="J110" s="596">
        <f t="shared" si="3"/>
        <v>4857.6000000000004</v>
      </c>
      <c r="K110" s="197" t="s">
        <v>1034</v>
      </c>
      <c r="L110" s="593" t="s">
        <v>1115</v>
      </c>
      <c r="M110" s="252"/>
      <c r="N110" s="252"/>
      <c r="O110" s="251"/>
      <c r="R110" s="250"/>
      <c r="S110" s="250"/>
      <c r="T110" s="250"/>
      <c r="U110" s="250"/>
    </row>
    <row r="111" spans="1:21" s="249" customFormat="1">
      <c r="A111" s="616" t="s">
        <v>829</v>
      </c>
      <c r="B111" s="617" t="s">
        <v>612</v>
      </c>
      <c r="C111" s="653"/>
      <c r="D111" s="654"/>
      <c r="E111" s="654"/>
      <c r="F111" s="654"/>
      <c r="G111" s="654"/>
      <c r="H111" s="654"/>
      <c r="I111" s="654"/>
      <c r="J111" s="654"/>
      <c r="K111" s="654"/>
      <c r="L111" s="655"/>
      <c r="M111" s="252"/>
      <c r="N111" s="252"/>
      <c r="O111" s="251"/>
      <c r="R111" s="250"/>
      <c r="S111" s="250"/>
      <c r="T111" s="250"/>
      <c r="U111" s="250"/>
    </row>
    <row r="112" spans="1:21" s="249" customFormat="1" ht="30">
      <c r="A112" s="588" t="s">
        <v>830</v>
      </c>
      <c r="B112" s="589" t="s">
        <v>802</v>
      </c>
      <c r="C112" s="197" t="s">
        <v>1028</v>
      </c>
      <c r="D112" s="606">
        <v>51.3</v>
      </c>
      <c r="E112" s="603"/>
      <c r="F112" s="604"/>
      <c r="G112" s="594">
        <v>66.069999999999993</v>
      </c>
      <c r="H112" s="601">
        <v>0.2354</v>
      </c>
      <c r="I112" s="596">
        <f t="shared" si="2"/>
        <v>81.62</v>
      </c>
      <c r="J112" s="596">
        <f t="shared" si="3"/>
        <v>4187.1000000000004</v>
      </c>
      <c r="K112" s="197" t="s">
        <v>1034</v>
      </c>
      <c r="L112" s="593" t="s">
        <v>1116</v>
      </c>
      <c r="M112" s="252"/>
      <c r="N112" s="252"/>
      <c r="O112" s="251"/>
      <c r="R112" s="250"/>
      <c r="S112" s="250"/>
      <c r="T112" s="250"/>
      <c r="U112" s="250"/>
    </row>
    <row r="113" spans="1:21" s="249" customFormat="1">
      <c r="A113" s="588" t="s">
        <v>831</v>
      </c>
      <c r="B113" s="589" t="s">
        <v>772</v>
      </c>
      <c r="C113" s="197" t="s">
        <v>1028</v>
      </c>
      <c r="D113" s="606">
        <v>51.3</v>
      </c>
      <c r="E113" s="603"/>
      <c r="F113" s="604"/>
      <c r="G113" s="594">
        <v>35.75</v>
      </c>
      <c r="H113" s="601">
        <v>0.2354</v>
      </c>
      <c r="I113" s="596">
        <f t="shared" si="2"/>
        <v>44.16</v>
      </c>
      <c r="J113" s="596">
        <f t="shared" si="3"/>
        <v>2265.4</v>
      </c>
      <c r="K113" s="197" t="s">
        <v>1034</v>
      </c>
      <c r="L113" s="593" t="s">
        <v>1115</v>
      </c>
      <c r="M113" s="252"/>
      <c r="N113" s="252"/>
      <c r="O113" s="251"/>
      <c r="R113" s="250"/>
      <c r="S113" s="250"/>
      <c r="T113" s="250"/>
      <c r="U113" s="250"/>
    </row>
    <row r="114" spans="1:21" s="249" customFormat="1" ht="30">
      <c r="A114" s="588" t="s">
        <v>832</v>
      </c>
      <c r="B114" s="589" t="s">
        <v>803</v>
      </c>
      <c r="C114" s="197" t="s">
        <v>1028</v>
      </c>
      <c r="D114" s="606">
        <v>51.3</v>
      </c>
      <c r="E114" s="603"/>
      <c r="F114" s="604"/>
      <c r="G114" s="594">
        <v>61.19</v>
      </c>
      <c r="H114" s="601">
        <v>0.2354</v>
      </c>
      <c r="I114" s="596">
        <f t="shared" si="2"/>
        <v>75.59</v>
      </c>
      <c r="J114" s="596">
        <f t="shared" si="3"/>
        <v>3877.76</v>
      </c>
      <c r="K114" s="197" t="s">
        <v>1034</v>
      </c>
      <c r="L114" s="593" t="s">
        <v>1117</v>
      </c>
      <c r="M114" s="252"/>
      <c r="N114" s="252"/>
      <c r="O114" s="251"/>
      <c r="R114" s="250"/>
      <c r="S114" s="250"/>
      <c r="T114" s="250"/>
      <c r="U114" s="250"/>
    </row>
    <row r="115" spans="1:21" s="249" customFormat="1">
      <c r="A115" s="616" t="s">
        <v>833</v>
      </c>
      <c r="B115" s="617" t="s">
        <v>613</v>
      </c>
      <c r="C115" s="653"/>
      <c r="D115" s="654"/>
      <c r="E115" s="654"/>
      <c r="F115" s="654"/>
      <c r="G115" s="654"/>
      <c r="H115" s="654"/>
      <c r="I115" s="654"/>
      <c r="J115" s="654"/>
      <c r="K115" s="654"/>
      <c r="L115" s="655"/>
      <c r="M115" s="252"/>
      <c r="N115" s="252"/>
      <c r="O115" s="251"/>
      <c r="R115" s="250"/>
      <c r="S115" s="250"/>
      <c r="T115" s="250"/>
      <c r="U115" s="250"/>
    </row>
    <row r="116" spans="1:21" s="249" customFormat="1">
      <c r="A116" s="588" t="s">
        <v>834</v>
      </c>
      <c r="B116" s="589" t="s">
        <v>804</v>
      </c>
      <c r="C116" s="197" t="s">
        <v>1031</v>
      </c>
      <c r="D116" s="606">
        <v>12</v>
      </c>
      <c r="E116" s="603"/>
      <c r="F116" s="604"/>
      <c r="G116" s="594">
        <v>15.27</v>
      </c>
      <c r="H116" s="601">
        <v>0.2354</v>
      </c>
      <c r="I116" s="596">
        <f t="shared" si="2"/>
        <v>18.86</v>
      </c>
      <c r="J116" s="596">
        <f t="shared" si="3"/>
        <v>226.32</v>
      </c>
      <c r="K116" s="197" t="s">
        <v>1034</v>
      </c>
      <c r="L116" s="593" t="s">
        <v>1118</v>
      </c>
      <c r="M116" s="252"/>
      <c r="N116" s="252"/>
      <c r="O116" s="251"/>
      <c r="R116" s="250"/>
      <c r="S116" s="250"/>
      <c r="T116" s="250"/>
      <c r="U116" s="250"/>
    </row>
    <row r="117" spans="1:21" s="249" customFormat="1" ht="30">
      <c r="A117" s="588" t="s">
        <v>835</v>
      </c>
      <c r="B117" s="589" t="s">
        <v>721</v>
      </c>
      <c r="C117" s="197" t="s">
        <v>1029</v>
      </c>
      <c r="D117" s="606">
        <v>12</v>
      </c>
      <c r="E117" s="603"/>
      <c r="F117" s="604"/>
      <c r="G117" s="594">
        <v>18.93</v>
      </c>
      <c r="H117" s="601">
        <v>0.2354</v>
      </c>
      <c r="I117" s="596">
        <f t="shared" si="2"/>
        <v>23.38</v>
      </c>
      <c r="J117" s="596">
        <f t="shared" si="3"/>
        <v>280.56</v>
      </c>
      <c r="K117" s="197" t="s">
        <v>1034</v>
      </c>
      <c r="L117" s="593" t="s">
        <v>1085</v>
      </c>
      <c r="M117" s="252"/>
      <c r="N117" s="252"/>
      <c r="O117" s="251"/>
      <c r="R117" s="250"/>
      <c r="S117" s="250"/>
      <c r="T117" s="250"/>
      <c r="U117" s="250"/>
    </row>
    <row r="118" spans="1:21" s="249" customFormat="1" ht="30">
      <c r="A118" s="588" t="s">
        <v>836</v>
      </c>
      <c r="B118" s="589" t="s">
        <v>805</v>
      </c>
      <c r="C118" s="197" t="s">
        <v>1029</v>
      </c>
      <c r="D118" s="606">
        <v>6</v>
      </c>
      <c r="E118" s="603"/>
      <c r="F118" s="604"/>
      <c r="G118" s="594">
        <v>11.36</v>
      </c>
      <c r="H118" s="601">
        <v>0.2354</v>
      </c>
      <c r="I118" s="596">
        <f t="shared" si="2"/>
        <v>14.03</v>
      </c>
      <c r="J118" s="596">
        <f t="shared" si="3"/>
        <v>84.18</v>
      </c>
      <c r="K118" s="197" t="s">
        <v>1034</v>
      </c>
      <c r="L118" s="593" t="s">
        <v>1119</v>
      </c>
      <c r="M118" s="252"/>
      <c r="N118" s="252"/>
      <c r="O118" s="251"/>
      <c r="R118" s="250"/>
      <c r="S118" s="250"/>
      <c r="T118" s="250"/>
      <c r="U118" s="250"/>
    </row>
    <row r="119" spans="1:21" s="249" customFormat="1">
      <c r="A119" s="588" t="s">
        <v>837</v>
      </c>
      <c r="B119" s="589" t="s">
        <v>806</v>
      </c>
      <c r="C119" s="197" t="s">
        <v>1029</v>
      </c>
      <c r="D119" s="606">
        <v>2</v>
      </c>
      <c r="E119" s="603"/>
      <c r="F119" s="604"/>
      <c r="G119" s="594">
        <v>30.48</v>
      </c>
      <c r="H119" s="601">
        <v>0.2354</v>
      </c>
      <c r="I119" s="596">
        <f t="shared" si="2"/>
        <v>37.65</v>
      </c>
      <c r="J119" s="596">
        <f t="shared" si="3"/>
        <v>75.3</v>
      </c>
      <c r="K119" s="197" t="s">
        <v>1034</v>
      </c>
      <c r="L119" s="593" t="s">
        <v>1120</v>
      </c>
      <c r="M119" s="252"/>
      <c r="N119" s="252"/>
      <c r="O119" s="251"/>
      <c r="R119" s="250"/>
      <c r="S119" s="250"/>
      <c r="T119" s="250"/>
      <c r="U119" s="250"/>
    </row>
    <row r="120" spans="1:21" s="249" customFormat="1">
      <c r="A120" s="588" t="s">
        <v>838</v>
      </c>
      <c r="B120" s="589" t="s">
        <v>807</v>
      </c>
      <c r="C120" s="197" t="s">
        <v>1029</v>
      </c>
      <c r="D120" s="606">
        <v>8</v>
      </c>
      <c r="E120" s="603"/>
      <c r="F120" s="604"/>
      <c r="G120" s="594">
        <v>15.62</v>
      </c>
      <c r="H120" s="601">
        <v>0.2354</v>
      </c>
      <c r="I120" s="596">
        <f t="shared" si="2"/>
        <v>19.29</v>
      </c>
      <c r="J120" s="596">
        <f t="shared" si="3"/>
        <v>154.32</v>
      </c>
      <c r="K120" s="197" t="s">
        <v>1034</v>
      </c>
      <c r="L120" s="593" t="s">
        <v>1121</v>
      </c>
      <c r="M120" s="252"/>
      <c r="N120" s="252"/>
      <c r="O120" s="251"/>
      <c r="R120" s="250"/>
      <c r="S120" s="250"/>
      <c r="T120" s="250"/>
      <c r="U120" s="250"/>
    </row>
    <row r="121" spans="1:21" s="249" customFormat="1" ht="30">
      <c r="A121" s="588" t="s">
        <v>839</v>
      </c>
      <c r="B121" s="589" t="s">
        <v>808</v>
      </c>
      <c r="C121" s="197" t="s">
        <v>1031</v>
      </c>
      <c r="D121" s="606">
        <v>12</v>
      </c>
      <c r="E121" s="603"/>
      <c r="F121" s="604"/>
      <c r="G121" s="594">
        <v>49</v>
      </c>
      <c r="H121" s="601">
        <v>0.2354</v>
      </c>
      <c r="I121" s="596">
        <f t="shared" si="2"/>
        <v>60.53</v>
      </c>
      <c r="J121" s="596">
        <f t="shared" si="3"/>
        <v>726.36</v>
      </c>
      <c r="K121" s="197" t="s">
        <v>1034</v>
      </c>
      <c r="L121" s="593" t="s">
        <v>1122</v>
      </c>
      <c r="M121" s="252"/>
      <c r="N121" s="252"/>
      <c r="O121" s="251"/>
      <c r="R121" s="250"/>
      <c r="S121" s="250"/>
      <c r="T121" s="250"/>
      <c r="U121" s="250"/>
    </row>
    <row r="122" spans="1:21" s="249" customFormat="1" ht="30">
      <c r="A122" s="588" t="s">
        <v>840</v>
      </c>
      <c r="B122" s="589" t="s">
        <v>809</v>
      </c>
      <c r="C122" s="197" t="s">
        <v>1029</v>
      </c>
      <c r="D122" s="606">
        <v>8</v>
      </c>
      <c r="E122" s="603"/>
      <c r="F122" s="604"/>
      <c r="G122" s="594">
        <v>32.9</v>
      </c>
      <c r="H122" s="601">
        <v>0.2354</v>
      </c>
      <c r="I122" s="596">
        <f t="shared" si="2"/>
        <v>40.64</v>
      </c>
      <c r="J122" s="596">
        <f t="shared" si="3"/>
        <v>325.12</v>
      </c>
      <c r="K122" s="197" t="s">
        <v>1034</v>
      </c>
      <c r="L122" s="593" t="s">
        <v>1123</v>
      </c>
      <c r="M122" s="252"/>
      <c r="N122" s="252"/>
      <c r="O122" s="251"/>
      <c r="R122" s="250"/>
      <c r="S122" s="250"/>
      <c r="T122" s="250"/>
      <c r="U122" s="250"/>
    </row>
    <row r="123" spans="1:21" s="249" customFormat="1" ht="30">
      <c r="A123" s="588" t="s">
        <v>841</v>
      </c>
      <c r="B123" s="589" t="s">
        <v>810</v>
      </c>
      <c r="C123" s="197" t="s">
        <v>1029</v>
      </c>
      <c r="D123" s="606">
        <v>6</v>
      </c>
      <c r="E123" s="603"/>
      <c r="F123" s="604"/>
      <c r="G123" s="594">
        <v>60.87</v>
      </c>
      <c r="H123" s="601">
        <v>0.2354</v>
      </c>
      <c r="I123" s="596">
        <f t="shared" si="2"/>
        <v>75.19</v>
      </c>
      <c r="J123" s="596">
        <f t="shared" si="3"/>
        <v>451.14</v>
      </c>
      <c r="K123" s="197" t="s">
        <v>1034</v>
      </c>
      <c r="L123" s="593" t="s">
        <v>1124</v>
      </c>
      <c r="M123" s="252"/>
      <c r="N123" s="252"/>
      <c r="O123" s="251"/>
      <c r="R123" s="250"/>
      <c r="S123" s="250"/>
      <c r="T123" s="250"/>
      <c r="U123" s="250"/>
    </row>
    <row r="124" spans="1:21" s="249" customFormat="1" ht="30">
      <c r="A124" s="588" t="s">
        <v>842</v>
      </c>
      <c r="B124" s="589" t="s">
        <v>811</v>
      </c>
      <c r="C124" s="197" t="s">
        <v>1029</v>
      </c>
      <c r="D124" s="606">
        <v>2</v>
      </c>
      <c r="E124" s="603"/>
      <c r="F124" s="604"/>
      <c r="G124" s="594">
        <v>50.94</v>
      </c>
      <c r="H124" s="601">
        <v>0.2354</v>
      </c>
      <c r="I124" s="596">
        <f t="shared" si="2"/>
        <v>62.93</v>
      </c>
      <c r="J124" s="596">
        <f t="shared" si="3"/>
        <v>125.86</v>
      </c>
      <c r="K124" s="197" t="s">
        <v>1034</v>
      </c>
      <c r="L124" s="593" t="s">
        <v>1125</v>
      </c>
      <c r="M124" s="252"/>
      <c r="N124" s="252"/>
      <c r="O124" s="251"/>
      <c r="R124" s="250"/>
      <c r="S124" s="250"/>
      <c r="T124" s="250"/>
      <c r="U124" s="250"/>
    </row>
    <row r="125" spans="1:21" s="249" customFormat="1" ht="30">
      <c r="A125" s="588" t="s">
        <v>843</v>
      </c>
      <c r="B125" s="589" t="s">
        <v>812</v>
      </c>
      <c r="C125" s="197" t="s">
        <v>1029</v>
      </c>
      <c r="D125" s="606">
        <v>3</v>
      </c>
      <c r="E125" s="603"/>
      <c r="F125" s="604"/>
      <c r="G125" s="594">
        <v>33.89</v>
      </c>
      <c r="H125" s="601">
        <v>0.2354</v>
      </c>
      <c r="I125" s="596">
        <f t="shared" si="2"/>
        <v>41.86</v>
      </c>
      <c r="J125" s="596">
        <f t="shared" si="3"/>
        <v>125.58</v>
      </c>
      <c r="K125" s="197" t="s">
        <v>1034</v>
      </c>
      <c r="L125" s="593" t="s">
        <v>1126</v>
      </c>
      <c r="M125" s="252"/>
      <c r="N125" s="252"/>
      <c r="O125" s="251"/>
      <c r="R125" s="250"/>
      <c r="S125" s="250"/>
      <c r="T125" s="250"/>
      <c r="U125" s="250"/>
    </row>
    <row r="126" spans="1:21" s="249" customFormat="1" ht="30">
      <c r="A126" s="588" t="s">
        <v>844</v>
      </c>
      <c r="B126" s="589" t="s">
        <v>813</v>
      </c>
      <c r="C126" s="197" t="s">
        <v>1029</v>
      </c>
      <c r="D126" s="606">
        <v>2</v>
      </c>
      <c r="E126" s="603"/>
      <c r="F126" s="604"/>
      <c r="G126" s="594">
        <v>23.38</v>
      </c>
      <c r="H126" s="601">
        <v>0.2354</v>
      </c>
      <c r="I126" s="596">
        <f t="shared" si="2"/>
        <v>28.88</v>
      </c>
      <c r="J126" s="596">
        <f t="shared" si="3"/>
        <v>57.76</v>
      </c>
      <c r="K126" s="197" t="s">
        <v>1034</v>
      </c>
      <c r="L126" s="593" t="s">
        <v>1127</v>
      </c>
      <c r="M126" s="252"/>
      <c r="N126" s="252"/>
      <c r="O126" s="251"/>
      <c r="R126" s="250"/>
      <c r="S126" s="250"/>
      <c r="T126" s="250"/>
      <c r="U126" s="250"/>
    </row>
    <row r="127" spans="1:21" s="249" customFormat="1" ht="30">
      <c r="A127" s="588" t="s">
        <v>845</v>
      </c>
      <c r="B127" s="589" t="s">
        <v>814</v>
      </c>
      <c r="C127" s="197" t="s">
        <v>1031</v>
      </c>
      <c r="D127" s="606">
        <v>6</v>
      </c>
      <c r="E127" s="603"/>
      <c r="F127" s="604"/>
      <c r="G127" s="594">
        <v>28.16</v>
      </c>
      <c r="H127" s="601">
        <v>0.2354</v>
      </c>
      <c r="I127" s="596">
        <f t="shared" si="2"/>
        <v>34.78</v>
      </c>
      <c r="J127" s="596">
        <f t="shared" si="3"/>
        <v>208.68</v>
      </c>
      <c r="K127" s="197" t="s">
        <v>1034</v>
      </c>
      <c r="L127" s="593" t="s">
        <v>1128</v>
      </c>
      <c r="M127" s="252"/>
      <c r="N127" s="252"/>
      <c r="O127" s="251"/>
      <c r="R127" s="250"/>
      <c r="S127" s="250"/>
      <c r="T127" s="250"/>
      <c r="U127" s="250"/>
    </row>
    <row r="128" spans="1:21" s="249" customFormat="1" ht="30">
      <c r="A128" s="588" t="s">
        <v>846</v>
      </c>
      <c r="B128" s="589" t="s">
        <v>815</v>
      </c>
      <c r="C128" s="197" t="s">
        <v>1029</v>
      </c>
      <c r="D128" s="606">
        <v>4</v>
      </c>
      <c r="E128" s="603"/>
      <c r="F128" s="604"/>
      <c r="G128" s="594">
        <v>13.34</v>
      </c>
      <c r="H128" s="601">
        <v>0.2354</v>
      </c>
      <c r="I128" s="596">
        <f t="shared" si="2"/>
        <v>16.48</v>
      </c>
      <c r="J128" s="596">
        <f t="shared" si="3"/>
        <v>65.92</v>
      </c>
      <c r="K128" s="197" t="s">
        <v>1034</v>
      </c>
      <c r="L128" s="593" t="s">
        <v>1129</v>
      </c>
      <c r="M128" s="252"/>
      <c r="N128" s="252"/>
      <c r="O128" s="251"/>
      <c r="R128" s="250"/>
      <c r="S128" s="250"/>
      <c r="T128" s="250"/>
      <c r="U128" s="250"/>
    </row>
    <row r="129" spans="1:21" s="249" customFormat="1" ht="30">
      <c r="A129" s="588" t="s">
        <v>847</v>
      </c>
      <c r="B129" s="589" t="s">
        <v>816</v>
      </c>
      <c r="C129" s="197" t="s">
        <v>1029</v>
      </c>
      <c r="D129" s="606">
        <v>2</v>
      </c>
      <c r="E129" s="603"/>
      <c r="F129" s="604"/>
      <c r="G129" s="594">
        <v>576.4</v>
      </c>
      <c r="H129" s="601">
        <v>0.2354</v>
      </c>
      <c r="I129" s="596">
        <f t="shared" si="2"/>
        <v>712.08</v>
      </c>
      <c r="J129" s="596">
        <f t="shared" si="3"/>
        <v>1424.16</v>
      </c>
      <c r="K129" s="197" t="s">
        <v>1034</v>
      </c>
      <c r="L129" s="593" t="s">
        <v>1130</v>
      </c>
      <c r="M129" s="252"/>
      <c r="N129" s="252"/>
      <c r="O129" s="251"/>
      <c r="R129" s="250"/>
      <c r="S129" s="250"/>
      <c r="T129" s="250"/>
      <c r="U129" s="250"/>
    </row>
    <row r="130" spans="1:21" s="249" customFormat="1" ht="30">
      <c r="A130" s="588" t="s">
        <v>848</v>
      </c>
      <c r="B130" s="589" t="s">
        <v>817</v>
      </c>
      <c r="C130" s="197" t="s">
        <v>1029</v>
      </c>
      <c r="D130" s="606">
        <v>1</v>
      </c>
      <c r="E130" s="603"/>
      <c r="F130" s="604"/>
      <c r="G130" s="594">
        <v>6134.88</v>
      </c>
      <c r="H130" s="601">
        <v>0.2354</v>
      </c>
      <c r="I130" s="596">
        <f t="shared" si="2"/>
        <v>7579.03</v>
      </c>
      <c r="J130" s="596">
        <f t="shared" si="3"/>
        <v>7579.03</v>
      </c>
      <c r="K130" s="197" t="s">
        <v>1034</v>
      </c>
      <c r="L130" s="593" t="s">
        <v>1131</v>
      </c>
      <c r="M130" s="252"/>
      <c r="N130" s="252"/>
      <c r="O130" s="251"/>
      <c r="R130" s="250"/>
      <c r="S130" s="250"/>
      <c r="T130" s="250"/>
      <c r="U130" s="250"/>
    </row>
    <row r="131" spans="1:21" s="249" customFormat="1" ht="30">
      <c r="A131" s="588" t="s">
        <v>849</v>
      </c>
      <c r="B131" s="589" t="s">
        <v>818</v>
      </c>
      <c r="C131" s="197" t="s">
        <v>1029</v>
      </c>
      <c r="D131" s="606">
        <v>1</v>
      </c>
      <c r="E131" s="603"/>
      <c r="F131" s="604"/>
      <c r="G131" s="594">
        <v>6352.9</v>
      </c>
      <c r="H131" s="601">
        <v>0.2354</v>
      </c>
      <c r="I131" s="596">
        <f t="shared" si="2"/>
        <v>7848.37</v>
      </c>
      <c r="J131" s="596">
        <f t="shared" si="3"/>
        <v>7848.37</v>
      </c>
      <c r="K131" s="197" t="s">
        <v>1034</v>
      </c>
      <c r="L131" s="593" t="s">
        <v>1132</v>
      </c>
      <c r="M131" s="252"/>
      <c r="N131" s="252"/>
      <c r="O131" s="251"/>
      <c r="R131" s="250"/>
      <c r="S131" s="250"/>
      <c r="T131" s="250"/>
      <c r="U131" s="250"/>
    </row>
    <row r="132" spans="1:21" s="249" customFormat="1">
      <c r="A132" s="616" t="s">
        <v>850</v>
      </c>
      <c r="B132" s="617" t="s">
        <v>603</v>
      </c>
      <c r="C132" s="653"/>
      <c r="D132" s="654"/>
      <c r="E132" s="654"/>
      <c r="F132" s="654"/>
      <c r="G132" s="654"/>
      <c r="H132" s="654"/>
      <c r="I132" s="654"/>
      <c r="J132" s="654"/>
      <c r="K132" s="654"/>
      <c r="L132" s="655"/>
      <c r="M132" s="252"/>
      <c r="N132" s="252"/>
      <c r="O132" s="251"/>
      <c r="R132" s="250"/>
      <c r="S132" s="250"/>
      <c r="T132" s="250"/>
      <c r="U132" s="250"/>
    </row>
    <row r="133" spans="1:21" s="249" customFormat="1" ht="30">
      <c r="A133" s="588" t="s">
        <v>851</v>
      </c>
      <c r="B133" s="589" t="s">
        <v>819</v>
      </c>
      <c r="C133" s="197" t="s">
        <v>1029</v>
      </c>
      <c r="D133" s="606">
        <v>1</v>
      </c>
      <c r="E133" s="603"/>
      <c r="F133" s="604"/>
      <c r="G133" s="594">
        <v>114.29</v>
      </c>
      <c r="H133" s="601">
        <v>0.2354</v>
      </c>
      <c r="I133" s="596">
        <f t="shared" si="2"/>
        <v>141.19</v>
      </c>
      <c r="J133" s="596">
        <f t="shared" si="3"/>
        <v>141.19</v>
      </c>
      <c r="K133" s="197" t="s">
        <v>1034</v>
      </c>
      <c r="L133" s="593" t="s">
        <v>1133</v>
      </c>
      <c r="M133" s="252"/>
      <c r="N133" s="252"/>
      <c r="O133" s="251"/>
      <c r="R133" s="250"/>
      <c r="S133" s="250"/>
      <c r="T133" s="250"/>
      <c r="U133" s="250"/>
    </row>
    <row r="134" spans="1:21" s="249" customFormat="1">
      <c r="A134" s="588" t="s">
        <v>852</v>
      </c>
      <c r="B134" s="589" t="s">
        <v>820</v>
      </c>
      <c r="C134" s="197" t="s">
        <v>1029</v>
      </c>
      <c r="D134" s="606">
        <v>2</v>
      </c>
      <c r="E134" s="603"/>
      <c r="F134" s="604"/>
      <c r="G134" s="594">
        <v>11.93</v>
      </c>
      <c r="H134" s="601">
        <v>0.2354</v>
      </c>
      <c r="I134" s="596">
        <f t="shared" si="2"/>
        <v>14.73</v>
      </c>
      <c r="J134" s="596">
        <f t="shared" si="3"/>
        <v>29.46</v>
      </c>
      <c r="K134" s="197" t="s">
        <v>1034</v>
      </c>
      <c r="L134" s="593" t="s">
        <v>1134</v>
      </c>
      <c r="M134" s="252"/>
      <c r="N134" s="252"/>
      <c r="O134" s="251"/>
      <c r="R134" s="250"/>
      <c r="S134" s="250"/>
      <c r="T134" s="250"/>
      <c r="U134" s="250"/>
    </row>
    <row r="135" spans="1:21" s="249" customFormat="1" ht="30">
      <c r="A135" s="588" t="s">
        <v>853</v>
      </c>
      <c r="B135" s="589" t="s">
        <v>821</v>
      </c>
      <c r="C135" s="197" t="s">
        <v>1031</v>
      </c>
      <c r="D135" s="606">
        <v>50</v>
      </c>
      <c r="E135" s="603"/>
      <c r="F135" s="604"/>
      <c r="G135" s="594">
        <v>3.96</v>
      </c>
      <c r="H135" s="601">
        <v>0.2354</v>
      </c>
      <c r="I135" s="596">
        <f t="shared" si="2"/>
        <v>4.8899999999999997</v>
      </c>
      <c r="J135" s="596">
        <f t="shared" si="3"/>
        <v>244.5</v>
      </c>
      <c r="K135" s="197" t="s">
        <v>1034</v>
      </c>
      <c r="L135" s="593" t="s">
        <v>1135</v>
      </c>
      <c r="M135" s="252"/>
      <c r="N135" s="252"/>
      <c r="O135" s="251"/>
      <c r="R135" s="250"/>
      <c r="S135" s="250"/>
      <c r="T135" s="250"/>
      <c r="U135" s="250"/>
    </row>
    <row r="136" spans="1:21" s="249" customFormat="1" ht="30">
      <c r="A136" s="588" t="s">
        <v>854</v>
      </c>
      <c r="B136" s="589" t="s">
        <v>822</v>
      </c>
      <c r="C136" s="197" t="s">
        <v>1031</v>
      </c>
      <c r="D136" s="606">
        <v>50</v>
      </c>
      <c r="E136" s="603"/>
      <c r="F136" s="604"/>
      <c r="G136" s="594">
        <v>5.69</v>
      </c>
      <c r="H136" s="601">
        <v>0.2354</v>
      </c>
      <c r="I136" s="596">
        <f t="shared" si="2"/>
        <v>7.02</v>
      </c>
      <c r="J136" s="596">
        <f t="shared" si="3"/>
        <v>351</v>
      </c>
      <c r="K136" s="197" t="s">
        <v>1034</v>
      </c>
      <c r="L136" s="593" t="s">
        <v>1136</v>
      </c>
      <c r="M136" s="252"/>
      <c r="N136" s="252"/>
      <c r="O136" s="251"/>
      <c r="R136" s="250"/>
      <c r="S136" s="250"/>
      <c r="T136" s="250"/>
      <c r="U136" s="250"/>
    </row>
    <row r="137" spans="1:21" s="249" customFormat="1" ht="30">
      <c r="A137" s="588" t="s">
        <v>855</v>
      </c>
      <c r="B137" s="589" t="s">
        <v>823</v>
      </c>
      <c r="C137" s="197" t="s">
        <v>1031</v>
      </c>
      <c r="D137" s="606">
        <v>15</v>
      </c>
      <c r="E137" s="603"/>
      <c r="F137" s="604"/>
      <c r="G137" s="594">
        <v>19.559999999999999</v>
      </c>
      <c r="H137" s="601">
        <v>0.2354</v>
      </c>
      <c r="I137" s="596">
        <f t="shared" si="2"/>
        <v>24.16</v>
      </c>
      <c r="J137" s="596">
        <f t="shared" si="3"/>
        <v>362.4</v>
      </c>
      <c r="K137" s="197" t="s">
        <v>1034</v>
      </c>
      <c r="L137" s="593" t="s">
        <v>1137</v>
      </c>
      <c r="M137" s="252"/>
      <c r="N137" s="252"/>
      <c r="O137" s="251"/>
      <c r="R137" s="250"/>
      <c r="S137" s="250"/>
      <c r="T137" s="250"/>
      <c r="U137" s="250"/>
    </row>
    <row r="138" spans="1:21" s="249" customFormat="1" ht="30">
      <c r="A138" s="588" t="s">
        <v>856</v>
      </c>
      <c r="B138" s="589" t="s">
        <v>824</v>
      </c>
      <c r="C138" s="197" t="s">
        <v>1031</v>
      </c>
      <c r="D138" s="606">
        <v>15</v>
      </c>
      <c r="E138" s="603"/>
      <c r="F138" s="604"/>
      <c r="G138" s="594">
        <v>11.82</v>
      </c>
      <c r="H138" s="601">
        <v>0.2354</v>
      </c>
      <c r="I138" s="596">
        <f t="shared" si="2"/>
        <v>14.6</v>
      </c>
      <c r="J138" s="596">
        <f t="shared" si="3"/>
        <v>219</v>
      </c>
      <c r="K138" s="197" t="s">
        <v>1034</v>
      </c>
      <c r="L138" s="593" t="s">
        <v>1138</v>
      </c>
      <c r="M138" s="252"/>
      <c r="N138" s="252"/>
      <c r="O138" s="251"/>
      <c r="R138" s="250"/>
      <c r="S138" s="250"/>
      <c r="T138" s="250"/>
      <c r="U138" s="250"/>
    </row>
    <row r="139" spans="1:21" s="249" customFormat="1">
      <c r="A139" s="588" t="s">
        <v>857</v>
      </c>
      <c r="B139" s="589" t="s">
        <v>825</v>
      </c>
      <c r="C139" s="197" t="s">
        <v>1029</v>
      </c>
      <c r="D139" s="606">
        <v>4</v>
      </c>
      <c r="E139" s="603"/>
      <c r="F139" s="604"/>
      <c r="G139" s="594">
        <v>25.27</v>
      </c>
      <c r="H139" s="601">
        <v>0.2354</v>
      </c>
      <c r="I139" s="596">
        <f t="shared" si="2"/>
        <v>31.21</v>
      </c>
      <c r="J139" s="596">
        <f t="shared" si="3"/>
        <v>124.84</v>
      </c>
      <c r="K139" s="197" t="s">
        <v>1034</v>
      </c>
      <c r="L139" s="593" t="s">
        <v>1139</v>
      </c>
      <c r="M139" s="252"/>
      <c r="N139" s="252"/>
      <c r="O139" s="251"/>
      <c r="R139" s="250"/>
      <c r="S139" s="250"/>
      <c r="T139" s="250"/>
      <c r="U139" s="250"/>
    </row>
    <row r="140" spans="1:21" s="249" customFormat="1" ht="30">
      <c r="A140" s="588" t="s">
        <v>1228</v>
      </c>
      <c r="B140" s="589" t="s">
        <v>1216</v>
      </c>
      <c r="C140" s="197" t="s">
        <v>1029</v>
      </c>
      <c r="D140" s="606">
        <v>2</v>
      </c>
      <c r="E140" s="614"/>
      <c r="F140" s="615"/>
      <c r="G140" s="594">
        <v>69.17</v>
      </c>
      <c r="H140" s="601">
        <v>0.23980000000000001</v>
      </c>
      <c r="I140" s="596">
        <f t="shared" si="2"/>
        <v>85.75</v>
      </c>
      <c r="J140" s="596">
        <f t="shared" si="3"/>
        <v>171.5</v>
      </c>
      <c r="K140" s="197" t="s">
        <v>1034</v>
      </c>
      <c r="L140" s="593" t="s">
        <v>1222</v>
      </c>
      <c r="M140" s="252"/>
      <c r="N140" s="252"/>
      <c r="O140" s="251"/>
      <c r="R140" s="250"/>
      <c r="S140" s="250"/>
      <c r="T140" s="250"/>
      <c r="U140" s="250"/>
    </row>
    <row r="141" spans="1:21" s="249" customFormat="1" ht="30">
      <c r="A141" s="588" t="s">
        <v>1229</v>
      </c>
      <c r="B141" s="589" t="s">
        <v>1217</v>
      </c>
      <c r="C141" s="197" t="s">
        <v>1029</v>
      </c>
      <c r="D141" s="606">
        <v>4</v>
      </c>
      <c r="E141" s="603"/>
      <c r="F141" s="604"/>
      <c r="G141" s="594">
        <v>76.900000000000006</v>
      </c>
      <c r="H141" s="601">
        <v>0.23980000000000001</v>
      </c>
      <c r="I141" s="596">
        <f t="shared" ref="I141:I202" si="4">TRUNC(G141*(1+H141),2)</f>
        <v>95.34</v>
      </c>
      <c r="J141" s="596">
        <f t="shared" ref="J141:J202" si="5">TRUNC(D141*I141,2)</f>
        <v>381.36</v>
      </c>
      <c r="K141" s="197" t="s">
        <v>1034</v>
      </c>
      <c r="L141" s="593" t="s">
        <v>1223</v>
      </c>
      <c r="M141" s="252"/>
      <c r="N141" s="252"/>
      <c r="O141" s="251"/>
      <c r="R141" s="250"/>
      <c r="S141" s="250"/>
      <c r="T141" s="250"/>
      <c r="U141" s="250"/>
    </row>
    <row r="142" spans="1:21" s="249" customFormat="1">
      <c r="A142" s="588" t="s">
        <v>1230</v>
      </c>
      <c r="B142" s="589" t="s">
        <v>1218</v>
      </c>
      <c r="C142" s="197" t="s">
        <v>1029</v>
      </c>
      <c r="D142" s="606">
        <v>2</v>
      </c>
      <c r="E142" s="603"/>
      <c r="F142" s="604"/>
      <c r="G142" s="594">
        <v>72.53</v>
      </c>
      <c r="H142" s="601">
        <v>0.23980000000000001</v>
      </c>
      <c r="I142" s="596">
        <f t="shared" si="4"/>
        <v>89.92</v>
      </c>
      <c r="J142" s="596">
        <f t="shared" si="5"/>
        <v>179.84</v>
      </c>
      <c r="K142" s="197" t="s">
        <v>1034</v>
      </c>
      <c r="L142" s="593" t="s">
        <v>1224</v>
      </c>
      <c r="M142" s="252"/>
      <c r="N142" s="252"/>
      <c r="O142" s="251"/>
      <c r="R142" s="250"/>
      <c r="S142" s="250"/>
      <c r="T142" s="250"/>
      <c r="U142" s="250"/>
    </row>
    <row r="143" spans="1:21" s="249" customFormat="1">
      <c r="A143" s="588" t="s">
        <v>1231</v>
      </c>
      <c r="B143" s="589" t="s">
        <v>1219</v>
      </c>
      <c r="C143" s="197" t="s">
        <v>1029</v>
      </c>
      <c r="D143" s="606">
        <v>4</v>
      </c>
      <c r="E143" s="603"/>
      <c r="F143" s="604"/>
      <c r="G143" s="594">
        <v>38.65</v>
      </c>
      <c r="H143" s="601">
        <v>0.23980000000000001</v>
      </c>
      <c r="I143" s="596">
        <f t="shared" si="4"/>
        <v>47.91</v>
      </c>
      <c r="J143" s="596">
        <f t="shared" si="5"/>
        <v>191.64</v>
      </c>
      <c r="K143" s="197" t="s">
        <v>1034</v>
      </c>
      <c r="L143" s="593" t="s">
        <v>1225</v>
      </c>
      <c r="M143" s="252"/>
      <c r="N143" s="252"/>
      <c r="O143" s="251"/>
      <c r="R143" s="250"/>
      <c r="S143" s="250"/>
      <c r="T143" s="250"/>
      <c r="U143" s="250"/>
    </row>
    <row r="144" spans="1:21" s="249" customFormat="1">
      <c r="A144" s="616" t="s">
        <v>858</v>
      </c>
      <c r="B144" s="617" t="s">
        <v>614</v>
      </c>
      <c r="C144" s="653"/>
      <c r="D144" s="654"/>
      <c r="E144" s="654"/>
      <c r="F144" s="654"/>
      <c r="G144" s="654"/>
      <c r="H144" s="654"/>
      <c r="I144" s="654"/>
      <c r="J144" s="654"/>
      <c r="K144" s="654"/>
      <c r="L144" s="655"/>
      <c r="M144" s="252"/>
      <c r="N144" s="252"/>
      <c r="O144" s="251"/>
      <c r="R144" s="250"/>
      <c r="S144" s="250"/>
      <c r="T144" s="250"/>
      <c r="U144" s="250"/>
    </row>
    <row r="145" spans="1:21" s="249" customFormat="1" ht="45">
      <c r="A145" s="588" t="s">
        <v>859</v>
      </c>
      <c r="B145" s="589" t="s">
        <v>826</v>
      </c>
      <c r="C145" s="197" t="s">
        <v>1029</v>
      </c>
      <c r="D145" s="606">
        <v>2</v>
      </c>
      <c r="E145" s="603"/>
      <c r="F145" s="604"/>
      <c r="G145" s="594">
        <v>1679.89</v>
      </c>
      <c r="H145" s="601">
        <v>0.2354</v>
      </c>
      <c r="I145" s="596">
        <f t="shared" si="4"/>
        <v>2075.33</v>
      </c>
      <c r="J145" s="596">
        <f t="shared" si="5"/>
        <v>4150.66</v>
      </c>
      <c r="K145" s="197" t="s">
        <v>1034</v>
      </c>
      <c r="L145" s="593" t="s">
        <v>1140</v>
      </c>
      <c r="M145" s="252"/>
      <c r="N145" s="252"/>
      <c r="O145" s="251"/>
      <c r="R145" s="250"/>
      <c r="S145" s="250"/>
      <c r="T145" s="250"/>
      <c r="U145" s="250"/>
    </row>
    <row r="146" spans="1:21" s="249" customFormat="1" ht="30">
      <c r="A146" s="588" t="s">
        <v>860</v>
      </c>
      <c r="B146" s="589" t="s">
        <v>827</v>
      </c>
      <c r="C146" s="197" t="s">
        <v>1028</v>
      </c>
      <c r="D146" s="606">
        <v>6.3</v>
      </c>
      <c r="E146" s="603"/>
      <c r="F146" s="604"/>
      <c r="G146" s="594">
        <v>1049.57</v>
      </c>
      <c r="H146" s="601">
        <v>0.2354</v>
      </c>
      <c r="I146" s="596">
        <f t="shared" si="4"/>
        <v>1296.6300000000001</v>
      </c>
      <c r="J146" s="596">
        <f t="shared" si="5"/>
        <v>8168.76</v>
      </c>
      <c r="K146" s="197" t="s">
        <v>1034</v>
      </c>
      <c r="L146" s="593" t="s">
        <v>1141</v>
      </c>
      <c r="M146" s="252"/>
      <c r="N146" s="252"/>
      <c r="O146" s="251"/>
      <c r="R146" s="250"/>
      <c r="S146" s="250"/>
      <c r="T146" s="250"/>
      <c r="U146" s="250"/>
    </row>
    <row r="147" spans="1:21" s="249" customFormat="1" ht="45">
      <c r="A147" s="588" t="s">
        <v>861</v>
      </c>
      <c r="B147" s="589" t="s">
        <v>828</v>
      </c>
      <c r="C147" s="197" t="s">
        <v>1028</v>
      </c>
      <c r="D147" s="606">
        <v>0.96</v>
      </c>
      <c r="E147" s="603"/>
      <c r="F147" s="604"/>
      <c r="G147" s="594">
        <v>969.96</v>
      </c>
      <c r="H147" s="601">
        <v>0.2354</v>
      </c>
      <c r="I147" s="596">
        <f t="shared" si="4"/>
        <v>1198.28</v>
      </c>
      <c r="J147" s="596">
        <f t="shared" si="5"/>
        <v>1150.3399999999999</v>
      </c>
      <c r="K147" s="197" t="s">
        <v>1034</v>
      </c>
      <c r="L147" s="593" t="s">
        <v>1142</v>
      </c>
      <c r="M147" s="252"/>
      <c r="N147" s="252"/>
      <c r="O147" s="251"/>
      <c r="R147" s="250"/>
      <c r="S147" s="250"/>
      <c r="T147" s="250"/>
      <c r="U147" s="250"/>
    </row>
    <row r="148" spans="1:21" s="249" customFormat="1">
      <c r="A148" s="616" t="s">
        <v>889</v>
      </c>
      <c r="B148" s="617" t="s">
        <v>615</v>
      </c>
      <c r="C148" s="653"/>
      <c r="D148" s="654"/>
      <c r="E148" s="654"/>
      <c r="F148" s="654"/>
      <c r="G148" s="654"/>
      <c r="H148" s="654"/>
      <c r="I148" s="654"/>
      <c r="J148" s="654"/>
      <c r="K148" s="654"/>
      <c r="L148" s="655"/>
      <c r="M148" s="252"/>
      <c r="N148" s="252"/>
      <c r="O148" s="251"/>
      <c r="R148" s="250"/>
      <c r="S148" s="250"/>
      <c r="T148" s="250"/>
      <c r="U148" s="250"/>
    </row>
    <row r="149" spans="1:21" s="249" customFormat="1">
      <c r="A149" s="588" t="s">
        <v>890</v>
      </c>
      <c r="B149" s="589" t="s">
        <v>862</v>
      </c>
      <c r="C149" s="197" t="s">
        <v>1029</v>
      </c>
      <c r="D149" s="606">
        <v>4</v>
      </c>
      <c r="E149" s="603"/>
      <c r="F149" s="604"/>
      <c r="G149" s="594">
        <v>682.79</v>
      </c>
      <c r="H149" s="601">
        <v>0.2354</v>
      </c>
      <c r="I149" s="596">
        <f t="shared" si="4"/>
        <v>843.51</v>
      </c>
      <c r="J149" s="596">
        <f t="shared" si="5"/>
        <v>3374.04</v>
      </c>
      <c r="K149" s="197" t="s">
        <v>1034</v>
      </c>
      <c r="L149" s="593" t="s">
        <v>1143</v>
      </c>
      <c r="M149" s="252"/>
      <c r="N149" s="252"/>
      <c r="O149" s="251"/>
      <c r="R149" s="250"/>
      <c r="S149" s="250"/>
      <c r="T149" s="250"/>
      <c r="U149" s="250"/>
    </row>
    <row r="150" spans="1:21" s="249" customFormat="1" ht="30">
      <c r="A150" s="588" t="s">
        <v>891</v>
      </c>
      <c r="B150" s="589" t="s">
        <v>863</v>
      </c>
      <c r="C150" s="197" t="s">
        <v>1029</v>
      </c>
      <c r="D150" s="606">
        <v>2</v>
      </c>
      <c r="E150" s="603"/>
      <c r="F150" s="604"/>
      <c r="G150" s="594">
        <v>816.65</v>
      </c>
      <c r="H150" s="601">
        <v>0.2354</v>
      </c>
      <c r="I150" s="596">
        <f t="shared" si="4"/>
        <v>1008.88</v>
      </c>
      <c r="J150" s="596">
        <f t="shared" si="5"/>
        <v>2017.76</v>
      </c>
      <c r="K150" s="197" t="s">
        <v>1034</v>
      </c>
      <c r="L150" s="593" t="s">
        <v>1144</v>
      </c>
      <c r="M150" s="252"/>
      <c r="N150" s="252"/>
      <c r="O150" s="251"/>
      <c r="R150" s="250"/>
      <c r="S150" s="250"/>
      <c r="T150" s="250"/>
      <c r="U150" s="250"/>
    </row>
    <row r="151" spans="1:21" s="249" customFormat="1">
      <c r="A151" s="588" t="s">
        <v>892</v>
      </c>
      <c r="B151" s="589" t="s">
        <v>1220</v>
      </c>
      <c r="C151" s="197" t="s">
        <v>1029</v>
      </c>
      <c r="D151" s="606">
        <v>2</v>
      </c>
      <c r="E151" s="603"/>
      <c r="F151" s="604"/>
      <c r="G151" s="594">
        <v>588.22</v>
      </c>
      <c r="H151" s="601">
        <v>0.23980000000000001</v>
      </c>
      <c r="I151" s="596">
        <f t="shared" si="4"/>
        <v>729.27</v>
      </c>
      <c r="J151" s="596">
        <f t="shared" si="5"/>
        <v>1458.54</v>
      </c>
      <c r="K151" s="197" t="s">
        <v>1034</v>
      </c>
      <c r="L151" s="593" t="s">
        <v>1226</v>
      </c>
      <c r="M151" s="252"/>
      <c r="N151" s="252"/>
      <c r="O151" s="251"/>
      <c r="R151" s="250"/>
      <c r="S151" s="250"/>
      <c r="T151" s="250"/>
      <c r="U151" s="250"/>
    </row>
    <row r="152" spans="1:21" s="249" customFormat="1">
      <c r="A152" s="588" t="s">
        <v>893</v>
      </c>
      <c r="B152" s="589" t="s">
        <v>864</v>
      </c>
      <c r="C152" s="197" t="s">
        <v>1029</v>
      </c>
      <c r="D152" s="606">
        <v>8</v>
      </c>
      <c r="E152" s="614"/>
      <c r="F152" s="615"/>
      <c r="G152" s="594">
        <v>52.1</v>
      </c>
      <c r="H152" s="601">
        <v>0.2354</v>
      </c>
      <c r="I152" s="596">
        <f t="shared" si="4"/>
        <v>64.36</v>
      </c>
      <c r="J152" s="596">
        <f t="shared" si="5"/>
        <v>514.88</v>
      </c>
      <c r="K152" s="197" t="s">
        <v>1034</v>
      </c>
      <c r="L152" s="593" t="s">
        <v>1145</v>
      </c>
      <c r="M152" s="252"/>
      <c r="N152" s="252"/>
      <c r="O152" s="251"/>
      <c r="R152" s="250"/>
      <c r="S152" s="250"/>
      <c r="T152" s="250"/>
      <c r="U152" s="250"/>
    </row>
    <row r="153" spans="1:21" s="249" customFormat="1" ht="45">
      <c r="A153" s="588" t="s">
        <v>894</v>
      </c>
      <c r="B153" s="589" t="s">
        <v>865</v>
      </c>
      <c r="C153" s="197" t="s">
        <v>1029</v>
      </c>
      <c r="D153" s="606">
        <v>2</v>
      </c>
      <c r="E153" s="603"/>
      <c r="F153" s="604"/>
      <c r="G153" s="594">
        <v>297.3</v>
      </c>
      <c r="H153" s="601">
        <v>0.2354</v>
      </c>
      <c r="I153" s="596">
        <f t="shared" si="4"/>
        <v>367.28</v>
      </c>
      <c r="J153" s="596">
        <f t="shared" si="5"/>
        <v>734.56</v>
      </c>
      <c r="K153" s="197" t="s">
        <v>1037</v>
      </c>
      <c r="L153" s="593" t="s">
        <v>1146</v>
      </c>
      <c r="M153" s="252"/>
      <c r="N153" s="252"/>
      <c r="O153" s="251"/>
      <c r="R153" s="250"/>
      <c r="S153" s="250"/>
      <c r="T153" s="250"/>
      <c r="U153" s="250"/>
    </row>
    <row r="154" spans="1:21" s="249" customFormat="1">
      <c r="A154" s="588" t="s">
        <v>895</v>
      </c>
      <c r="B154" s="589" t="s">
        <v>866</v>
      </c>
      <c r="C154" s="197" t="s">
        <v>1029</v>
      </c>
      <c r="D154" s="606">
        <v>3</v>
      </c>
      <c r="E154" s="603"/>
      <c r="F154" s="604"/>
      <c r="G154" s="594">
        <v>1232.8699999999999</v>
      </c>
      <c r="H154" s="601">
        <v>0.2354</v>
      </c>
      <c r="I154" s="596">
        <f t="shared" si="4"/>
        <v>1523.08</v>
      </c>
      <c r="J154" s="596">
        <f t="shared" si="5"/>
        <v>4569.24</v>
      </c>
      <c r="K154" s="197" t="s">
        <v>1034</v>
      </c>
      <c r="L154" s="593" t="s">
        <v>1147</v>
      </c>
      <c r="M154" s="252"/>
      <c r="N154" s="252"/>
      <c r="O154" s="251"/>
      <c r="R154" s="250"/>
      <c r="S154" s="250"/>
      <c r="T154" s="250"/>
      <c r="U154" s="250"/>
    </row>
    <row r="155" spans="1:21" s="249" customFormat="1" ht="45">
      <c r="A155" s="588" t="s">
        <v>896</v>
      </c>
      <c r="B155" s="589" t="s">
        <v>867</v>
      </c>
      <c r="C155" s="197" t="s">
        <v>1029</v>
      </c>
      <c r="D155" s="606">
        <v>6</v>
      </c>
      <c r="E155" s="603"/>
      <c r="F155" s="604"/>
      <c r="G155" s="594">
        <v>300.49</v>
      </c>
      <c r="H155" s="601">
        <v>0.2354</v>
      </c>
      <c r="I155" s="596">
        <f t="shared" si="4"/>
        <v>371.22</v>
      </c>
      <c r="J155" s="596">
        <f t="shared" si="5"/>
        <v>2227.3200000000002</v>
      </c>
      <c r="K155" s="197" t="s">
        <v>1034</v>
      </c>
      <c r="L155" s="593" t="s">
        <v>1148</v>
      </c>
      <c r="M155" s="252"/>
      <c r="N155" s="252"/>
      <c r="O155" s="251"/>
      <c r="R155" s="250"/>
      <c r="S155" s="250"/>
      <c r="T155" s="250"/>
      <c r="U155" s="250"/>
    </row>
    <row r="156" spans="1:21" s="249" customFormat="1" ht="30">
      <c r="A156" s="588" t="s">
        <v>1232</v>
      </c>
      <c r="B156" s="589" t="s">
        <v>868</v>
      </c>
      <c r="C156" s="197" t="s">
        <v>1029</v>
      </c>
      <c r="D156" s="606">
        <v>4</v>
      </c>
      <c r="E156" s="603"/>
      <c r="F156" s="604"/>
      <c r="G156" s="594">
        <v>381.68</v>
      </c>
      <c r="H156" s="601">
        <v>0.2354</v>
      </c>
      <c r="I156" s="596">
        <f t="shared" si="4"/>
        <v>471.52</v>
      </c>
      <c r="J156" s="596">
        <f t="shared" si="5"/>
        <v>1886.08</v>
      </c>
      <c r="K156" s="197" t="s">
        <v>1034</v>
      </c>
      <c r="L156" s="593" t="s">
        <v>1149</v>
      </c>
      <c r="M156" s="252"/>
      <c r="N156" s="252"/>
      <c r="O156" s="251"/>
      <c r="R156" s="250"/>
      <c r="S156" s="250"/>
      <c r="T156" s="250"/>
      <c r="U156" s="250"/>
    </row>
    <row r="157" spans="1:21" s="249" customFormat="1">
      <c r="A157" s="616" t="s">
        <v>897</v>
      </c>
      <c r="B157" s="617" t="s">
        <v>616</v>
      </c>
      <c r="C157" s="653"/>
      <c r="D157" s="654"/>
      <c r="E157" s="654"/>
      <c r="F157" s="654"/>
      <c r="G157" s="654"/>
      <c r="H157" s="654"/>
      <c r="I157" s="654"/>
      <c r="J157" s="654"/>
      <c r="K157" s="654"/>
      <c r="L157" s="655"/>
      <c r="M157" s="252"/>
      <c r="N157" s="252"/>
      <c r="O157" s="251"/>
      <c r="R157" s="250"/>
      <c r="S157" s="250"/>
      <c r="T157" s="250"/>
      <c r="U157" s="250"/>
    </row>
    <row r="158" spans="1:21" s="249" customFormat="1">
      <c r="A158" s="588" t="s">
        <v>898</v>
      </c>
      <c r="B158" s="589" t="s">
        <v>869</v>
      </c>
      <c r="C158" s="197" t="s">
        <v>1028</v>
      </c>
      <c r="D158" s="606">
        <v>110</v>
      </c>
      <c r="E158" s="603"/>
      <c r="F158" s="604"/>
      <c r="G158" s="594">
        <v>4.41</v>
      </c>
      <c r="H158" s="601">
        <v>0.2354</v>
      </c>
      <c r="I158" s="596">
        <f t="shared" si="4"/>
        <v>5.44</v>
      </c>
      <c r="J158" s="596">
        <f t="shared" si="5"/>
        <v>598.4</v>
      </c>
      <c r="K158" s="197" t="s">
        <v>1034</v>
      </c>
      <c r="L158" s="593" t="s">
        <v>1150</v>
      </c>
      <c r="M158" s="252"/>
      <c r="N158" s="252"/>
      <c r="O158" s="251"/>
      <c r="R158" s="250"/>
      <c r="S158" s="250"/>
      <c r="T158" s="250"/>
      <c r="U158" s="250"/>
    </row>
    <row r="159" spans="1:21" s="249" customFormat="1">
      <c r="A159" s="588" t="s">
        <v>899</v>
      </c>
      <c r="B159" s="589" t="s">
        <v>870</v>
      </c>
      <c r="C159" s="197" t="s">
        <v>1028</v>
      </c>
      <c r="D159" s="606">
        <v>9.4499999999999993</v>
      </c>
      <c r="E159" s="603"/>
      <c r="F159" s="604"/>
      <c r="G159" s="594">
        <v>32.130000000000003</v>
      </c>
      <c r="H159" s="601">
        <v>0.2354</v>
      </c>
      <c r="I159" s="596">
        <f t="shared" si="4"/>
        <v>39.69</v>
      </c>
      <c r="J159" s="596">
        <f t="shared" si="5"/>
        <v>375.07</v>
      </c>
      <c r="K159" s="197" t="s">
        <v>1034</v>
      </c>
      <c r="L159" s="593" t="s">
        <v>1151</v>
      </c>
      <c r="M159" s="252"/>
      <c r="N159" s="252"/>
      <c r="O159" s="251"/>
      <c r="R159" s="250"/>
      <c r="S159" s="250"/>
      <c r="T159" s="250"/>
      <c r="U159" s="250"/>
    </row>
    <row r="160" spans="1:21" s="249" customFormat="1">
      <c r="A160" s="588" t="s">
        <v>900</v>
      </c>
      <c r="B160" s="589" t="s">
        <v>871</v>
      </c>
      <c r="C160" s="197" t="s">
        <v>1028</v>
      </c>
      <c r="D160" s="606">
        <v>110</v>
      </c>
      <c r="E160" s="603"/>
      <c r="F160" s="604"/>
      <c r="G160" s="594">
        <v>14.3</v>
      </c>
      <c r="H160" s="601">
        <v>0.2354</v>
      </c>
      <c r="I160" s="596">
        <f t="shared" si="4"/>
        <v>17.66</v>
      </c>
      <c r="J160" s="596">
        <f t="shared" si="5"/>
        <v>1942.6</v>
      </c>
      <c r="K160" s="197" t="s">
        <v>1034</v>
      </c>
      <c r="L160" s="593" t="s">
        <v>1152</v>
      </c>
      <c r="M160" s="252"/>
      <c r="N160" s="252"/>
      <c r="O160" s="251"/>
      <c r="R160" s="250"/>
      <c r="S160" s="250"/>
      <c r="T160" s="250"/>
      <c r="U160" s="250"/>
    </row>
    <row r="161" spans="1:21" s="249" customFormat="1">
      <c r="A161" s="588" t="s">
        <v>901</v>
      </c>
      <c r="B161" s="589" t="s">
        <v>872</v>
      </c>
      <c r="C161" s="197" t="s">
        <v>1028</v>
      </c>
      <c r="D161" s="606">
        <v>9.4499999999999993</v>
      </c>
      <c r="E161" s="603"/>
      <c r="F161" s="604"/>
      <c r="G161" s="594">
        <v>20.45</v>
      </c>
      <c r="H161" s="601">
        <v>0.2354</v>
      </c>
      <c r="I161" s="596">
        <f t="shared" si="4"/>
        <v>25.26</v>
      </c>
      <c r="J161" s="596">
        <f t="shared" si="5"/>
        <v>238.7</v>
      </c>
      <c r="K161" s="197" t="s">
        <v>1034</v>
      </c>
      <c r="L161" s="593" t="s">
        <v>1153</v>
      </c>
      <c r="M161" s="252"/>
      <c r="N161" s="252"/>
      <c r="O161" s="251"/>
      <c r="R161" s="250"/>
      <c r="S161" s="250"/>
      <c r="T161" s="250"/>
      <c r="U161" s="250"/>
    </row>
    <row r="162" spans="1:21" s="249" customFormat="1">
      <c r="A162" s="616" t="s">
        <v>902</v>
      </c>
      <c r="B162" s="617" t="s">
        <v>617</v>
      </c>
      <c r="C162" s="653"/>
      <c r="D162" s="654"/>
      <c r="E162" s="654"/>
      <c r="F162" s="654"/>
      <c r="G162" s="654"/>
      <c r="H162" s="654"/>
      <c r="I162" s="654"/>
      <c r="J162" s="654"/>
      <c r="K162" s="654"/>
      <c r="L162" s="655"/>
      <c r="M162" s="252"/>
      <c r="N162" s="252"/>
      <c r="O162" s="251"/>
      <c r="R162" s="250"/>
      <c r="S162" s="250"/>
      <c r="T162" s="250"/>
      <c r="U162" s="250"/>
    </row>
    <row r="163" spans="1:21" s="249" customFormat="1">
      <c r="A163" s="588" t="s">
        <v>903</v>
      </c>
      <c r="B163" s="589" t="s">
        <v>873</v>
      </c>
      <c r="C163" s="197" t="s">
        <v>1029</v>
      </c>
      <c r="D163" s="606">
        <v>8</v>
      </c>
      <c r="E163" s="603"/>
      <c r="F163" s="604"/>
      <c r="G163" s="594">
        <v>6.71</v>
      </c>
      <c r="H163" s="601">
        <v>0.2354</v>
      </c>
      <c r="I163" s="596">
        <f t="shared" si="4"/>
        <v>8.2799999999999994</v>
      </c>
      <c r="J163" s="596">
        <f t="shared" si="5"/>
        <v>66.239999999999995</v>
      </c>
      <c r="K163" s="197" t="s">
        <v>1034</v>
      </c>
      <c r="L163" s="593" t="s">
        <v>1154</v>
      </c>
      <c r="M163" s="252"/>
      <c r="N163" s="252"/>
      <c r="O163" s="251"/>
      <c r="R163" s="250"/>
      <c r="S163" s="250"/>
      <c r="T163" s="250"/>
      <c r="U163" s="250"/>
    </row>
    <row r="164" spans="1:21" s="249" customFormat="1">
      <c r="A164" s="588" t="s">
        <v>904</v>
      </c>
      <c r="B164" s="589" t="s">
        <v>874</v>
      </c>
      <c r="C164" s="197" t="s">
        <v>1029</v>
      </c>
      <c r="D164" s="606">
        <v>3</v>
      </c>
      <c r="E164" s="603"/>
      <c r="F164" s="604"/>
      <c r="G164" s="594">
        <v>7.68</v>
      </c>
      <c r="H164" s="601">
        <v>0.2354</v>
      </c>
      <c r="I164" s="596">
        <f t="shared" si="4"/>
        <v>9.48</v>
      </c>
      <c r="J164" s="596">
        <f t="shared" si="5"/>
        <v>28.44</v>
      </c>
      <c r="K164" s="197" t="s">
        <v>1034</v>
      </c>
      <c r="L164" s="593" t="s">
        <v>1155</v>
      </c>
      <c r="M164" s="252"/>
      <c r="N164" s="252"/>
      <c r="O164" s="251"/>
      <c r="R164" s="250"/>
      <c r="S164" s="250"/>
      <c r="T164" s="250"/>
      <c r="U164" s="250"/>
    </row>
    <row r="165" spans="1:21" s="249" customFormat="1">
      <c r="A165" s="588" t="s">
        <v>905</v>
      </c>
      <c r="B165" s="589" t="s">
        <v>875</v>
      </c>
      <c r="C165" s="197" t="s">
        <v>1028</v>
      </c>
      <c r="D165" s="606">
        <v>1.92</v>
      </c>
      <c r="E165" s="603"/>
      <c r="F165" s="604"/>
      <c r="G165" s="594">
        <v>5.82</v>
      </c>
      <c r="H165" s="601">
        <v>0.2354</v>
      </c>
      <c r="I165" s="596">
        <f t="shared" si="4"/>
        <v>7.19</v>
      </c>
      <c r="J165" s="596">
        <f t="shared" si="5"/>
        <v>13.8</v>
      </c>
      <c r="K165" s="197" t="s">
        <v>1034</v>
      </c>
      <c r="L165" s="593" t="s">
        <v>1156</v>
      </c>
      <c r="M165" s="252"/>
      <c r="N165" s="252"/>
      <c r="O165" s="251"/>
      <c r="R165" s="250"/>
      <c r="S165" s="250"/>
      <c r="T165" s="250"/>
      <c r="U165" s="250"/>
    </row>
    <row r="166" spans="1:21" s="249" customFormat="1">
      <c r="A166" s="588" t="s">
        <v>906</v>
      </c>
      <c r="B166" s="589" t="s">
        <v>876</v>
      </c>
      <c r="C166" s="197" t="s">
        <v>1028</v>
      </c>
      <c r="D166" s="606">
        <v>51.3</v>
      </c>
      <c r="E166" s="614"/>
      <c r="F166" s="615"/>
      <c r="G166" s="594">
        <v>0.65</v>
      </c>
      <c r="H166" s="601">
        <v>0.2354</v>
      </c>
      <c r="I166" s="596">
        <f t="shared" si="4"/>
        <v>0.8</v>
      </c>
      <c r="J166" s="596">
        <f t="shared" si="5"/>
        <v>41.04</v>
      </c>
      <c r="K166" s="197" t="s">
        <v>1034</v>
      </c>
      <c r="L166" s="593" t="s">
        <v>1157</v>
      </c>
      <c r="M166" s="252"/>
      <c r="N166" s="252"/>
      <c r="O166" s="251"/>
      <c r="R166" s="250"/>
      <c r="S166" s="250"/>
      <c r="T166" s="250"/>
      <c r="U166" s="250"/>
    </row>
    <row r="167" spans="1:21" s="249" customFormat="1">
      <c r="A167" s="588" t="s">
        <v>907</v>
      </c>
      <c r="B167" s="589" t="s">
        <v>877</v>
      </c>
      <c r="C167" s="197" t="s">
        <v>1028</v>
      </c>
      <c r="D167" s="606">
        <v>51.3</v>
      </c>
      <c r="E167" s="614"/>
      <c r="F167" s="615"/>
      <c r="G167" s="594">
        <v>4.8499999999999996</v>
      </c>
      <c r="H167" s="601">
        <v>0.2354</v>
      </c>
      <c r="I167" s="596">
        <f t="shared" si="4"/>
        <v>5.99</v>
      </c>
      <c r="J167" s="596">
        <f t="shared" si="5"/>
        <v>307.27999999999997</v>
      </c>
      <c r="K167" s="197" t="s">
        <v>1034</v>
      </c>
      <c r="L167" s="593" t="s">
        <v>1158</v>
      </c>
      <c r="M167" s="252"/>
      <c r="N167" s="252"/>
      <c r="O167" s="251"/>
      <c r="R167" s="250"/>
      <c r="S167" s="250"/>
      <c r="T167" s="250"/>
      <c r="U167" s="250"/>
    </row>
    <row r="168" spans="1:21" s="249" customFormat="1">
      <c r="A168" s="588" t="s">
        <v>908</v>
      </c>
      <c r="B168" s="589" t="s">
        <v>878</v>
      </c>
      <c r="C168" s="197" t="s">
        <v>1028</v>
      </c>
      <c r="D168" s="606">
        <v>7.56</v>
      </c>
      <c r="E168" s="603"/>
      <c r="F168" s="604"/>
      <c r="G168" s="594">
        <v>1.29</v>
      </c>
      <c r="H168" s="601">
        <v>0.2354</v>
      </c>
      <c r="I168" s="596">
        <f t="shared" si="4"/>
        <v>1.59</v>
      </c>
      <c r="J168" s="596">
        <f t="shared" si="5"/>
        <v>12.02</v>
      </c>
      <c r="K168" s="197" t="s">
        <v>1034</v>
      </c>
      <c r="L168" s="593" t="s">
        <v>1159</v>
      </c>
      <c r="M168" s="252"/>
      <c r="N168" s="252"/>
      <c r="O168" s="251"/>
      <c r="R168" s="250"/>
      <c r="S168" s="250"/>
      <c r="T168" s="250"/>
      <c r="U168" s="250"/>
    </row>
    <row r="169" spans="1:21" s="249" customFormat="1">
      <c r="A169" s="588" t="s">
        <v>909</v>
      </c>
      <c r="B169" s="589" t="s">
        <v>879</v>
      </c>
      <c r="C169" s="197" t="s">
        <v>1028</v>
      </c>
      <c r="D169" s="606">
        <v>12.6</v>
      </c>
      <c r="E169" s="603"/>
      <c r="F169" s="604"/>
      <c r="G169" s="594">
        <v>3.31</v>
      </c>
      <c r="H169" s="601">
        <v>0.2354</v>
      </c>
      <c r="I169" s="596">
        <f t="shared" si="4"/>
        <v>4.08</v>
      </c>
      <c r="J169" s="596">
        <f t="shared" si="5"/>
        <v>51.4</v>
      </c>
      <c r="K169" s="197" t="s">
        <v>1034</v>
      </c>
      <c r="L169" s="593" t="s">
        <v>1160</v>
      </c>
      <c r="M169" s="252"/>
      <c r="N169" s="252"/>
      <c r="O169" s="251"/>
      <c r="R169" s="250"/>
      <c r="S169" s="250"/>
      <c r="T169" s="250"/>
      <c r="U169" s="250"/>
    </row>
    <row r="170" spans="1:21" s="249" customFormat="1">
      <c r="A170" s="588" t="s">
        <v>910</v>
      </c>
      <c r="B170" s="589" t="s">
        <v>880</v>
      </c>
      <c r="C170" s="197" t="s">
        <v>1028</v>
      </c>
      <c r="D170" s="606">
        <v>51.3</v>
      </c>
      <c r="E170" s="603"/>
      <c r="F170" s="604"/>
      <c r="G170" s="594">
        <v>3.5</v>
      </c>
      <c r="H170" s="601">
        <v>0.2354</v>
      </c>
      <c r="I170" s="596">
        <f t="shared" si="4"/>
        <v>4.32</v>
      </c>
      <c r="J170" s="596">
        <f t="shared" si="5"/>
        <v>221.61</v>
      </c>
      <c r="K170" s="197" t="s">
        <v>1034</v>
      </c>
      <c r="L170" s="593" t="s">
        <v>1161</v>
      </c>
      <c r="M170" s="252"/>
      <c r="N170" s="252"/>
      <c r="O170" s="251"/>
      <c r="R170" s="250"/>
      <c r="S170" s="250"/>
      <c r="T170" s="250"/>
      <c r="U170" s="250"/>
    </row>
    <row r="171" spans="1:21" s="249" customFormat="1">
      <c r="A171" s="616" t="s">
        <v>911</v>
      </c>
      <c r="B171" s="617" t="s">
        <v>618</v>
      </c>
      <c r="C171" s="653"/>
      <c r="D171" s="654"/>
      <c r="E171" s="654"/>
      <c r="F171" s="654"/>
      <c r="G171" s="654"/>
      <c r="H171" s="654"/>
      <c r="I171" s="654"/>
      <c r="J171" s="654"/>
      <c r="K171" s="654"/>
      <c r="L171" s="655"/>
      <c r="M171" s="252"/>
      <c r="N171" s="252"/>
      <c r="O171" s="251"/>
      <c r="R171" s="250"/>
      <c r="S171" s="250"/>
      <c r="T171" s="250"/>
      <c r="U171" s="250"/>
    </row>
    <row r="172" spans="1:21" s="249" customFormat="1">
      <c r="A172" s="616" t="s">
        <v>912</v>
      </c>
      <c r="B172" s="617" t="s">
        <v>606</v>
      </c>
      <c r="C172" s="653"/>
      <c r="D172" s="654"/>
      <c r="E172" s="654"/>
      <c r="F172" s="654"/>
      <c r="G172" s="654"/>
      <c r="H172" s="654"/>
      <c r="I172" s="654"/>
      <c r="J172" s="654"/>
      <c r="K172" s="654"/>
      <c r="L172" s="655"/>
      <c r="M172" s="252"/>
      <c r="N172" s="252"/>
      <c r="O172" s="251"/>
      <c r="R172" s="250"/>
      <c r="S172" s="250"/>
      <c r="T172" s="250"/>
      <c r="U172" s="250"/>
    </row>
    <row r="173" spans="1:21" s="249" customFormat="1" ht="45">
      <c r="A173" s="588" t="s">
        <v>913</v>
      </c>
      <c r="B173" s="589" t="s">
        <v>726</v>
      </c>
      <c r="C173" s="197" t="s">
        <v>1031</v>
      </c>
      <c r="D173" s="606">
        <v>21</v>
      </c>
      <c r="E173" s="603"/>
      <c r="F173" s="604"/>
      <c r="G173" s="594">
        <v>58.7</v>
      </c>
      <c r="H173" s="601">
        <v>0.2354</v>
      </c>
      <c r="I173" s="596">
        <f t="shared" si="4"/>
        <v>72.510000000000005</v>
      </c>
      <c r="J173" s="596">
        <f t="shared" si="5"/>
        <v>1522.71</v>
      </c>
      <c r="K173" s="197" t="s">
        <v>1034</v>
      </c>
      <c r="L173" s="593" t="s">
        <v>1090</v>
      </c>
      <c r="M173" s="252"/>
      <c r="N173" s="252"/>
      <c r="O173" s="251"/>
      <c r="R173" s="250"/>
      <c r="S173" s="250"/>
      <c r="T173" s="250"/>
      <c r="U173" s="250"/>
    </row>
    <row r="174" spans="1:21" s="249" customFormat="1">
      <c r="A174" s="588" t="s">
        <v>914</v>
      </c>
      <c r="B174" s="589" t="s">
        <v>727</v>
      </c>
      <c r="C174" s="197" t="s">
        <v>1032</v>
      </c>
      <c r="D174" s="606">
        <v>51.8</v>
      </c>
      <c r="E174" s="603"/>
      <c r="F174" s="604"/>
      <c r="G174" s="594">
        <v>10.72</v>
      </c>
      <c r="H174" s="601">
        <v>0.2354</v>
      </c>
      <c r="I174" s="596">
        <f t="shared" si="4"/>
        <v>13.24</v>
      </c>
      <c r="J174" s="596">
        <f t="shared" si="5"/>
        <v>685.83</v>
      </c>
      <c r="K174" s="197" t="s">
        <v>1034</v>
      </c>
      <c r="L174" s="593" t="s">
        <v>1091</v>
      </c>
      <c r="M174" s="252"/>
      <c r="N174" s="252"/>
      <c r="O174" s="251"/>
      <c r="R174" s="250"/>
      <c r="S174" s="250"/>
      <c r="T174" s="250"/>
      <c r="U174" s="250"/>
    </row>
    <row r="175" spans="1:21" s="249" customFormat="1">
      <c r="A175" s="588" t="s">
        <v>915</v>
      </c>
      <c r="B175" s="589" t="s">
        <v>728</v>
      </c>
      <c r="C175" s="197" t="s">
        <v>1032</v>
      </c>
      <c r="D175" s="606">
        <v>29</v>
      </c>
      <c r="E175" s="603"/>
      <c r="F175" s="604"/>
      <c r="G175" s="594">
        <v>18.13</v>
      </c>
      <c r="H175" s="601">
        <v>0.2354</v>
      </c>
      <c r="I175" s="596">
        <f t="shared" si="4"/>
        <v>22.39</v>
      </c>
      <c r="J175" s="596">
        <f t="shared" si="5"/>
        <v>649.30999999999995</v>
      </c>
      <c r="K175" s="197" t="s">
        <v>1034</v>
      </c>
      <c r="L175" s="593" t="s">
        <v>1092</v>
      </c>
      <c r="M175" s="252"/>
      <c r="N175" s="252"/>
      <c r="O175" s="251"/>
      <c r="R175" s="250"/>
      <c r="S175" s="250"/>
      <c r="T175" s="250"/>
      <c r="U175" s="250"/>
    </row>
    <row r="176" spans="1:21" s="249" customFormat="1" ht="30">
      <c r="A176" s="588" t="s">
        <v>916</v>
      </c>
      <c r="B176" s="589" t="s">
        <v>881</v>
      </c>
      <c r="C176" s="197" t="s">
        <v>567</v>
      </c>
      <c r="D176" s="606">
        <v>3.3</v>
      </c>
      <c r="E176" s="603"/>
      <c r="F176" s="604"/>
      <c r="G176" s="594">
        <v>1240.3699999999999</v>
      </c>
      <c r="H176" s="601">
        <v>0.2354</v>
      </c>
      <c r="I176" s="596">
        <f t="shared" si="4"/>
        <v>1532.35</v>
      </c>
      <c r="J176" s="596">
        <f t="shared" si="5"/>
        <v>5056.75</v>
      </c>
      <c r="K176" s="197" t="s">
        <v>1034</v>
      </c>
      <c r="L176" s="593" t="s">
        <v>1162</v>
      </c>
      <c r="M176" s="252"/>
      <c r="N176" s="252"/>
      <c r="O176" s="251"/>
      <c r="R176" s="250"/>
      <c r="S176" s="250"/>
      <c r="T176" s="250"/>
      <c r="U176" s="250"/>
    </row>
    <row r="177" spans="1:21" s="249" customFormat="1">
      <c r="A177" s="616" t="s">
        <v>917</v>
      </c>
      <c r="B177" s="617" t="s">
        <v>608</v>
      </c>
      <c r="C177" s="653"/>
      <c r="D177" s="654"/>
      <c r="E177" s="654"/>
      <c r="F177" s="654"/>
      <c r="G177" s="654"/>
      <c r="H177" s="654"/>
      <c r="I177" s="654"/>
      <c r="J177" s="654"/>
      <c r="K177" s="654"/>
      <c r="L177" s="655"/>
      <c r="M177" s="252"/>
      <c r="N177" s="252"/>
      <c r="O177" s="251"/>
      <c r="R177" s="250"/>
      <c r="S177" s="250"/>
      <c r="T177" s="250"/>
      <c r="U177" s="250"/>
    </row>
    <row r="178" spans="1:21" s="249" customFormat="1" ht="30">
      <c r="A178" s="588" t="s">
        <v>918</v>
      </c>
      <c r="B178" s="589" t="s">
        <v>882</v>
      </c>
      <c r="C178" s="197" t="s">
        <v>1028</v>
      </c>
      <c r="D178" s="606">
        <v>5.04</v>
      </c>
      <c r="E178" s="603"/>
      <c r="F178" s="604"/>
      <c r="G178" s="594">
        <v>130.88999999999999</v>
      </c>
      <c r="H178" s="601">
        <v>0.2354</v>
      </c>
      <c r="I178" s="596">
        <f t="shared" si="4"/>
        <v>161.69999999999999</v>
      </c>
      <c r="J178" s="596">
        <f t="shared" si="5"/>
        <v>814.96</v>
      </c>
      <c r="K178" s="197" t="s">
        <v>1034</v>
      </c>
      <c r="L178" s="593" t="s">
        <v>1163</v>
      </c>
      <c r="M178" s="252"/>
      <c r="N178" s="252"/>
      <c r="O178" s="251"/>
      <c r="R178" s="250"/>
      <c r="S178" s="250"/>
      <c r="T178" s="250"/>
      <c r="U178" s="250"/>
    </row>
    <row r="179" spans="1:21" s="249" customFormat="1" ht="30">
      <c r="A179" s="588" t="s">
        <v>919</v>
      </c>
      <c r="B179" s="589" t="s">
        <v>651</v>
      </c>
      <c r="C179" s="197" t="s">
        <v>1032</v>
      </c>
      <c r="D179" s="606">
        <v>13.85</v>
      </c>
      <c r="E179" s="603"/>
      <c r="F179" s="604"/>
      <c r="G179" s="594">
        <v>11.17</v>
      </c>
      <c r="H179" s="601">
        <v>0.2354</v>
      </c>
      <c r="I179" s="596">
        <f t="shared" si="4"/>
        <v>13.79</v>
      </c>
      <c r="J179" s="596">
        <f t="shared" si="5"/>
        <v>190.99</v>
      </c>
      <c r="K179" s="197" t="s">
        <v>1034</v>
      </c>
      <c r="L179" s="593" t="s">
        <v>1052</v>
      </c>
      <c r="M179" s="252"/>
      <c r="N179" s="252"/>
      <c r="O179" s="251"/>
      <c r="R179" s="250"/>
      <c r="S179" s="250"/>
      <c r="T179" s="250"/>
      <c r="U179" s="250"/>
    </row>
    <row r="180" spans="1:21" s="249" customFormat="1">
      <c r="A180" s="588" t="s">
        <v>920</v>
      </c>
      <c r="B180" s="589" t="s">
        <v>757</v>
      </c>
      <c r="C180" s="197" t="s">
        <v>567</v>
      </c>
      <c r="D180" s="606">
        <v>0.25</v>
      </c>
      <c r="E180" s="603"/>
      <c r="F180" s="604"/>
      <c r="G180" s="594">
        <v>812.22</v>
      </c>
      <c r="H180" s="601">
        <v>0.2354</v>
      </c>
      <c r="I180" s="596">
        <f t="shared" si="4"/>
        <v>1003.41</v>
      </c>
      <c r="J180" s="596">
        <f t="shared" si="5"/>
        <v>250.85</v>
      </c>
      <c r="K180" s="197" t="s">
        <v>1034</v>
      </c>
      <c r="L180" s="593" t="s">
        <v>1100</v>
      </c>
      <c r="M180" s="252"/>
      <c r="N180" s="252"/>
      <c r="O180" s="251"/>
      <c r="R180" s="250"/>
      <c r="S180" s="250"/>
      <c r="T180" s="250"/>
      <c r="U180" s="250"/>
    </row>
    <row r="181" spans="1:21" s="249" customFormat="1" ht="30">
      <c r="A181" s="588" t="s">
        <v>921</v>
      </c>
      <c r="B181" s="589" t="s">
        <v>652</v>
      </c>
      <c r="C181" s="197" t="s">
        <v>1028</v>
      </c>
      <c r="D181" s="606">
        <v>20.5</v>
      </c>
      <c r="E181" s="603"/>
      <c r="F181" s="604"/>
      <c r="G181" s="594">
        <v>81.680000000000007</v>
      </c>
      <c r="H181" s="601">
        <v>0.2354</v>
      </c>
      <c r="I181" s="596">
        <f t="shared" si="4"/>
        <v>100.9</v>
      </c>
      <c r="J181" s="596">
        <f t="shared" si="5"/>
        <v>2068.4499999999998</v>
      </c>
      <c r="K181" s="197" t="s">
        <v>1034</v>
      </c>
      <c r="L181" s="593" t="s">
        <v>1053</v>
      </c>
      <c r="M181" s="252"/>
      <c r="N181" s="252"/>
      <c r="O181" s="251"/>
      <c r="R181" s="250"/>
      <c r="S181" s="250"/>
      <c r="T181" s="250"/>
      <c r="U181" s="250"/>
    </row>
    <row r="182" spans="1:21" s="249" customFormat="1" ht="30">
      <c r="A182" s="588" t="s">
        <v>922</v>
      </c>
      <c r="B182" s="589" t="s">
        <v>651</v>
      </c>
      <c r="C182" s="197" t="s">
        <v>1032</v>
      </c>
      <c r="D182" s="606">
        <v>57.8</v>
      </c>
      <c r="E182" s="603"/>
      <c r="F182" s="604"/>
      <c r="G182" s="594">
        <v>11.17</v>
      </c>
      <c r="H182" s="601">
        <v>0.2354</v>
      </c>
      <c r="I182" s="596">
        <f t="shared" si="4"/>
        <v>13.79</v>
      </c>
      <c r="J182" s="596">
        <f t="shared" si="5"/>
        <v>797.06</v>
      </c>
      <c r="K182" s="197" t="s">
        <v>1034</v>
      </c>
      <c r="L182" s="593" t="s">
        <v>1052</v>
      </c>
      <c r="M182" s="252"/>
      <c r="N182" s="252"/>
      <c r="O182" s="251"/>
      <c r="R182" s="250"/>
      <c r="S182" s="250"/>
      <c r="T182" s="250"/>
      <c r="U182" s="250"/>
    </row>
    <row r="183" spans="1:21" s="249" customFormat="1" ht="30">
      <c r="A183" s="588" t="s">
        <v>923</v>
      </c>
      <c r="B183" s="589" t="s">
        <v>650</v>
      </c>
      <c r="C183" s="197" t="s">
        <v>1032</v>
      </c>
      <c r="D183" s="606">
        <v>16.399999999999999</v>
      </c>
      <c r="E183" s="603"/>
      <c r="F183" s="604"/>
      <c r="G183" s="594">
        <v>15.56</v>
      </c>
      <c r="H183" s="601">
        <v>0.2354</v>
      </c>
      <c r="I183" s="596">
        <f t="shared" si="4"/>
        <v>19.22</v>
      </c>
      <c r="J183" s="596">
        <f t="shared" si="5"/>
        <v>315.2</v>
      </c>
      <c r="K183" s="197" t="s">
        <v>1034</v>
      </c>
      <c r="L183" s="593" t="s">
        <v>1051</v>
      </c>
      <c r="M183" s="252"/>
      <c r="N183" s="252"/>
      <c r="O183" s="251"/>
      <c r="R183" s="250"/>
      <c r="S183" s="250"/>
      <c r="T183" s="250"/>
      <c r="U183" s="250"/>
    </row>
    <row r="184" spans="1:21" s="249" customFormat="1" ht="30">
      <c r="A184" s="588" t="s">
        <v>924</v>
      </c>
      <c r="B184" s="589" t="s">
        <v>883</v>
      </c>
      <c r="C184" s="197" t="s">
        <v>567</v>
      </c>
      <c r="D184" s="606">
        <v>1.5</v>
      </c>
      <c r="E184" s="603"/>
      <c r="F184" s="604"/>
      <c r="G184" s="594">
        <v>840.64</v>
      </c>
      <c r="H184" s="601">
        <v>0.2354</v>
      </c>
      <c r="I184" s="596">
        <f t="shared" si="4"/>
        <v>1038.52</v>
      </c>
      <c r="J184" s="596">
        <f t="shared" si="5"/>
        <v>1557.78</v>
      </c>
      <c r="K184" s="197" t="s">
        <v>1034</v>
      </c>
      <c r="L184" s="593" t="s">
        <v>1164</v>
      </c>
      <c r="M184" s="252"/>
      <c r="N184" s="252"/>
      <c r="O184" s="251"/>
      <c r="R184" s="250"/>
      <c r="S184" s="250"/>
      <c r="T184" s="250"/>
      <c r="U184" s="250"/>
    </row>
    <row r="185" spans="1:21" s="249" customFormat="1" ht="30">
      <c r="A185" s="588" t="s">
        <v>925</v>
      </c>
      <c r="B185" s="589" t="s">
        <v>884</v>
      </c>
      <c r="C185" s="197" t="s">
        <v>1028</v>
      </c>
      <c r="D185" s="606">
        <v>58.96</v>
      </c>
      <c r="E185" s="614"/>
      <c r="F185" s="615"/>
      <c r="G185" s="594">
        <v>222.67</v>
      </c>
      <c r="H185" s="601">
        <v>0.2354</v>
      </c>
      <c r="I185" s="596">
        <f t="shared" ref="I185" si="6">TRUNC(G185*(1+H185),2)</f>
        <v>275.08</v>
      </c>
      <c r="J185" s="596">
        <f t="shared" ref="J185" si="7">TRUNC(D185*I185,2)</f>
        <v>16218.71</v>
      </c>
      <c r="K185" s="197" t="s">
        <v>1034</v>
      </c>
      <c r="L185" s="593" t="s">
        <v>1165</v>
      </c>
      <c r="M185" s="252"/>
      <c r="N185" s="252"/>
      <c r="O185" s="251"/>
      <c r="R185" s="250"/>
      <c r="S185" s="250"/>
      <c r="T185" s="250"/>
      <c r="U185" s="250"/>
    </row>
    <row r="186" spans="1:21" s="249" customFormat="1" ht="30">
      <c r="A186" s="588" t="s">
        <v>926</v>
      </c>
      <c r="B186" s="589" t="s">
        <v>885</v>
      </c>
      <c r="C186" s="197" t="s">
        <v>1028</v>
      </c>
      <c r="D186" s="606">
        <v>5.3</v>
      </c>
      <c r="E186" s="603"/>
      <c r="F186" s="604"/>
      <c r="G186" s="594">
        <v>804.69</v>
      </c>
      <c r="H186" s="601">
        <v>0.2354</v>
      </c>
      <c r="I186" s="596">
        <f t="shared" si="4"/>
        <v>994.11</v>
      </c>
      <c r="J186" s="596">
        <f t="shared" si="5"/>
        <v>5268.78</v>
      </c>
      <c r="K186" s="197" t="s">
        <v>1034</v>
      </c>
      <c r="L186" s="593" t="s">
        <v>1166</v>
      </c>
      <c r="M186" s="252"/>
      <c r="N186" s="252"/>
      <c r="O186" s="251"/>
      <c r="R186" s="250"/>
      <c r="S186" s="250"/>
      <c r="T186" s="250"/>
      <c r="U186" s="250"/>
    </row>
    <row r="187" spans="1:21" s="249" customFormat="1" ht="30">
      <c r="A187" s="588" t="s">
        <v>927</v>
      </c>
      <c r="B187" s="589" t="s">
        <v>886</v>
      </c>
      <c r="C187" s="197" t="s">
        <v>1032</v>
      </c>
      <c r="D187" s="606">
        <v>30</v>
      </c>
      <c r="E187" s="603"/>
      <c r="F187" s="604"/>
      <c r="G187" s="594">
        <v>13.47</v>
      </c>
      <c r="H187" s="601">
        <v>0.2354</v>
      </c>
      <c r="I187" s="596">
        <f t="shared" si="4"/>
        <v>16.64</v>
      </c>
      <c r="J187" s="596">
        <f t="shared" si="5"/>
        <v>499.2</v>
      </c>
      <c r="K187" s="197" t="s">
        <v>1034</v>
      </c>
      <c r="L187" s="593" t="s">
        <v>1167</v>
      </c>
      <c r="M187" s="252"/>
      <c r="N187" s="252"/>
      <c r="O187" s="251"/>
      <c r="R187" s="250"/>
      <c r="S187" s="250"/>
      <c r="T187" s="250"/>
      <c r="U187" s="250"/>
    </row>
    <row r="188" spans="1:21" s="249" customFormat="1" ht="30">
      <c r="A188" s="588" t="s">
        <v>928</v>
      </c>
      <c r="B188" s="589" t="s">
        <v>887</v>
      </c>
      <c r="C188" s="197" t="s">
        <v>1032</v>
      </c>
      <c r="D188" s="606">
        <v>15</v>
      </c>
      <c r="E188" s="603"/>
      <c r="F188" s="604"/>
      <c r="G188" s="594">
        <v>26.54</v>
      </c>
      <c r="H188" s="601">
        <v>0.2354</v>
      </c>
      <c r="I188" s="596">
        <f t="shared" si="4"/>
        <v>32.78</v>
      </c>
      <c r="J188" s="596">
        <f t="shared" si="5"/>
        <v>491.7</v>
      </c>
      <c r="K188" s="197" t="s">
        <v>1034</v>
      </c>
      <c r="L188" s="593" t="s">
        <v>1168</v>
      </c>
      <c r="M188" s="252"/>
      <c r="N188" s="252"/>
      <c r="O188" s="251"/>
      <c r="R188" s="250"/>
      <c r="S188" s="250"/>
      <c r="T188" s="250"/>
      <c r="U188" s="250"/>
    </row>
    <row r="189" spans="1:21" s="249" customFormat="1">
      <c r="A189" s="588" t="s">
        <v>929</v>
      </c>
      <c r="B189" s="589" t="s">
        <v>888</v>
      </c>
      <c r="C189" s="197" t="s">
        <v>567</v>
      </c>
      <c r="D189" s="606">
        <v>0.56000000000000005</v>
      </c>
      <c r="E189" s="614"/>
      <c r="F189" s="615"/>
      <c r="G189" s="594">
        <v>905.57</v>
      </c>
      <c r="H189" s="601">
        <v>0.2354</v>
      </c>
      <c r="I189" s="596">
        <f t="shared" ref="I189" si="8">TRUNC(G189*(1+H189),2)</f>
        <v>1118.74</v>
      </c>
      <c r="J189" s="596">
        <f t="shared" ref="J189" si="9">TRUNC(D189*I189,2)</f>
        <v>626.49</v>
      </c>
      <c r="K189" s="197" t="s">
        <v>1034</v>
      </c>
      <c r="L189" s="593" t="s">
        <v>1169</v>
      </c>
      <c r="M189" s="252"/>
      <c r="N189" s="252"/>
      <c r="O189" s="251"/>
      <c r="R189" s="250"/>
      <c r="S189" s="250"/>
      <c r="T189" s="250"/>
      <c r="U189" s="250"/>
    </row>
    <row r="190" spans="1:21" s="249" customFormat="1">
      <c r="A190" s="616" t="s">
        <v>944</v>
      </c>
      <c r="B190" s="617" t="s">
        <v>612</v>
      </c>
      <c r="C190" s="653"/>
      <c r="D190" s="654"/>
      <c r="E190" s="654"/>
      <c r="F190" s="654"/>
      <c r="G190" s="654"/>
      <c r="H190" s="654"/>
      <c r="I190" s="654"/>
      <c r="J190" s="654"/>
      <c r="K190" s="654"/>
      <c r="L190" s="655"/>
      <c r="M190" s="252"/>
      <c r="N190" s="252"/>
      <c r="O190" s="251"/>
      <c r="R190" s="250"/>
      <c r="S190" s="250"/>
      <c r="T190" s="250"/>
      <c r="U190" s="250"/>
    </row>
    <row r="191" spans="1:21" s="249" customFormat="1" ht="30">
      <c r="A191" s="588" t="s">
        <v>945</v>
      </c>
      <c r="B191" s="589" t="s">
        <v>930</v>
      </c>
      <c r="C191" s="197" t="s">
        <v>1028</v>
      </c>
      <c r="D191" s="606">
        <v>58.96</v>
      </c>
      <c r="E191" s="614"/>
      <c r="F191" s="615"/>
      <c r="G191" s="594">
        <v>57.36</v>
      </c>
      <c r="H191" s="601">
        <v>0.2354</v>
      </c>
      <c r="I191" s="596">
        <f t="shared" ref="I191" si="10">TRUNC(G191*(1+H191),2)</f>
        <v>70.86</v>
      </c>
      <c r="J191" s="596">
        <f t="shared" ref="J191" si="11">TRUNC(D191*I191,2)</f>
        <v>4177.8999999999996</v>
      </c>
      <c r="K191" s="197" t="s">
        <v>1034</v>
      </c>
      <c r="L191" s="593" t="s">
        <v>1170</v>
      </c>
      <c r="M191" s="252"/>
      <c r="N191" s="252"/>
      <c r="O191" s="251"/>
      <c r="R191" s="250"/>
      <c r="S191" s="250"/>
      <c r="T191" s="250"/>
      <c r="U191" s="250"/>
    </row>
    <row r="192" spans="1:21" s="249" customFormat="1" ht="30">
      <c r="A192" s="588" t="s">
        <v>946</v>
      </c>
      <c r="B192" s="589" t="s">
        <v>931</v>
      </c>
      <c r="C192" s="197" t="s">
        <v>1028</v>
      </c>
      <c r="D192" s="606">
        <v>58.96</v>
      </c>
      <c r="E192" s="603"/>
      <c r="F192" s="604"/>
      <c r="G192" s="594">
        <v>61.77</v>
      </c>
      <c r="H192" s="601">
        <v>0.2354</v>
      </c>
      <c r="I192" s="596">
        <f t="shared" si="4"/>
        <v>76.31</v>
      </c>
      <c r="J192" s="596">
        <f t="shared" si="5"/>
        <v>4499.2299999999996</v>
      </c>
      <c r="K192" s="197" t="s">
        <v>1034</v>
      </c>
      <c r="L192" s="593" t="s">
        <v>1171</v>
      </c>
      <c r="M192" s="252"/>
      <c r="N192" s="252"/>
      <c r="O192" s="251"/>
      <c r="R192" s="250"/>
      <c r="S192" s="250"/>
      <c r="T192" s="250"/>
      <c r="U192" s="250"/>
    </row>
    <row r="193" spans="1:21" s="249" customFormat="1">
      <c r="A193" s="588" t="s">
        <v>947</v>
      </c>
      <c r="B193" s="589" t="s">
        <v>932</v>
      </c>
      <c r="C193" s="197" t="s">
        <v>1031</v>
      </c>
      <c r="D193" s="606">
        <v>49.4</v>
      </c>
      <c r="E193" s="603"/>
      <c r="F193" s="604"/>
      <c r="G193" s="594">
        <v>151.82</v>
      </c>
      <c r="H193" s="601">
        <v>0.2354</v>
      </c>
      <c r="I193" s="596">
        <f t="shared" si="4"/>
        <v>187.55</v>
      </c>
      <c r="J193" s="596">
        <f t="shared" si="5"/>
        <v>9264.9699999999993</v>
      </c>
      <c r="K193" s="197" t="s">
        <v>1034</v>
      </c>
      <c r="L193" s="593" t="s">
        <v>1172</v>
      </c>
      <c r="M193" s="252"/>
      <c r="N193" s="252"/>
      <c r="O193" s="251"/>
      <c r="R193" s="250"/>
      <c r="S193" s="250"/>
      <c r="T193" s="250"/>
      <c r="U193" s="250"/>
    </row>
    <row r="194" spans="1:21" s="249" customFormat="1">
      <c r="A194" s="616" t="s">
        <v>948</v>
      </c>
      <c r="B194" s="617" t="s">
        <v>619</v>
      </c>
      <c r="C194" s="653"/>
      <c r="D194" s="654"/>
      <c r="E194" s="654"/>
      <c r="F194" s="654"/>
      <c r="G194" s="654"/>
      <c r="H194" s="654"/>
      <c r="I194" s="654"/>
      <c r="J194" s="654"/>
      <c r="K194" s="654"/>
      <c r="L194" s="655"/>
      <c r="M194" s="252"/>
      <c r="N194" s="252"/>
      <c r="O194" s="251"/>
      <c r="R194" s="250"/>
      <c r="S194" s="250"/>
      <c r="T194" s="250"/>
      <c r="U194" s="250"/>
    </row>
    <row r="195" spans="1:21" s="249" customFormat="1" ht="30">
      <c r="A195" s="588" t="s">
        <v>949</v>
      </c>
      <c r="B195" s="589" t="s">
        <v>1221</v>
      </c>
      <c r="C195" s="197" t="s">
        <v>1031</v>
      </c>
      <c r="D195" s="606">
        <v>32.4</v>
      </c>
      <c r="E195" s="603"/>
      <c r="F195" s="604"/>
      <c r="G195" s="594">
        <v>800</v>
      </c>
      <c r="H195" s="601">
        <v>0.2354</v>
      </c>
      <c r="I195" s="596">
        <f t="shared" si="4"/>
        <v>988.32</v>
      </c>
      <c r="J195" s="596">
        <f t="shared" si="5"/>
        <v>32021.56</v>
      </c>
      <c r="K195" s="197" t="s">
        <v>1034</v>
      </c>
      <c r="L195" s="593" t="s">
        <v>1227</v>
      </c>
      <c r="M195" s="252"/>
      <c r="N195" s="252"/>
      <c r="O195" s="251"/>
      <c r="R195" s="250"/>
      <c r="S195" s="250"/>
      <c r="T195" s="250"/>
      <c r="U195" s="250"/>
    </row>
    <row r="196" spans="1:21" s="249" customFormat="1">
      <c r="A196" s="616" t="s">
        <v>950</v>
      </c>
      <c r="B196" s="617" t="s">
        <v>620</v>
      </c>
      <c r="C196" s="653"/>
      <c r="D196" s="654"/>
      <c r="E196" s="654"/>
      <c r="F196" s="654"/>
      <c r="G196" s="654"/>
      <c r="H196" s="654"/>
      <c r="I196" s="654"/>
      <c r="J196" s="654"/>
      <c r="K196" s="654"/>
      <c r="L196" s="655"/>
      <c r="M196" s="252"/>
      <c r="N196" s="252"/>
      <c r="O196" s="251"/>
      <c r="R196" s="250"/>
      <c r="S196" s="250"/>
      <c r="T196" s="250"/>
      <c r="U196" s="250"/>
    </row>
    <row r="197" spans="1:21" s="249" customFormat="1">
      <c r="A197" s="588" t="s">
        <v>951</v>
      </c>
      <c r="B197" s="589" t="s">
        <v>933</v>
      </c>
      <c r="C197" s="197" t="s">
        <v>237</v>
      </c>
      <c r="D197" s="606">
        <v>1244.33</v>
      </c>
      <c r="E197" s="603"/>
      <c r="F197" s="604"/>
      <c r="G197" s="594">
        <v>18.899999999999999</v>
      </c>
      <c r="H197" s="601">
        <v>0.2354</v>
      </c>
      <c r="I197" s="596">
        <f t="shared" si="4"/>
        <v>23.34</v>
      </c>
      <c r="J197" s="596">
        <f t="shared" si="5"/>
        <v>29042.66</v>
      </c>
      <c r="K197" s="197" t="s">
        <v>1035</v>
      </c>
      <c r="L197" s="593" t="s">
        <v>1173</v>
      </c>
      <c r="M197" s="252"/>
      <c r="N197" s="252"/>
      <c r="O197" s="251"/>
      <c r="R197" s="250"/>
      <c r="S197" s="250"/>
      <c r="T197" s="250"/>
      <c r="U197" s="250"/>
    </row>
    <row r="198" spans="1:21" s="249" customFormat="1">
      <c r="A198" s="588" t="s">
        <v>952</v>
      </c>
      <c r="B198" s="589" t="s">
        <v>934</v>
      </c>
      <c r="C198" s="197" t="s">
        <v>237</v>
      </c>
      <c r="D198" s="606">
        <v>18.95</v>
      </c>
      <c r="E198" s="603"/>
      <c r="F198" s="604"/>
      <c r="G198" s="594">
        <v>17.8</v>
      </c>
      <c r="H198" s="601">
        <v>0.2354</v>
      </c>
      <c r="I198" s="596">
        <f t="shared" si="4"/>
        <v>21.99</v>
      </c>
      <c r="J198" s="596">
        <f t="shared" si="5"/>
        <v>416.71</v>
      </c>
      <c r="K198" s="197" t="s">
        <v>1035</v>
      </c>
      <c r="L198" s="593" t="s">
        <v>1174</v>
      </c>
      <c r="M198" s="252"/>
      <c r="N198" s="252"/>
      <c r="O198" s="251"/>
      <c r="R198" s="250"/>
      <c r="S198" s="250"/>
      <c r="T198" s="250"/>
      <c r="U198" s="250"/>
    </row>
    <row r="199" spans="1:21" s="249" customFormat="1" ht="30">
      <c r="A199" s="588" t="s">
        <v>953</v>
      </c>
      <c r="B199" s="589" t="s">
        <v>935</v>
      </c>
      <c r="C199" s="197" t="s">
        <v>1028</v>
      </c>
      <c r="D199" s="606">
        <v>60</v>
      </c>
      <c r="E199" s="603"/>
      <c r="F199" s="604"/>
      <c r="G199" s="594">
        <v>12.94</v>
      </c>
      <c r="H199" s="601">
        <v>0.2354</v>
      </c>
      <c r="I199" s="596">
        <f t="shared" si="4"/>
        <v>15.98</v>
      </c>
      <c r="J199" s="596">
        <f t="shared" si="5"/>
        <v>958.8</v>
      </c>
      <c r="K199" s="197" t="s">
        <v>1034</v>
      </c>
      <c r="L199" s="593" t="s">
        <v>1175</v>
      </c>
      <c r="M199" s="252"/>
      <c r="N199" s="252"/>
      <c r="O199" s="251"/>
      <c r="R199" s="250"/>
      <c r="S199" s="250"/>
      <c r="T199" s="250"/>
      <c r="U199" s="250"/>
    </row>
    <row r="200" spans="1:21" s="249" customFormat="1" ht="30">
      <c r="A200" s="588" t="s">
        <v>954</v>
      </c>
      <c r="B200" s="589" t="s">
        <v>936</v>
      </c>
      <c r="C200" s="197" t="s">
        <v>1028</v>
      </c>
      <c r="D200" s="606">
        <v>120</v>
      </c>
      <c r="E200" s="603"/>
      <c r="F200" s="604"/>
      <c r="G200" s="594">
        <v>13.56</v>
      </c>
      <c r="H200" s="601">
        <v>0.2354</v>
      </c>
      <c r="I200" s="596">
        <f t="shared" si="4"/>
        <v>16.75</v>
      </c>
      <c r="J200" s="596">
        <f t="shared" si="5"/>
        <v>2010</v>
      </c>
      <c r="K200" s="197" t="s">
        <v>1034</v>
      </c>
      <c r="L200" s="593" t="s">
        <v>1176</v>
      </c>
      <c r="M200" s="252"/>
      <c r="N200" s="252"/>
      <c r="O200" s="251"/>
      <c r="R200" s="250"/>
      <c r="S200" s="250"/>
      <c r="T200" s="250"/>
      <c r="U200" s="250"/>
    </row>
    <row r="201" spans="1:21" s="249" customFormat="1">
      <c r="A201" s="588" t="s">
        <v>955</v>
      </c>
      <c r="B201" s="589" t="s">
        <v>937</v>
      </c>
      <c r="C201" s="197" t="s">
        <v>1029</v>
      </c>
      <c r="D201" s="606">
        <v>6</v>
      </c>
      <c r="E201" s="603"/>
      <c r="F201" s="604"/>
      <c r="G201" s="594">
        <v>1155.5</v>
      </c>
      <c r="H201" s="601">
        <v>0.2354</v>
      </c>
      <c r="I201" s="596">
        <f t="shared" si="4"/>
        <v>1427.5</v>
      </c>
      <c r="J201" s="596">
        <f t="shared" si="5"/>
        <v>8565</v>
      </c>
      <c r="K201" s="197" t="s">
        <v>1034</v>
      </c>
      <c r="L201" s="593" t="s">
        <v>1177</v>
      </c>
      <c r="M201" s="252"/>
      <c r="N201" s="252"/>
      <c r="O201" s="251"/>
      <c r="R201" s="250"/>
      <c r="S201" s="250"/>
      <c r="T201" s="250"/>
      <c r="U201" s="250"/>
    </row>
    <row r="202" spans="1:21" s="249" customFormat="1">
      <c r="A202" s="588" t="s">
        <v>956</v>
      </c>
      <c r="B202" s="589" t="s">
        <v>938</v>
      </c>
      <c r="C202" s="197" t="s">
        <v>1031</v>
      </c>
      <c r="D202" s="606">
        <v>23.4</v>
      </c>
      <c r="E202" s="603"/>
      <c r="F202" s="604"/>
      <c r="G202" s="594">
        <v>562.16999999999996</v>
      </c>
      <c r="H202" s="601">
        <v>0.2354</v>
      </c>
      <c r="I202" s="596">
        <f t="shared" si="4"/>
        <v>694.5</v>
      </c>
      <c r="J202" s="596">
        <f t="shared" si="5"/>
        <v>16251.3</v>
      </c>
      <c r="K202" s="197" t="s">
        <v>1037</v>
      </c>
      <c r="L202" s="593" t="s">
        <v>1178</v>
      </c>
      <c r="M202" s="252"/>
      <c r="N202" s="252"/>
      <c r="O202" s="251"/>
      <c r="R202" s="250"/>
      <c r="S202" s="250"/>
      <c r="T202" s="250"/>
      <c r="U202" s="250"/>
    </row>
    <row r="203" spans="1:21" s="249" customFormat="1">
      <c r="A203" s="588" t="s">
        <v>957</v>
      </c>
      <c r="B203" s="589" t="s">
        <v>939</v>
      </c>
      <c r="C203" s="197" t="s">
        <v>1028</v>
      </c>
      <c r="D203" s="606">
        <v>55.24</v>
      </c>
      <c r="E203" s="614"/>
      <c r="F203" s="615"/>
      <c r="G203" s="594">
        <v>102.08</v>
      </c>
      <c r="H203" s="601">
        <v>0.2354</v>
      </c>
      <c r="I203" s="596">
        <f t="shared" ref="I203" si="12">TRUNC(G203*(1+H203),2)</f>
        <v>126.1</v>
      </c>
      <c r="J203" s="596">
        <f t="shared" ref="J203" si="13">TRUNC(D203*I203,2)</f>
        <v>6965.76</v>
      </c>
      <c r="K203" s="197" t="s">
        <v>1037</v>
      </c>
      <c r="L203" s="593" t="s">
        <v>1179</v>
      </c>
      <c r="M203" s="252"/>
      <c r="N203" s="252"/>
      <c r="O203" s="251"/>
      <c r="R203" s="250"/>
      <c r="S203" s="250"/>
      <c r="T203" s="250"/>
      <c r="U203" s="250"/>
    </row>
    <row r="204" spans="1:21" s="249" customFormat="1">
      <c r="A204" s="588" t="s">
        <v>958</v>
      </c>
      <c r="B204" s="589" t="s">
        <v>940</v>
      </c>
      <c r="C204" s="197" t="s">
        <v>1031</v>
      </c>
      <c r="D204" s="606">
        <v>42.75</v>
      </c>
      <c r="E204" s="603"/>
      <c r="F204" s="604"/>
      <c r="G204" s="594">
        <v>59.17</v>
      </c>
      <c r="H204" s="601">
        <v>0.2354</v>
      </c>
      <c r="I204" s="596">
        <f t="shared" ref="I204:I237" si="14">TRUNC(G204*(1+H204),2)</f>
        <v>73.09</v>
      </c>
      <c r="J204" s="596">
        <f t="shared" ref="J204:J237" si="15">TRUNC(D204*I204,2)</f>
        <v>3124.59</v>
      </c>
      <c r="K204" s="197" t="s">
        <v>1034</v>
      </c>
      <c r="L204" s="593" t="s">
        <v>1180</v>
      </c>
      <c r="M204" s="252"/>
      <c r="N204" s="252"/>
      <c r="O204" s="251"/>
      <c r="R204" s="250"/>
      <c r="S204" s="250"/>
      <c r="T204" s="250"/>
      <c r="U204" s="250"/>
    </row>
    <row r="205" spans="1:21" s="249" customFormat="1">
      <c r="A205" s="588" t="s">
        <v>959</v>
      </c>
      <c r="B205" s="589" t="s">
        <v>941</v>
      </c>
      <c r="C205" s="197" t="s">
        <v>1031</v>
      </c>
      <c r="D205" s="606">
        <v>27</v>
      </c>
      <c r="E205" s="603"/>
      <c r="F205" s="604"/>
      <c r="G205" s="594">
        <v>53.26</v>
      </c>
      <c r="H205" s="601">
        <v>0.2354</v>
      </c>
      <c r="I205" s="596">
        <f t="shared" si="14"/>
        <v>65.790000000000006</v>
      </c>
      <c r="J205" s="596">
        <f t="shared" si="15"/>
        <v>1776.33</v>
      </c>
      <c r="K205" s="197" t="s">
        <v>1034</v>
      </c>
      <c r="L205" s="593" t="s">
        <v>1181</v>
      </c>
      <c r="M205" s="252"/>
      <c r="N205" s="252"/>
      <c r="O205" s="251"/>
      <c r="R205" s="250"/>
      <c r="S205" s="250"/>
      <c r="T205" s="250"/>
      <c r="U205" s="250"/>
    </row>
    <row r="206" spans="1:21" s="249" customFormat="1" ht="30">
      <c r="A206" s="588" t="s">
        <v>960</v>
      </c>
      <c r="B206" s="589" t="s">
        <v>942</v>
      </c>
      <c r="C206" s="197" t="s">
        <v>1031</v>
      </c>
      <c r="D206" s="606">
        <v>19.8</v>
      </c>
      <c r="E206" s="603"/>
      <c r="F206" s="604"/>
      <c r="G206" s="594">
        <v>478.47</v>
      </c>
      <c r="H206" s="601">
        <v>0.2354</v>
      </c>
      <c r="I206" s="596">
        <f t="shared" si="14"/>
        <v>591.1</v>
      </c>
      <c r="J206" s="596">
        <f t="shared" si="15"/>
        <v>11703.78</v>
      </c>
      <c r="K206" s="197" t="s">
        <v>1034</v>
      </c>
      <c r="L206" s="593" t="s">
        <v>1182</v>
      </c>
      <c r="M206" s="252"/>
      <c r="N206" s="252"/>
      <c r="O206" s="251"/>
      <c r="R206" s="250"/>
      <c r="S206" s="250"/>
      <c r="T206" s="250"/>
      <c r="U206" s="250"/>
    </row>
    <row r="207" spans="1:21" s="249" customFormat="1">
      <c r="A207" s="588" t="s">
        <v>961</v>
      </c>
      <c r="B207" s="589" t="s">
        <v>943</v>
      </c>
      <c r="C207" s="197" t="s">
        <v>1031</v>
      </c>
      <c r="D207" s="606">
        <v>19.8</v>
      </c>
      <c r="E207" s="603"/>
      <c r="F207" s="604"/>
      <c r="G207" s="594">
        <v>246.02</v>
      </c>
      <c r="H207" s="601">
        <v>0.2354</v>
      </c>
      <c r="I207" s="596">
        <f t="shared" si="14"/>
        <v>303.93</v>
      </c>
      <c r="J207" s="596">
        <f t="shared" si="15"/>
        <v>6017.81</v>
      </c>
      <c r="K207" s="197" t="s">
        <v>1034</v>
      </c>
      <c r="L207" s="593" t="s">
        <v>1183</v>
      </c>
      <c r="M207" s="252"/>
      <c r="N207" s="252"/>
      <c r="O207" s="251"/>
      <c r="R207" s="250"/>
      <c r="S207" s="250"/>
      <c r="T207" s="250"/>
      <c r="U207" s="250"/>
    </row>
    <row r="208" spans="1:21" s="249" customFormat="1">
      <c r="A208" s="616" t="s">
        <v>992</v>
      </c>
      <c r="B208" s="617" t="s">
        <v>621</v>
      </c>
      <c r="C208" s="653"/>
      <c r="D208" s="654"/>
      <c r="E208" s="654"/>
      <c r="F208" s="654"/>
      <c r="G208" s="654"/>
      <c r="H208" s="654"/>
      <c r="I208" s="654"/>
      <c r="J208" s="654"/>
      <c r="K208" s="654"/>
      <c r="L208" s="655"/>
      <c r="M208" s="252"/>
      <c r="N208" s="252"/>
      <c r="O208" s="251"/>
      <c r="R208" s="250"/>
      <c r="S208" s="250"/>
      <c r="T208" s="250"/>
      <c r="U208" s="250"/>
    </row>
    <row r="209" spans="1:21" s="249" customFormat="1" ht="30">
      <c r="A209" s="588" t="s">
        <v>993</v>
      </c>
      <c r="B209" s="589" t="s">
        <v>962</v>
      </c>
      <c r="C209" s="197" t="s">
        <v>1029</v>
      </c>
      <c r="D209" s="606">
        <v>10</v>
      </c>
      <c r="E209" s="603"/>
      <c r="F209" s="604"/>
      <c r="G209" s="594">
        <v>1303.3499999999999</v>
      </c>
      <c r="H209" s="601">
        <v>0.23980000000000001</v>
      </c>
      <c r="I209" s="596">
        <f t="shared" si="14"/>
        <v>1615.89</v>
      </c>
      <c r="J209" s="596">
        <f t="shared" si="15"/>
        <v>16158.9</v>
      </c>
      <c r="K209" s="197" t="s">
        <v>1034</v>
      </c>
      <c r="L209" s="593" t="s">
        <v>1184</v>
      </c>
      <c r="M209" s="252"/>
      <c r="N209" s="252"/>
      <c r="O209" s="251"/>
      <c r="R209" s="250"/>
      <c r="S209" s="250"/>
      <c r="T209" s="250"/>
      <c r="U209" s="250"/>
    </row>
    <row r="210" spans="1:21" s="249" customFormat="1" ht="30">
      <c r="A210" s="588" t="s">
        <v>994</v>
      </c>
      <c r="B210" s="589" t="s">
        <v>963</v>
      </c>
      <c r="C210" s="197" t="s">
        <v>1029</v>
      </c>
      <c r="D210" s="606">
        <v>10</v>
      </c>
      <c r="E210" s="603"/>
      <c r="F210" s="604"/>
      <c r="G210" s="594">
        <v>2000</v>
      </c>
      <c r="H210" s="601">
        <v>0.23980000000000001</v>
      </c>
      <c r="I210" s="596">
        <f t="shared" si="14"/>
        <v>2479.6</v>
      </c>
      <c r="J210" s="596">
        <f t="shared" si="15"/>
        <v>24796</v>
      </c>
      <c r="K210" s="197" t="s">
        <v>1034</v>
      </c>
      <c r="L210" s="593" t="s">
        <v>1185</v>
      </c>
      <c r="M210" s="252"/>
      <c r="N210" s="252"/>
      <c r="O210" s="251"/>
      <c r="R210" s="250"/>
      <c r="S210" s="250"/>
      <c r="T210" s="250"/>
      <c r="U210" s="250"/>
    </row>
    <row r="211" spans="1:21" s="249" customFormat="1" ht="30">
      <c r="A211" s="588" t="s">
        <v>995</v>
      </c>
      <c r="B211" s="589" t="s">
        <v>964</v>
      </c>
      <c r="C211" s="197" t="s">
        <v>1029</v>
      </c>
      <c r="D211" s="606">
        <v>1</v>
      </c>
      <c r="E211" s="603"/>
      <c r="F211" s="604"/>
      <c r="G211" s="594">
        <v>2434.2399999999998</v>
      </c>
      <c r="H211" s="601">
        <v>0.23980000000000001</v>
      </c>
      <c r="I211" s="596">
        <f t="shared" si="14"/>
        <v>3017.97</v>
      </c>
      <c r="J211" s="596">
        <f t="shared" si="15"/>
        <v>3017.97</v>
      </c>
      <c r="K211" s="197" t="s">
        <v>1034</v>
      </c>
      <c r="L211" s="593" t="s">
        <v>1186</v>
      </c>
      <c r="M211" s="252"/>
      <c r="N211" s="252"/>
      <c r="O211" s="251"/>
      <c r="R211" s="250"/>
      <c r="S211" s="250"/>
      <c r="T211" s="250"/>
      <c r="U211" s="250"/>
    </row>
    <row r="212" spans="1:21" s="249" customFormat="1" ht="30">
      <c r="A212" s="588" t="s">
        <v>996</v>
      </c>
      <c r="B212" s="589" t="s">
        <v>965</v>
      </c>
      <c r="C212" s="197" t="s">
        <v>1029</v>
      </c>
      <c r="D212" s="606">
        <v>1</v>
      </c>
      <c r="E212" s="603"/>
      <c r="F212" s="604"/>
      <c r="G212" s="594">
        <v>6199.84</v>
      </c>
      <c r="H212" s="601">
        <v>0.23980000000000001</v>
      </c>
      <c r="I212" s="596">
        <f t="shared" si="14"/>
        <v>7686.56</v>
      </c>
      <c r="J212" s="596">
        <f t="shared" si="15"/>
        <v>7686.56</v>
      </c>
      <c r="K212" s="197" t="s">
        <v>1034</v>
      </c>
      <c r="L212" s="593" t="s">
        <v>1187</v>
      </c>
      <c r="M212" s="252"/>
      <c r="N212" s="252"/>
      <c r="O212" s="251"/>
      <c r="R212" s="250"/>
      <c r="S212" s="250"/>
      <c r="T212" s="250"/>
      <c r="U212" s="250"/>
    </row>
    <row r="213" spans="1:21" s="249" customFormat="1" ht="30">
      <c r="A213" s="588" t="s">
        <v>997</v>
      </c>
      <c r="B213" s="589" t="s">
        <v>966</v>
      </c>
      <c r="C213" s="197" t="s">
        <v>1029</v>
      </c>
      <c r="D213" s="606">
        <v>1</v>
      </c>
      <c r="E213" s="603"/>
      <c r="F213" s="604"/>
      <c r="G213" s="594">
        <v>6505.8</v>
      </c>
      <c r="H213" s="601">
        <v>0.23980000000000001</v>
      </c>
      <c r="I213" s="596">
        <f t="shared" si="14"/>
        <v>8065.89</v>
      </c>
      <c r="J213" s="596">
        <f t="shared" si="15"/>
        <v>8065.89</v>
      </c>
      <c r="K213" s="197" t="s">
        <v>1034</v>
      </c>
      <c r="L213" s="593" t="s">
        <v>1188</v>
      </c>
      <c r="M213" s="252"/>
      <c r="N213" s="252"/>
      <c r="O213" s="251"/>
      <c r="R213" s="250"/>
      <c r="S213" s="250"/>
      <c r="T213" s="250"/>
      <c r="U213" s="250"/>
    </row>
    <row r="214" spans="1:21" s="249" customFormat="1" ht="30">
      <c r="A214" s="588" t="s">
        <v>998</v>
      </c>
      <c r="B214" s="589" t="s">
        <v>967</v>
      </c>
      <c r="C214" s="197" t="s">
        <v>1029</v>
      </c>
      <c r="D214" s="606">
        <v>1</v>
      </c>
      <c r="E214" s="603"/>
      <c r="F214" s="604"/>
      <c r="G214" s="594">
        <v>2366.39</v>
      </c>
      <c r="H214" s="601">
        <v>0.23980000000000001</v>
      </c>
      <c r="I214" s="596">
        <f t="shared" si="14"/>
        <v>2933.85</v>
      </c>
      <c r="J214" s="596">
        <f t="shared" si="15"/>
        <v>2933.85</v>
      </c>
      <c r="K214" s="197" t="s">
        <v>1034</v>
      </c>
      <c r="L214" s="593" t="s">
        <v>1189</v>
      </c>
      <c r="M214" s="252"/>
      <c r="N214" s="252"/>
      <c r="O214" s="251"/>
      <c r="R214" s="250"/>
      <c r="S214" s="250"/>
      <c r="T214" s="250"/>
      <c r="U214" s="250"/>
    </row>
    <row r="215" spans="1:21" s="249" customFormat="1" ht="30">
      <c r="A215" s="588" t="s">
        <v>999</v>
      </c>
      <c r="B215" s="589" t="s">
        <v>968</v>
      </c>
      <c r="C215" s="197" t="s">
        <v>1029</v>
      </c>
      <c r="D215" s="606">
        <v>1</v>
      </c>
      <c r="E215" s="603"/>
      <c r="F215" s="604"/>
      <c r="G215" s="594">
        <v>4142.8999999999996</v>
      </c>
      <c r="H215" s="601">
        <v>0.23980000000000001</v>
      </c>
      <c r="I215" s="596">
        <f t="shared" si="14"/>
        <v>5136.3599999999997</v>
      </c>
      <c r="J215" s="596">
        <f t="shared" si="15"/>
        <v>5136.3599999999997</v>
      </c>
      <c r="K215" s="197" t="s">
        <v>1034</v>
      </c>
      <c r="L215" s="593" t="s">
        <v>1190</v>
      </c>
      <c r="M215" s="252"/>
      <c r="N215" s="252"/>
      <c r="O215" s="251"/>
      <c r="R215" s="250"/>
      <c r="S215" s="250"/>
      <c r="T215" s="250"/>
      <c r="U215" s="250"/>
    </row>
    <row r="216" spans="1:21" s="249" customFormat="1" ht="45">
      <c r="A216" s="588" t="s">
        <v>1000</v>
      </c>
      <c r="B216" s="589" t="s">
        <v>969</v>
      </c>
      <c r="C216" s="197" t="s">
        <v>1029</v>
      </c>
      <c r="D216" s="606">
        <v>1</v>
      </c>
      <c r="E216" s="603"/>
      <c r="F216" s="604"/>
      <c r="G216" s="594">
        <v>2587.88</v>
      </c>
      <c r="H216" s="601">
        <v>0.23980000000000001</v>
      </c>
      <c r="I216" s="596">
        <f t="shared" si="14"/>
        <v>3208.45</v>
      </c>
      <c r="J216" s="596">
        <f t="shared" si="15"/>
        <v>3208.45</v>
      </c>
      <c r="K216" s="197" t="s">
        <v>1034</v>
      </c>
      <c r="L216" s="593" t="s">
        <v>1191</v>
      </c>
      <c r="M216" s="252"/>
      <c r="N216" s="252"/>
      <c r="O216" s="251"/>
      <c r="R216" s="250"/>
      <c r="S216" s="250"/>
      <c r="T216" s="250"/>
      <c r="U216" s="250"/>
    </row>
    <row r="217" spans="1:21" s="249" customFormat="1" ht="30">
      <c r="A217" s="588" t="s">
        <v>1001</v>
      </c>
      <c r="B217" s="589" t="s">
        <v>970</v>
      </c>
      <c r="C217" s="197" t="s">
        <v>1029</v>
      </c>
      <c r="D217" s="606">
        <v>1</v>
      </c>
      <c r="E217" s="603"/>
      <c r="F217" s="604"/>
      <c r="G217" s="594">
        <v>2006.61</v>
      </c>
      <c r="H217" s="601">
        <v>0.23980000000000001</v>
      </c>
      <c r="I217" s="596">
        <f t="shared" si="14"/>
        <v>2487.79</v>
      </c>
      <c r="J217" s="596">
        <f t="shared" si="15"/>
        <v>2487.79</v>
      </c>
      <c r="K217" s="197" t="s">
        <v>1034</v>
      </c>
      <c r="L217" s="593" t="s">
        <v>1192</v>
      </c>
      <c r="M217" s="252"/>
      <c r="N217" s="252"/>
      <c r="O217" s="251"/>
      <c r="R217" s="250"/>
      <c r="S217" s="250"/>
      <c r="T217" s="250"/>
      <c r="U217" s="250"/>
    </row>
    <row r="218" spans="1:21" s="249" customFormat="1" ht="30">
      <c r="A218" s="588" t="s">
        <v>1002</v>
      </c>
      <c r="B218" s="589" t="s">
        <v>971</v>
      </c>
      <c r="C218" s="197" t="s">
        <v>1029</v>
      </c>
      <c r="D218" s="606">
        <v>1</v>
      </c>
      <c r="E218" s="614"/>
      <c r="F218" s="615"/>
      <c r="G218" s="594">
        <v>4908.71</v>
      </c>
      <c r="H218" s="601">
        <v>0.23980000000000001</v>
      </c>
      <c r="I218" s="596">
        <f t="shared" ref="I218" si="16">TRUNC(G218*(1+H218),2)</f>
        <v>6085.81</v>
      </c>
      <c r="J218" s="596">
        <f t="shared" ref="J218" si="17">TRUNC(D218*I218,2)</f>
        <v>6085.81</v>
      </c>
      <c r="K218" s="197" t="s">
        <v>1034</v>
      </c>
      <c r="L218" s="593" t="s">
        <v>1193</v>
      </c>
      <c r="M218" s="252"/>
      <c r="N218" s="252"/>
      <c r="O218" s="251"/>
      <c r="R218" s="250"/>
      <c r="S218" s="250"/>
      <c r="T218" s="250"/>
      <c r="U218" s="250"/>
    </row>
    <row r="219" spans="1:21" s="249" customFormat="1" ht="30">
      <c r="A219" s="588" t="s">
        <v>1003</v>
      </c>
      <c r="B219" s="589" t="s">
        <v>972</v>
      </c>
      <c r="C219" s="197" t="s">
        <v>1029</v>
      </c>
      <c r="D219" s="606">
        <v>1</v>
      </c>
      <c r="E219" s="603"/>
      <c r="F219" s="604"/>
      <c r="G219" s="594">
        <v>5267.32</v>
      </c>
      <c r="H219" s="601">
        <v>0.23980000000000001</v>
      </c>
      <c r="I219" s="596">
        <f t="shared" si="14"/>
        <v>6530.42</v>
      </c>
      <c r="J219" s="596">
        <f t="shared" si="15"/>
        <v>6530.42</v>
      </c>
      <c r="K219" s="197" t="s">
        <v>1034</v>
      </c>
      <c r="L219" s="593" t="s">
        <v>1194</v>
      </c>
      <c r="M219" s="252"/>
      <c r="N219" s="252"/>
      <c r="O219" s="251"/>
      <c r="R219" s="250"/>
      <c r="S219" s="250"/>
      <c r="T219" s="250"/>
      <c r="U219" s="250"/>
    </row>
    <row r="220" spans="1:21" s="249" customFormat="1" ht="30">
      <c r="A220" s="588" t="s">
        <v>1004</v>
      </c>
      <c r="B220" s="589" t="s">
        <v>973</v>
      </c>
      <c r="C220" s="197" t="s">
        <v>1029</v>
      </c>
      <c r="D220" s="606">
        <v>1</v>
      </c>
      <c r="E220" s="603"/>
      <c r="F220" s="604"/>
      <c r="G220" s="594">
        <v>2645.09</v>
      </c>
      <c r="H220" s="601">
        <v>0.23980000000000001</v>
      </c>
      <c r="I220" s="596">
        <f t="shared" si="14"/>
        <v>3279.38</v>
      </c>
      <c r="J220" s="596">
        <f t="shared" si="15"/>
        <v>3279.38</v>
      </c>
      <c r="K220" s="197" t="s">
        <v>1034</v>
      </c>
      <c r="L220" s="593" t="s">
        <v>1195</v>
      </c>
      <c r="M220" s="252"/>
      <c r="N220" s="252"/>
      <c r="O220" s="251"/>
      <c r="R220" s="250"/>
      <c r="S220" s="250"/>
      <c r="T220" s="250"/>
      <c r="U220" s="250"/>
    </row>
    <row r="221" spans="1:21" s="249" customFormat="1" ht="30">
      <c r="A221" s="588" t="s">
        <v>1005</v>
      </c>
      <c r="B221" s="589" t="s">
        <v>974</v>
      </c>
      <c r="C221" s="197" t="s">
        <v>1029</v>
      </c>
      <c r="D221" s="606">
        <v>1</v>
      </c>
      <c r="E221" s="603"/>
      <c r="F221" s="604"/>
      <c r="G221" s="594">
        <v>2864.58</v>
      </c>
      <c r="H221" s="601">
        <v>0.23980000000000001</v>
      </c>
      <c r="I221" s="596">
        <f t="shared" si="14"/>
        <v>3551.5</v>
      </c>
      <c r="J221" s="596">
        <f t="shared" si="15"/>
        <v>3551.5</v>
      </c>
      <c r="K221" s="197" t="s">
        <v>1034</v>
      </c>
      <c r="L221" s="593" t="s">
        <v>1196</v>
      </c>
      <c r="M221" s="252"/>
      <c r="N221" s="252"/>
      <c r="O221" s="251"/>
      <c r="R221" s="250"/>
      <c r="S221" s="250"/>
      <c r="T221" s="250"/>
      <c r="U221" s="250"/>
    </row>
    <row r="222" spans="1:21" s="249" customFormat="1">
      <c r="A222" s="588" t="s">
        <v>1006</v>
      </c>
      <c r="B222" s="589" t="s">
        <v>975</v>
      </c>
      <c r="C222" s="197" t="s">
        <v>1029</v>
      </c>
      <c r="D222" s="606">
        <v>2</v>
      </c>
      <c r="E222" s="603"/>
      <c r="F222" s="604"/>
      <c r="G222" s="594">
        <v>1102.53</v>
      </c>
      <c r="H222" s="601">
        <v>0.23980000000000001</v>
      </c>
      <c r="I222" s="596">
        <f t="shared" si="14"/>
        <v>1366.91</v>
      </c>
      <c r="J222" s="596">
        <f t="shared" si="15"/>
        <v>2733.82</v>
      </c>
      <c r="K222" s="197" t="s">
        <v>1036</v>
      </c>
      <c r="L222" s="593" t="s">
        <v>1197</v>
      </c>
      <c r="M222" s="252"/>
      <c r="N222" s="252"/>
      <c r="O222" s="251"/>
      <c r="R222" s="250"/>
      <c r="S222" s="250"/>
      <c r="T222" s="250"/>
      <c r="U222" s="250"/>
    </row>
    <row r="223" spans="1:21" s="249" customFormat="1">
      <c r="A223" s="616" t="s">
        <v>1007</v>
      </c>
      <c r="B223" s="617" t="s">
        <v>622</v>
      </c>
      <c r="C223" s="653"/>
      <c r="D223" s="654"/>
      <c r="E223" s="654"/>
      <c r="F223" s="654"/>
      <c r="G223" s="654"/>
      <c r="H223" s="654"/>
      <c r="I223" s="654"/>
      <c r="J223" s="654"/>
      <c r="K223" s="654"/>
      <c r="L223" s="655"/>
      <c r="M223" s="252"/>
      <c r="N223" s="252"/>
      <c r="O223" s="251"/>
      <c r="R223" s="250"/>
      <c r="S223" s="250"/>
      <c r="T223" s="250"/>
      <c r="U223" s="250"/>
    </row>
    <row r="224" spans="1:21" s="249" customFormat="1" ht="30">
      <c r="A224" s="588" t="s">
        <v>1008</v>
      </c>
      <c r="B224" s="589" t="s">
        <v>976</v>
      </c>
      <c r="C224" s="197" t="s">
        <v>1028</v>
      </c>
      <c r="D224" s="606">
        <v>60.78</v>
      </c>
      <c r="E224" s="603"/>
      <c r="F224" s="604"/>
      <c r="G224" s="594">
        <v>59.2</v>
      </c>
      <c r="H224" s="601">
        <v>0.23980000000000001</v>
      </c>
      <c r="I224" s="596">
        <f t="shared" si="14"/>
        <v>73.39</v>
      </c>
      <c r="J224" s="596">
        <f t="shared" si="15"/>
        <v>4460.6400000000003</v>
      </c>
      <c r="K224" s="197" t="s">
        <v>1034</v>
      </c>
      <c r="L224" s="593" t="s">
        <v>1198</v>
      </c>
      <c r="M224" s="252"/>
      <c r="N224" s="252"/>
      <c r="O224" s="251"/>
      <c r="R224" s="250"/>
      <c r="S224" s="250"/>
      <c r="T224" s="250"/>
      <c r="U224" s="250"/>
    </row>
    <row r="225" spans="1:21" s="249" customFormat="1" ht="30">
      <c r="A225" s="588" t="s">
        <v>1009</v>
      </c>
      <c r="B225" s="589" t="s">
        <v>977</v>
      </c>
      <c r="C225" s="197" t="s">
        <v>1028</v>
      </c>
      <c r="D225" s="606">
        <v>126.17</v>
      </c>
      <c r="E225" s="614"/>
      <c r="F225" s="615"/>
      <c r="G225" s="594">
        <v>90.25</v>
      </c>
      <c r="H225" s="601">
        <v>0.23980000000000001</v>
      </c>
      <c r="I225" s="596">
        <f t="shared" ref="I225" si="18">TRUNC(G225*(1+H225),2)</f>
        <v>111.89</v>
      </c>
      <c r="J225" s="596">
        <f t="shared" ref="J225" si="19">TRUNC(D225*I225,2)</f>
        <v>14117.16</v>
      </c>
      <c r="K225" s="197" t="s">
        <v>1034</v>
      </c>
      <c r="L225" s="593" t="s">
        <v>1199</v>
      </c>
      <c r="M225" s="252"/>
      <c r="N225" s="252"/>
      <c r="O225" s="251"/>
      <c r="R225" s="250"/>
      <c r="S225" s="250"/>
      <c r="T225" s="250"/>
      <c r="U225" s="250"/>
    </row>
    <row r="226" spans="1:21" s="249" customFormat="1" ht="30">
      <c r="A226" s="588" t="s">
        <v>1010</v>
      </c>
      <c r="B226" s="589" t="s">
        <v>978</v>
      </c>
      <c r="C226" s="197" t="s">
        <v>1032</v>
      </c>
      <c r="D226" s="606">
        <v>780</v>
      </c>
      <c r="E226" s="603"/>
      <c r="F226" s="604"/>
      <c r="G226" s="594">
        <v>12.51</v>
      </c>
      <c r="H226" s="601">
        <v>0.23980000000000001</v>
      </c>
      <c r="I226" s="596">
        <f t="shared" si="14"/>
        <v>15.5</v>
      </c>
      <c r="J226" s="596">
        <f t="shared" si="15"/>
        <v>12090</v>
      </c>
      <c r="K226" s="197" t="s">
        <v>1034</v>
      </c>
      <c r="L226" s="593" t="s">
        <v>1200</v>
      </c>
      <c r="M226" s="252"/>
      <c r="N226" s="252"/>
      <c r="O226" s="251"/>
      <c r="R226" s="250"/>
      <c r="S226" s="250"/>
      <c r="T226" s="250"/>
      <c r="U226" s="250"/>
    </row>
    <row r="227" spans="1:21" s="249" customFormat="1" ht="30">
      <c r="A227" s="588" t="s">
        <v>1011</v>
      </c>
      <c r="B227" s="589" t="s">
        <v>979</v>
      </c>
      <c r="C227" s="197" t="s">
        <v>1032</v>
      </c>
      <c r="D227" s="606">
        <v>390</v>
      </c>
      <c r="E227" s="603"/>
      <c r="F227" s="604"/>
      <c r="G227" s="594">
        <v>14.69</v>
      </c>
      <c r="H227" s="601">
        <v>0.23980000000000001</v>
      </c>
      <c r="I227" s="596">
        <f t="shared" si="14"/>
        <v>18.21</v>
      </c>
      <c r="J227" s="596">
        <f t="shared" si="15"/>
        <v>7101.9</v>
      </c>
      <c r="K227" s="197" t="s">
        <v>1034</v>
      </c>
      <c r="L227" s="593" t="s">
        <v>1201</v>
      </c>
      <c r="M227" s="252"/>
      <c r="N227" s="252"/>
      <c r="O227" s="251"/>
      <c r="R227" s="250"/>
      <c r="S227" s="250"/>
      <c r="T227" s="250"/>
      <c r="U227" s="250"/>
    </row>
    <row r="228" spans="1:21" s="249" customFormat="1" ht="30">
      <c r="A228" s="588" t="s">
        <v>1012</v>
      </c>
      <c r="B228" s="589" t="s">
        <v>980</v>
      </c>
      <c r="C228" s="197" t="s">
        <v>567</v>
      </c>
      <c r="D228" s="606">
        <v>15.99</v>
      </c>
      <c r="E228" s="603"/>
      <c r="F228" s="604"/>
      <c r="G228" s="594">
        <v>694.34</v>
      </c>
      <c r="H228" s="601">
        <v>0.23980000000000001</v>
      </c>
      <c r="I228" s="596">
        <f t="shared" si="14"/>
        <v>860.84</v>
      </c>
      <c r="J228" s="596">
        <f t="shared" si="15"/>
        <v>13764.83</v>
      </c>
      <c r="K228" s="197" t="s">
        <v>1034</v>
      </c>
      <c r="L228" s="593" t="s">
        <v>1202</v>
      </c>
      <c r="M228" s="252"/>
      <c r="N228" s="252"/>
      <c r="O228" s="251"/>
      <c r="R228" s="250"/>
      <c r="S228" s="250"/>
      <c r="T228" s="250"/>
      <c r="U228" s="250"/>
    </row>
    <row r="229" spans="1:21" s="249" customFormat="1">
      <c r="A229" s="588" t="s">
        <v>1013</v>
      </c>
      <c r="B229" s="589" t="s">
        <v>981</v>
      </c>
      <c r="C229" s="197" t="s">
        <v>567</v>
      </c>
      <c r="D229" s="606">
        <v>15.23</v>
      </c>
      <c r="E229" s="603"/>
      <c r="F229" s="604"/>
      <c r="G229" s="594">
        <v>403.55</v>
      </c>
      <c r="H229" s="601">
        <v>0.23980000000000001</v>
      </c>
      <c r="I229" s="596">
        <f t="shared" si="14"/>
        <v>500.32</v>
      </c>
      <c r="J229" s="596">
        <f t="shared" si="15"/>
        <v>7619.87</v>
      </c>
      <c r="K229" s="197" t="s">
        <v>1034</v>
      </c>
      <c r="L229" s="593" t="s">
        <v>1203</v>
      </c>
      <c r="M229" s="252"/>
      <c r="N229" s="252"/>
      <c r="O229" s="251"/>
      <c r="R229" s="250"/>
      <c r="S229" s="250"/>
      <c r="T229" s="250"/>
      <c r="U229" s="250"/>
    </row>
    <row r="230" spans="1:21" s="249" customFormat="1">
      <c r="A230" s="616" t="s">
        <v>1014</v>
      </c>
      <c r="B230" s="617" t="s">
        <v>623</v>
      </c>
      <c r="C230" s="653"/>
      <c r="D230" s="654"/>
      <c r="E230" s="654"/>
      <c r="F230" s="654"/>
      <c r="G230" s="654"/>
      <c r="H230" s="654"/>
      <c r="I230" s="654"/>
      <c r="J230" s="654"/>
      <c r="K230" s="654"/>
      <c r="L230" s="655"/>
      <c r="M230" s="252"/>
      <c r="N230" s="252"/>
      <c r="O230" s="251"/>
      <c r="R230" s="250"/>
      <c r="S230" s="250"/>
      <c r="T230" s="250"/>
      <c r="U230" s="250"/>
    </row>
    <row r="231" spans="1:21" s="249" customFormat="1">
      <c r="A231" s="588" t="s">
        <v>1015</v>
      </c>
      <c r="B231" s="589" t="s">
        <v>982</v>
      </c>
      <c r="C231" s="197" t="s">
        <v>567</v>
      </c>
      <c r="D231" s="600">
        <v>129.6</v>
      </c>
      <c r="E231" s="614"/>
      <c r="F231" s="615"/>
      <c r="G231" s="594">
        <v>148</v>
      </c>
      <c r="H231" s="601">
        <v>0.23980000000000001</v>
      </c>
      <c r="I231" s="596">
        <f t="shared" ref="I231" si="20">TRUNC(G231*(1+H231),2)</f>
        <v>183.49</v>
      </c>
      <c r="J231" s="596">
        <f t="shared" ref="J231" si="21">TRUNC(D231*I231,2)</f>
        <v>23780.3</v>
      </c>
      <c r="K231" s="197" t="s">
        <v>1034</v>
      </c>
      <c r="L231" s="593" t="s">
        <v>1204</v>
      </c>
      <c r="M231" s="252"/>
      <c r="N231" s="252"/>
      <c r="O231" s="251"/>
      <c r="R231" s="250"/>
      <c r="S231" s="250"/>
      <c r="T231" s="250"/>
      <c r="U231" s="250"/>
    </row>
    <row r="232" spans="1:21" s="249" customFormat="1" ht="30">
      <c r="A232" s="588" t="s">
        <v>1016</v>
      </c>
      <c r="B232" s="589" t="s">
        <v>983</v>
      </c>
      <c r="C232" s="197" t="s">
        <v>1033</v>
      </c>
      <c r="D232" s="606">
        <v>1296</v>
      </c>
      <c r="E232" s="603"/>
      <c r="F232" s="604"/>
      <c r="G232" s="594">
        <v>2.86</v>
      </c>
      <c r="H232" s="601">
        <v>0.23980000000000001</v>
      </c>
      <c r="I232" s="596">
        <f t="shared" si="14"/>
        <v>3.54</v>
      </c>
      <c r="J232" s="596">
        <f t="shared" si="15"/>
        <v>4587.84</v>
      </c>
      <c r="K232" s="197" t="s">
        <v>1034</v>
      </c>
      <c r="L232" s="593" t="s">
        <v>1205</v>
      </c>
      <c r="M232" s="252"/>
      <c r="N232" s="252"/>
      <c r="O232" s="251"/>
      <c r="R232" s="250"/>
      <c r="S232" s="250"/>
      <c r="T232" s="250"/>
      <c r="U232" s="250"/>
    </row>
    <row r="233" spans="1:21" s="249" customFormat="1">
      <c r="A233" s="588" t="s">
        <v>1017</v>
      </c>
      <c r="B233" s="589" t="s">
        <v>984</v>
      </c>
      <c r="C233" s="197" t="s">
        <v>1029</v>
      </c>
      <c r="D233" s="606">
        <v>1</v>
      </c>
      <c r="E233" s="603"/>
      <c r="F233" s="604"/>
      <c r="G233" s="594">
        <v>3700</v>
      </c>
      <c r="H233" s="601">
        <v>0.23980000000000001</v>
      </c>
      <c r="I233" s="596">
        <f t="shared" si="14"/>
        <v>4587.26</v>
      </c>
      <c r="J233" s="596">
        <f t="shared" si="15"/>
        <v>4587.26</v>
      </c>
      <c r="K233" s="197" t="s">
        <v>1034</v>
      </c>
      <c r="L233" s="593" t="s">
        <v>1206</v>
      </c>
      <c r="M233" s="252"/>
      <c r="N233" s="252"/>
      <c r="O233" s="251"/>
      <c r="R233" s="250"/>
      <c r="S233" s="250"/>
      <c r="T233" s="250"/>
      <c r="U233" s="250"/>
    </row>
    <row r="234" spans="1:21" s="249" customFormat="1" ht="45">
      <c r="A234" s="588" t="s">
        <v>1018</v>
      </c>
      <c r="B234" s="589" t="s">
        <v>985</v>
      </c>
      <c r="C234" s="197" t="s">
        <v>1028</v>
      </c>
      <c r="D234" s="606">
        <v>430</v>
      </c>
      <c r="E234" s="603"/>
      <c r="F234" s="604"/>
      <c r="G234" s="594">
        <v>180.93</v>
      </c>
      <c r="H234" s="601">
        <v>0.23980000000000001</v>
      </c>
      <c r="I234" s="596">
        <f t="shared" si="14"/>
        <v>224.31</v>
      </c>
      <c r="J234" s="596">
        <f t="shared" si="15"/>
        <v>96453.3</v>
      </c>
      <c r="K234" s="197" t="s">
        <v>1034</v>
      </c>
      <c r="L234" s="593" t="s">
        <v>1207</v>
      </c>
      <c r="M234" s="252"/>
      <c r="N234" s="252"/>
      <c r="O234" s="251"/>
      <c r="R234" s="250"/>
      <c r="S234" s="250"/>
      <c r="T234" s="250"/>
      <c r="U234" s="250"/>
    </row>
    <row r="235" spans="1:21" s="249" customFormat="1">
      <c r="A235" s="588" t="s">
        <v>1019</v>
      </c>
      <c r="B235" s="589" t="s">
        <v>986</v>
      </c>
      <c r="C235" s="197" t="s">
        <v>1028</v>
      </c>
      <c r="D235" s="606">
        <v>432</v>
      </c>
      <c r="E235" s="603"/>
      <c r="F235" s="604"/>
      <c r="G235" s="594">
        <v>30</v>
      </c>
      <c r="H235" s="601">
        <v>0.23980000000000001</v>
      </c>
      <c r="I235" s="596">
        <f t="shared" si="14"/>
        <v>37.19</v>
      </c>
      <c r="J235" s="596">
        <f t="shared" si="15"/>
        <v>16066.08</v>
      </c>
      <c r="K235" s="197" t="s">
        <v>1034</v>
      </c>
      <c r="L235" s="593" t="s">
        <v>1208</v>
      </c>
      <c r="M235" s="252"/>
      <c r="N235" s="252"/>
      <c r="O235" s="251"/>
      <c r="R235" s="250"/>
      <c r="S235" s="250"/>
      <c r="T235" s="250"/>
      <c r="U235" s="250"/>
    </row>
    <row r="236" spans="1:21" s="249" customFormat="1">
      <c r="A236" s="616" t="s">
        <v>1020</v>
      </c>
      <c r="B236" s="617" t="s">
        <v>624</v>
      </c>
      <c r="C236" s="653"/>
      <c r="D236" s="654"/>
      <c r="E236" s="654"/>
      <c r="F236" s="654"/>
      <c r="G236" s="654"/>
      <c r="H236" s="654"/>
      <c r="I236" s="654"/>
      <c r="J236" s="654"/>
      <c r="K236" s="654"/>
      <c r="L236" s="655"/>
      <c r="M236" s="252"/>
      <c r="N236" s="252"/>
      <c r="O236" s="251"/>
      <c r="R236" s="250"/>
      <c r="S236" s="250"/>
      <c r="T236" s="250"/>
      <c r="U236" s="250"/>
    </row>
    <row r="237" spans="1:21" s="249" customFormat="1">
      <c r="A237" s="588" t="s">
        <v>1021</v>
      </c>
      <c r="B237" s="196" t="s">
        <v>987</v>
      </c>
      <c r="C237" s="197" t="s">
        <v>1029</v>
      </c>
      <c r="D237" s="606">
        <v>4</v>
      </c>
      <c r="E237" s="603"/>
      <c r="F237" s="604"/>
      <c r="G237" s="594">
        <v>15</v>
      </c>
      <c r="H237" s="601">
        <v>0.23980000000000001</v>
      </c>
      <c r="I237" s="596">
        <f t="shared" si="14"/>
        <v>18.59</v>
      </c>
      <c r="J237" s="596">
        <f t="shared" si="15"/>
        <v>74.36</v>
      </c>
      <c r="K237" s="197" t="s">
        <v>1036</v>
      </c>
      <c r="L237" s="593" t="s">
        <v>1209</v>
      </c>
      <c r="M237" s="252"/>
      <c r="N237" s="252"/>
      <c r="O237" s="251"/>
      <c r="R237" s="250"/>
      <c r="S237" s="250"/>
      <c r="T237" s="250"/>
      <c r="U237" s="250"/>
    </row>
    <row r="238" spans="1:21" s="249" customFormat="1">
      <c r="A238" s="588" t="s">
        <v>1022</v>
      </c>
      <c r="B238" s="196" t="s">
        <v>988</v>
      </c>
      <c r="C238" s="197" t="s">
        <v>1029</v>
      </c>
      <c r="D238" s="606">
        <v>4</v>
      </c>
      <c r="E238" s="603"/>
      <c r="F238" s="604"/>
      <c r="G238" s="594">
        <v>15</v>
      </c>
      <c r="H238" s="601">
        <v>0.23980000000000001</v>
      </c>
      <c r="I238" s="596">
        <f t="shared" ref="I238:I241" si="22">TRUNC(G238*(1+H238),2)</f>
        <v>18.59</v>
      </c>
      <c r="J238" s="596">
        <f t="shared" ref="J238:J241" si="23">TRUNC(D238*I238,2)</f>
        <v>74.36</v>
      </c>
      <c r="K238" s="197" t="s">
        <v>1036</v>
      </c>
      <c r="L238" s="593" t="s">
        <v>1210</v>
      </c>
      <c r="M238" s="252"/>
      <c r="N238" s="252"/>
      <c r="O238" s="251"/>
      <c r="R238" s="250"/>
      <c r="S238" s="250"/>
      <c r="T238" s="250"/>
      <c r="U238" s="250"/>
    </row>
    <row r="239" spans="1:21" s="249" customFormat="1">
      <c r="A239" s="588" t="s">
        <v>1023</v>
      </c>
      <c r="B239" s="196" t="s">
        <v>989</v>
      </c>
      <c r="C239" s="197" t="s">
        <v>1029</v>
      </c>
      <c r="D239" s="606">
        <v>4</v>
      </c>
      <c r="E239" s="603"/>
      <c r="F239" s="604"/>
      <c r="G239" s="594">
        <v>15</v>
      </c>
      <c r="H239" s="601">
        <v>0.23980000000000001</v>
      </c>
      <c r="I239" s="596">
        <f t="shared" si="22"/>
        <v>18.59</v>
      </c>
      <c r="J239" s="596">
        <f t="shared" si="23"/>
        <v>74.36</v>
      </c>
      <c r="K239" s="197" t="s">
        <v>1036</v>
      </c>
      <c r="L239" s="593" t="s">
        <v>1211</v>
      </c>
      <c r="M239" s="252"/>
      <c r="N239" s="252"/>
      <c r="O239" s="251"/>
      <c r="R239" s="250"/>
      <c r="S239" s="250"/>
      <c r="T239" s="250"/>
      <c r="U239" s="250"/>
    </row>
    <row r="240" spans="1:21" s="249" customFormat="1">
      <c r="A240" s="588" t="s">
        <v>1024</v>
      </c>
      <c r="B240" s="196" t="s">
        <v>990</v>
      </c>
      <c r="C240" s="197" t="s">
        <v>1029</v>
      </c>
      <c r="D240" s="606">
        <v>4</v>
      </c>
      <c r="E240" s="603"/>
      <c r="F240" s="604"/>
      <c r="G240" s="594">
        <v>15</v>
      </c>
      <c r="H240" s="601">
        <v>0.23980000000000001</v>
      </c>
      <c r="I240" s="596">
        <f t="shared" si="22"/>
        <v>18.59</v>
      </c>
      <c r="J240" s="596">
        <f t="shared" si="23"/>
        <v>74.36</v>
      </c>
      <c r="K240" s="197" t="s">
        <v>1036</v>
      </c>
      <c r="L240" s="593" t="s">
        <v>1212</v>
      </c>
      <c r="M240" s="252"/>
      <c r="N240" s="252"/>
      <c r="O240" s="251"/>
      <c r="R240" s="250"/>
      <c r="S240" s="250"/>
      <c r="T240" s="250"/>
      <c r="U240" s="250"/>
    </row>
    <row r="241" spans="1:21" s="249" customFormat="1">
      <c r="A241" s="588" t="s">
        <v>1025</v>
      </c>
      <c r="B241" s="196" t="s">
        <v>991</v>
      </c>
      <c r="C241" s="197" t="s">
        <v>1029</v>
      </c>
      <c r="D241" s="606">
        <v>4</v>
      </c>
      <c r="E241" s="603"/>
      <c r="F241" s="604"/>
      <c r="G241" s="594">
        <v>30</v>
      </c>
      <c r="H241" s="601">
        <v>0.23980000000000001</v>
      </c>
      <c r="I241" s="596">
        <f t="shared" si="22"/>
        <v>37.19</v>
      </c>
      <c r="J241" s="596">
        <f t="shared" si="23"/>
        <v>148.76</v>
      </c>
      <c r="K241" s="197" t="s">
        <v>1036</v>
      </c>
      <c r="L241" s="593" t="s">
        <v>1213</v>
      </c>
      <c r="M241" s="252"/>
      <c r="N241" s="252"/>
      <c r="O241" s="251"/>
      <c r="R241" s="250"/>
      <c r="S241" s="250"/>
      <c r="T241" s="250"/>
      <c r="U241" s="250"/>
    </row>
    <row r="242" spans="1:21" s="249" customFormat="1">
      <c r="A242" s="648"/>
      <c r="B242" s="648"/>
      <c r="C242" s="649"/>
      <c r="D242" s="649"/>
      <c r="E242" s="649"/>
      <c r="F242" s="649"/>
      <c r="G242" s="649"/>
      <c r="H242" s="649"/>
      <c r="I242" s="649"/>
      <c r="J242" s="631"/>
      <c r="K242" s="632"/>
      <c r="L242" s="633"/>
      <c r="M242" s="252"/>
      <c r="N242" s="252"/>
      <c r="O242" s="251"/>
      <c r="R242" s="250"/>
      <c r="S242" s="250"/>
      <c r="T242" s="250"/>
      <c r="U242" s="250"/>
    </row>
    <row r="243" spans="1:21">
      <c r="A243" s="362"/>
      <c r="B243" s="362" t="s">
        <v>564</v>
      </c>
      <c r="C243" s="362"/>
      <c r="D243" s="362"/>
      <c r="E243" s="362"/>
      <c r="F243" s="634"/>
      <c r="G243" s="362"/>
      <c r="H243" s="362"/>
      <c r="I243" s="362"/>
      <c r="J243" s="362"/>
      <c r="K243" s="634"/>
      <c r="L243" s="634"/>
      <c r="M243" s="75"/>
      <c r="N243" s="75"/>
    </row>
    <row r="244" spans="1:21">
      <c r="A244" s="362"/>
      <c r="B244" s="362" t="s">
        <v>565</v>
      </c>
      <c r="C244" s="362"/>
      <c r="D244" s="362"/>
      <c r="E244" s="362"/>
      <c r="F244" s="634"/>
      <c r="G244" s="362"/>
      <c r="H244" s="362"/>
      <c r="I244" s="362"/>
      <c r="J244" s="362"/>
      <c r="K244" s="634"/>
      <c r="L244" s="634"/>
      <c r="M244" s="75"/>
      <c r="N244" s="75"/>
    </row>
    <row r="245" spans="1:21">
      <c r="A245" s="362"/>
      <c r="B245" s="483" t="s">
        <v>1026</v>
      </c>
      <c r="C245" s="362"/>
      <c r="D245" s="362"/>
      <c r="E245" s="362"/>
      <c r="F245" s="634"/>
      <c r="G245" s="362"/>
      <c r="H245" s="362"/>
      <c r="I245" s="587" t="s">
        <v>17</v>
      </c>
      <c r="J245" s="595">
        <f>SUM(J10:J241)</f>
        <v>2866050.8899999969</v>
      </c>
      <c r="K245" s="624"/>
      <c r="L245" s="625"/>
      <c r="M245" s="75"/>
      <c r="N245" s="75"/>
    </row>
    <row r="246" spans="1:21">
      <c r="A246" s="362"/>
      <c r="B246" s="362"/>
      <c r="C246" s="362"/>
      <c r="D246" s="362"/>
      <c r="E246" s="362"/>
      <c r="F246" s="634"/>
      <c r="G246" s="362"/>
      <c r="H246" s="362"/>
      <c r="I246" s="362"/>
      <c r="J246" s="362"/>
      <c r="K246" s="634"/>
      <c r="L246" s="634"/>
      <c r="M246" s="75"/>
      <c r="N246" s="75"/>
    </row>
    <row r="248" spans="1:21">
      <c r="J248" s="84"/>
    </row>
    <row r="249" spans="1:21">
      <c r="I249" s="84"/>
      <c r="J249" s="105"/>
      <c r="K249" s="29"/>
      <c r="L249" s="30"/>
      <c r="M249" s="81"/>
      <c r="N249" s="81"/>
    </row>
    <row r="250" spans="1:21">
      <c r="J250" s="105"/>
      <c r="K250" s="31"/>
    </row>
  </sheetData>
  <sheetProtection algorithmName="SHA-512" hashValue="iOfEG+oPRYue4g687n1kgn4QktllNMJKNpfEzkZxmKG2FSMC5YJvs5iJ3nHuf0wZuyNf30eI54+FeEYf3iXHkw==" saltValue="Vm2R5Tlt9h4YE3Gjrx21lw==" spinCount="100000" sheet="1" objects="1" scenarios="1" selectLockedCells="1"/>
  <mergeCells count="52">
    <mergeCell ref="C223:L223"/>
    <mergeCell ref="C236:L236"/>
    <mergeCell ref="C230:L230"/>
    <mergeCell ref="C196:L196"/>
    <mergeCell ref="C194:L194"/>
    <mergeCell ref="C190:L190"/>
    <mergeCell ref="C177:L177"/>
    <mergeCell ref="C208:L208"/>
    <mergeCell ref="C132:L132"/>
    <mergeCell ref="C144:L144"/>
    <mergeCell ref="C157:L157"/>
    <mergeCell ref="C172:L172"/>
    <mergeCell ref="C148:L148"/>
    <mergeCell ref="C162:L162"/>
    <mergeCell ref="C171:L171"/>
    <mergeCell ref="C6:C7"/>
    <mergeCell ref="D6:D7"/>
    <mergeCell ref="C11:L11"/>
    <mergeCell ref="C22:L22"/>
    <mergeCell ref="C9:L9"/>
    <mergeCell ref="A242:I242"/>
    <mergeCell ref="C34:L34"/>
    <mergeCell ref="C40:L40"/>
    <mergeCell ref="C45:L45"/>
    <mergeCell ref="C50:L50"/>
    <mergeCell ref="C54:L54"/>
    <mergeCell ref="C61:L61"/>
    <mergeCell ref="C69:L69"/>
    <mergeCell ref="C72:L72"/>
    <mergeCell ref="C82:L82"/>
    <mergeCell ref="C88:L88"/>
    <mergeCell ref="C96:L96"/>
    <mergeCell ref="C101:L101"/>
    <mergeCell ref="C104:L104"/>
    <mergeCell ref="C111:L111"/>
    <mergeCell ref="C115:L115"/>
    <mergeCell ref="A1:M1"/>
    <mergeCell ref="C2:L2"/>
    <mergeCell ref="K6:K7"/>
    <mergeCell ref="L6:L7"/>
    <mergeCell ref="D5:G5"/>
    <mergeCell ref="C3:G3"/>
    <mergeCell ref="B4:I4"/>
    <mergeCell ref="H3:I3"/>
    <mergeCell ref="J3:L3"/>
    <mergeCell ref="J4:L4"/>
    <mergeCell ref="A6:A7"/>
    <mergeCell ref="A3:A4"/>
    <mergeCell ref="B6:B7"/>
    <mergeCell ref="G6:J6"/>
    <mergeCell ref="F6:F7"/>
    <mergeCell ref="E6:E7"/>
  </mergeCells>
  <phoneticPr fontId="12" type="noConversion"/>
  <conditionalFormatting sqref="B10">
    <cfRule type="beginsWith" dxfId="8" priority="7" operator="beginsWith" text="(">
      <formula>LEFT(B10,LEN("("))="("</formula>
    </cfRule>
  </conditionalFormatting>
  <conditionalFormatting sqref="B11">
    <cfRule type="beginsWith" dxfId="7" priority="4" operator="beginsWith" text="(">
      <formula>LEFT(B11,LEN("("))="("</formula>
    </cfRule>
  </conditionalFormatting>
  <conditionalFormatting sqref="B10">
    <cfRule type="expression" dxfId="6" priority="8" stopIfTrue="1">
      <formula>$C10=1</formula>
    </cfRule>
    <cfRule type="expression" dxfId="5" priority="9" stopIfTrue="1">
      <formula>OR($C10=0,$C10=2,$C10=3,$C10=4)</formula>
    </cfRule>
  </conditionalFormatting>
  <conditionalFormatting sqref="B11">
    <cfRule type="expression" dxfId="4" priority="5" stopIfTrue="1">
      <formula>$C11=1</formula>
    </cfRule>
    <cfRule type="expression" dxfId="3" priority="6" stopIfTrue="1">
      <formula>OR($C11=0,$C11=2,$C11=3,$C11=4)</formula>
    </cfRule>
  </conditionalFormatting>
  <conditionalFormatting sqref="B40">
    <cfRule type="beginsWith" dxfId="2" priority="1" operator="beginsWith" text="(">
      <formula>LEFT(B40,LEN("("))="("</formula>
    </cfRule>
  </conditionalFormatting>
  <conditionalFormatting sqref="B40">
    <cfRule type="expression" dxfId="1" priority="2" stopIfTrue="1">
      <formula>$C40=1</formula>
    </cfRule>
    <cfRule type="expression" dxfId="0" priority="3" stopIfTrue="1">
      <formula>OR($C40=0,$C40=2,$C40=3,$C40=4)</formula>
    </cfRule>
  </conditionalFormatting>
  <printOptions horizontalCentered="1"/>
  <pageMargins left="0.51181102362204722" right="0.51181102362204722" top="0.59055118110236227" bottom="0.39370078740157483" header="0.31496062992125984" footer="0.19685039370078741"/>
  <pageSetup paperSize="9" scale="55" orientation="landscape" horizontalDpi="300" verticalDpi="300" r:id="rId1"/>
  <headerFooter>
    <oddFooter>&amp;CEng° Darcio Pagani Vieira
Crea/SC - 077.222-9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showGridLines="0" view="pageBreakPreview" zoomScaleNormal="85" zoomScaleSheetLayoutView="100" workbookViewId="0">
      <selection activeCell="A10" sqref="A10:M10"/>
    </sheetView>
  </sheetViews>
  <sheetFormatPr defaultRowHeight="15"/>
  <cols>
    <col min="1" max="1" width="14.7109375" customWidth="1"/>
    <col min="2" max="2" width="43.140625" customWidth="1"/>
    <col min="3" max="3" width="19.28515625" customWidth="1"/>
    <col min="4" max="4" width="15" bestFit="1" customWidth="1"/>
    <col min="5" max="5" width="18.42578125" customWidth="1"/>
    <col min="6" max="6" width="16.28515625" bestFit="1" customWidth="1"/>
    <col min="7" max="7" width="11.5703125" customWidth="1"/>
    <col min="8" max="8" width="17.42578125" customWidth="1"/>
    <col min="9" max="9" width="9.140625" bestFit="1" customWidth="1"/>
  </cols>
  <sheetData>
    <row r="1" spans="1:9" ht="41.25" customHeight="1">
      <c r="A1" s="656"/>
      <c r="B1" s="659" t="s">
        <v>18</v>
      </c>
      <c r="C1" s="659"/>
      <c r="D1" s="659"/>
      <c r="E1" s="659"/>
      <c r="F1" s="659"/>
      <c r="G1" s="659"/>
      <c r="H1" s="659"/>
      <c r="I1" s="659"/>
    </row>
    <row r="2" spans="1:9">
      <c r="A2" s="657"/>
      <c r="B2" s="660" t="str">
        <f>PAVIM.!$G$2</f>
        <v>PREFEITURA MUNICIPAL DE MARACAJÁ</v>
      </c>
      <c r="C2" s="660"/>
      <c r="D2" s="660" t="str">
        <f>PAVIM.!$I$2</f>
        <v>BAIRRO: ESPIGÃO DA TOCA</v>
      </c>
      <c r="E2" s="660"/>
      <c r="F2" s="661" t="str">
        <f>PAVIM.!$K$2</f>
        <v>MUNICIPIO: MARACAJÁ</v>
      </c>
      <c r="G2" s="661"/>
      <c r="H2" s="660" t="str">
        <f>PAVIM.!$M$2</f>
        <v>ESTADO: SANTA CATARINA</v>
      </c>
      <c r="I2" s="660"/>
    </row>
    <row r="3" spans="1:9">
      <c r="A3" s="658"/>
      <c r="B3" s="664" t="str">
        <f>PAVIM.!$G$3</f>
        <v>RODOVIA ANGELINO ACORDI</v>
      </c>
      <c r="C3" s="665"/>
      <c r="D3" s="665"/>
      <c r="E3" s="665"/>
      <c r="F3" s="665"/>
      <c r="G3" s="666"/>
      <c r="H3" s="662" t="str">
        <f ca="1">PAVIM.!$M$3</f>
        <v>DATA: 08/10/26</v>
      </c>
      <c r="I3" s="663"/>
    </row>
    <row r="4" spans="1:9">
      <c r="A4" s="7"/>
      <c r="B4" s="8"/>
      <c r="C4" s="8"/>
      <c r="D4" s="8"/>
      <c r="E4" s="8"/>
      <c r="F4" s="8"/>
      <c r="G4" s="16"/>
      <c r="H4" s="9"/>
      <c r="I4" s="166"/>
    </row>
    <row r="5" spans="1:9">
      <c r="A5" s="640" t="s">
        <v>1</v>
      </c>
      <c r="B5" s="640" t="s">
        <v>2</v>
      </c>
      <c r="C5" s="640" t="s">
        <v>3</v>
      </c>
      <c r="D5" s="640" t="s">
        <v>4</v>
      </c>
      <c r="E5" s="640" t="s">
        <v>566</v>
      </c>
      <c r="F5" s="640" t="s">
        <v>450</v>
      </c>
      <c r="G5" s="641" t="s">
        <v>19</v>
      </c>
      <c r="H5" s="640" t="s">
        <v>8</v>
      </c>
      <c r="I5" s="640" t="s">
        <v>20</v>
      </c>
    </row>
    <row r="6" spans="1:9" ht="15.75" customHeight="1">
      <c r="A6" s="640"/>
      <c r="B6" s="640"/>
      <c r="C6" s="640"/>
      <c r="D6" s="640"/>
      <c r="E6" s="640"/>
      <c r="F6" s="640"/>
      <c r="G6" s="641"/>
      <c r="H6" s="640"/>
      <c r="I6" s="640"/>
    </row>
    <row r="7" spans="1:9">
      <c r="A7" s="394" t="str">
        <f>ORÇAMENTO!A9</f>
        <v>1.1.</v>
      </c>
      <c r="B7" s="395" t="str">
        <f>ORÇAMENTO!B9</f>
        <v>ADMINISTRAÇÃO LOCAL</v>
      </c>
      <c r="C7" s="396"/>
      <c r="D7" s="396"/>
      <c r="E7" s="405"/>
      <c r="F7" s="397">
        <f>ORÇAMENTO!J9</f>
        <v>0</v>
      </c>
      <c r="G7" s="397"/>
      <c r="H7" s="398">
        <f>E7+F7</f>
        <v>0</v>
      </c>
      <c r="I7" s="433">
        <f>H7/$H$31</f>
        <v>0</v>
      </c>
    </row>
    <row r="8" spans="1:9">
      <c r="A8" s="399" t="str">
        <f>ORÇAMENTO!A11</f>
        <v>1.2.</v>
      </c>
      <c r="B8" s="400" t="str">
        <f>ORÇAMENTO!B11</f>
        <v>SERVIÇOS PRELIMINARES</v>
      </c>
      <c r="C8" s="401"/>
      <c r="D8" s="401"/>
      <c r="E8" s="405"/>
      <c r="F8" s="402">
        <f>ORÇAMENTO!J11</f>
        <v>0</v>
      </c>
      <c r="G8" s="402"/>
      <c r="H8" s="403">
        <f>SUM(E8:F8)</f>
        <v>0</v>
      </c>
      <c r="I8" s="434">
        <f>H8/$H$31</f>
        <v>0</v>
      </c>
    </row>
    <row r="9" spans="1:9">
      <c r="A9" s="399" t="str">
        <f>ORÇAMENTO!A22</f>
        <v>1.3.</v>
      </c>
      <c r="B9" s="400" t="str">
        <f>ORÇAMENTO!B22</f>
        <v>CERCAMENTO</v>
      </c>
      <c r="C9" s="401"/>
      <c r="D9" s="401"/>
      <c r="E9" s="405"/>
      <c r="F9" s="404">
        <f>ORÇAMENTO!J22</f>
        <v>0</v>
      </c>
      <c r="G9" s="404"/>
      <c r="H9" s="403">
        <f>E9+F9</f>
        <v>0</v>
      </c>
      <c r="I9" s="434">
        <f>H9/$H$31</f>
        <v>0</v>
      </c>
    </row>
    <row r="10" spans="1:9">
      <c r="A10" s="399" t="str">
        <f>ORÇAMENTO!A34</f>
        <v>1.4.</v>
      </c>
      <c r="B10" s="400" t="str">
        <f>ORÇAMENTO!B34</f>
        <v>PISTA DE CAMINHADA E CICLOVIA</v>
      </c>
      <c r="C10" s="401"/>
      <c r="D10" s="405"/>
      <c r="E10" s="405"/>
      <c r="F10" s="404">
        <f>ORÇAMENTO!J34</f>
        <v>0</v>
      </c>
      <c r="G10" s="404"/>
      <c r="H10" s="403">
        <f>SUM(E10:F10)</f>
        <v>0</v>
      </c>
      <c r="I10" s="434">
        <f>H10/$H$31</f>
        <v>0</v>
      </c>
    </row>
    <row r="11" spans="1:9" ht="45">
      <c r="A11" s="399" t="str">
        <f>ORÇAMENTO!A53</f>
        <v>1.7.0.3.</v>
      </c>
      <c r="B11" s="406" t="str">
        <f>ORÇAMENTO!B53</f>
        <v>PLANTIO DE GRAMA ESMERALDA OU SÃO CARLOS OU CURITIBANA, EM PLACAS. AF_07/2024</v>
      </c>
      <c r="C11" s="401"/>
      <c r="D11" s="405"/>
      <c r="E11" s="405"/>
      <c r="F11" s="404">
        <f>ORÇAMENTO!J53</f>
        <v>87900</v>
      </c>
      <c r="G11" s="404"/>
      <c r="H11" s="403">
        <f>SUM(E11:F11)</f>
        <v>87900</v>
      </c>
      <c r="I11" s="434">
        <f>H11/$H$31</f>
        <v>1</v>
      </c>
    </row>
    <row r="12" spans="1:9">
      <c r="A12" s="399"/>
      <c r="B12" s="401"/>
      <c r="C12" s="401"/>
      <c r="D12" s="401"/>
      <c r="E12" s="401"/>
      <c r="F12" s="407"/>
      <c r="G12" s="404"/>
      <c r="H12" s="408"/>
      <c r="I12" s="409"/>
    </row>
    <row r="13" spans="1:9">
      <c r="A13" s="399"/>
      <c r="B13" s="410"/>
      <c r="C13" s="401"/>
      <c r="D13" s="405"/>
      <c r="E13" s="404"/>
      <c r="F13" s="407"/>
      <c r="G13" s="404"/>
      <c r="H13" s="408"/>
      <c r="I13" s="411"/>
    </row>
    <row r="14" spans="1:9">
      <c r="A14" s="399"/>
      <c r="B14" s="410"/>
      <c r="C14" s="401"/>
      <c r="D14" s="405"/>
      <c r="E14" s="404"/>
      <c r="F14" s="407"/>
      <c r="G14" s="404"/>
      <c r="H14" s="408"/>
      <c r="I14" s="411"/>
    </row>
    <row r="15" spans="1:9">
      <c r="A15" s="399"/>
      <c r="B15" s="410"/>
      <c r="C15" s="401"/>
      <c r="D15" s="405"/>
      <c r="E15" s="404"/>
      <c r="F15" s="407"/>
      <c r="G15" s="404"/>
      <c r="H15" s="408"/>
      <c r="I15" s="411"/>
    </row>
    <row r="16" spans="1:9">
      <c r="A16" s="399"/>
      <c r="B16" s="410"/>
      <c r="C16" s="401"/>
      <c r="D16" s="405"/>
      <c r="E16" s="404"/>
      <c r="F16" s="407"/>
      <c r="G16" s="404"/>
      <c r="H16" s="408"/>
      <c r="I16" s="411"/>
    </row>
    <row r="17" spans="1:9">
      <c r="A17" s="399"/>
      <c r="B17" s="410"/>
      <c r="C17" s="401"/>
      <c r="D17" s="405"/>
      <c r="E17" s="404"/>
      <c r="F17" s="407"/>
      <c r="G17" s="404"/>
      <c r="H17" s="408"/>
      <c r="I17" s="411"/>
    </row>
    <row r="18" spans="1:9">
      <c r="A18" s="399"/>
      <c r="B18" s="410"/>
      <c r="C18" s="401"/>
      <c r="D18" s="405"/>
      <c r="E18" s="404"/>
      <c r="F18" s="407"/>
      <c r="G18" s="404"/>
      <c r="H18" s="408"/>
      <c r="I18" s="411"/>
    </row>
    <row r="19" spans="1:9">
      <c r="A19" s="399"/>
      <c r="B19" s="410"/>
      <c r="C19" s="401"/>
      <c r="D19" s="405"/>
      <c r="E19" s="404"/>
      <c r="F19" s="407"/>
      <c r="G19" s="404"/>
      <c r="H19" s="408"/>
      <c r="I19" s="411"/>
    </row>
    <row r="20" spans="1:9">
      <c r="A20" s="399"/>
      <c r="B20" s="410"/>
      <c r="C20" s="401"/>
      <c r="D20" s="405"/>
      <c r="E20" s="404"/>
      <c r="F20" s="407"/>
      <c r="G20" s="404"/>
      <c r="H20" s="408"/>
      <c r="I20" s="411"/>
    </row>
    <row r="21" spans="1:9">
      <c r="A21" s="399"/>
      <c r="B21" s="410"/>
      <c r="C21" s="401"/>
      <c r="D21" s="401"/>
      <c r="E21" s="401"/>
      <c r="F21" s="401"/>
      <c r="G21" s="402"/>
      <c r="H21" s="408"/>
      <c r="I21" s="409"/>
    </row>
    <row r="22" spans="1:9">
      <c r="A22" s="399"/>
      <c r="B22" s="410"/>
      <c r="C22" s="401"/>
      <c r="D22" s="405"/>
      <c r="E22" s="404"/>
      <c r="F22" s="407"/>
      <c r="G22" s="404"/>
      <c r="H22" s="408"/>
      <c r="I22" s="412"/>
    </row>
    <row r="23" spans="1:9">
      <c r="A23" s="399"/>
      <c r="B23" s="410"/>
      <c r="C23" s="401"/>
      <c r="D23" s="405"/>
      <c r="E23" s="404"/>
      <c r="F23" s="407"/>
      <c r="G23" s="404"/>
      <c r="H23" s="408"/>
      <c r="I23" s="411"/>
    </row>
    <row r="24" spans="1:9">
      <c r="A24" s="399"/>
      <c r="B24" s="401"/>
      <c r="C24" s="401"/>
      <c r="D24" s="405"/>
      <c r="E24" s="404"/>
      <c r="F24" s="407"/>
      <c r="G24" s="404"/>
      <c r="H24" s="413"/>
      <c r="I24" s="412"/>
    </row>
    <row r="25" spans="1:9">
      <c r="A25" s="399"/>
      <c r="B25" s="410"/>
      <c r="C25" s="401"/>
      <c r="D25" s="405"/>
      <c r="E25" s="404"/>
      <c r="F25" s="407"/>
      <c r="G25" s="404"/>
      <c r="H25" s="408"/>
      <c r="I25" s="412"/>
    </row>
    <row r="26" spans="1:9">
      <c r="A26" s="399"/>
      <c r="B26" s="410"/>
      <c r="C26" s="401"/>
      <c r="D26" s="405"/>
      <c r="E26" s="404"/>
      <c r="F26" s="407"/>
      <c r="G26" s="404"/>
      <c r="H26" s="408"/>
      <c r="I26" s="412"/>
    </row>
    <row r="27" spans="1:9">
      <c r="A27" s="399"/>
      <c r="B27" s="410"/>
      <c r="C27" s="401"/>
      <c r="D27" s="405"/>
      <c r="E27" s="404"/>
      <c r="F27" s="407"/>
      <c r="G27" s="404"/>
      <c r="H27" s="408"/>
      <c r="I27" s="411"/>
    </row>
    <row r="28" spans="1:9">
      <c r="A28" s="399"/>
      <c r="B28" s="410"/>
      <c r="C28" s="401"/>
      <c r="D28" s="401"/>
      <c r="E28" s="401"/>
      <c r="F28" s="401"/>
      <c r="G28" s="402"/>
      <c r="H28" s="408"/>
      <c r="I28" s="409"/>
    </row>
    <row r="29" spans="1:9">
      <c r="A29" s="399"/>
      <c r="B29" s="410"/>
      <c r="C29" s="401"/>
      <c r="D29" s="405"/>
      <c r="E29" s="404"/>
      <c r="F29" s="407"/>
      <c r="G29" s="404"/>
      <c r="H29" s="408"/>
      <c r="I29" s="414"/>
    </row>
    <row r="30" spans="1:9">
      <c r="A30" s="399"/>
      <c r="B30" s="410"/>
      <c r="C30" s="401"/>
      <c r="D30" s="405"/>
      <c r="E30" s="404"/>
      <c r="F30" s="407"/>
      <c r="G30" s="404"/>
      <c r="H30" s="413"/>
      <c r="I30" s="415"/>
    </row>
    <row r="31" spans="1:9">
      <c r="A31" s="416"/>
      <c r="B31" s="417"/>
      <c r="C31" s="418"/>
      <c r="D31" s="419"/>
      <c r="E31" s="435">
        <f>SUM(E7:E30)</f>
        <v>0</v>
      </c>
      <c r="F31" s="420">
        <f>SUM(F7:F30)</f>
        <v>87900</v>
      </c>
      <c r="G31" s="420"/>
      <c r="H31" s="420">
        <f>SUM(H7:H30)</f>
        <v>87900</v>
      </c>
      <c r="I31" s="436">
        <f>SUM(I7:I30)</f>
        <v>1</v>
      </c>
    </row>
    <row r="32" spans="1:9">
      <c r="A32" s="339"/>
      <c r="B32" s="14"/>
      <c r="C32" s="14"/>
      <c r="D32" s="14"/>
      <c r="E32" s="14"/>
      <c r="F32" s="14"/>
      <c r="G32" s="14"/>
      <c r="H32" s="339"/>
      <c r="I32" s="339"/>
    </row>
    <row r="33" spans="1:9">
      <c r="A33" s="8"/>
      <c r="B33" s="8"/>
      <c r="C33" s="8"/>
      <c r="D33" s="8"/>
      <c r="E33" s="8"/>
      <c r="F33" s="8"/>
      <c r="G33" s="8"/>
      <c r="H33" s="9"/>
      <c r="I33" s="9"/>
    </row>
    <row r="34" spans="1:9">
      <c r="A34" s="8"/>
      <c r="B34" s="8"/>
      <c r="C34" s="8"/>
      <c r="D34" s="8"/>
      <c r="E34" s="8"/>
      <c r="F34" s="8"/>
      <c r="G34" s="8"/>
      <c r="H34" s="9"/>
      <c r="I34" s="9"/>
    </row>
    <row r="35" spans="1:9">
      <c r="A35" s="8"/>
      <c r="B35" s="8"/>
      <c r="C35" s="8"/>
      <c r="D35" s="8"/>
      <c r="E35" s="8"/>
      <c r="F35" s="8"/>
      <c r="G35" s="8"/>
      <c r="H35" s="9"/>
      <c r="I35" s="9"/>
    </row>
    <row r="36" spans="1:9">
      <c r="A36" s="8"/>
      <c r="B36" s="8"/>
      <c r="C36" s="8"/>
      <c r="D36" s="8"/>
      <c r="E36" s="8"/>
      <c r="F36" s="8"/>
      <c r="G36" s="8"/>
      <c r="H36" s="9"/>
      <c r="I36" s="9"/>
    </row>
    <row r="37" spans="1:9">
      <c r="A37" s="8"/>
      <c r="B37" s="8"/>
      <c r="C37" s="8"/>
      <c r="D37" s="8"/>
      <c r="E37" s="8"/>
      <c r="F37" s="8"/>
      <c r="G37" s="8"/>
      <c r="H37" s="9"/>
      <c r="I37" s="9"/>
    </row>
    <row r="38" spans="1:9">
      <c r="A38" s="8"/>
      <c r="B38" s="15"/>
      <c r="C38" s="8"/>
      <c r="D38" s="8"/>
      <c r="E38" s="8"/>
      <c r="F38" s="8"/>
      <c r="G38" s="8"/>
      <c r="H38" s="9"/>
      <c r="I38" s="9"/>
    </row>
    <row r="39" spans="1:9">
      <c r="A39" s="8"/>
      <c r="B39" s="8"/>
      <c r="C39" s="8"/>
      <c r="D39" s="8"/>
      <c r="E39" s="8"/>
      <c r="F39" s="8"/>
      <c r="G39" s="8"/>
      <c r="H39" s="9"/>
      <c r="I39" s="9"/>
    </row>
    <row r="50" spans="1:9">
      <c r="A50" s="249"/>
      <c r="B50" s="249"/>
      <c r="C50" s="249"/>
      <c r="D50" s="249"/>
      <c r="E50" s="249"/>
      <c r="F50" s="249"/>
      <c r="G50" s="249"/>
      <c r="H50" s="249"/>
      <c r="I50" s="249"/>
    </row>
    <row r="51" spans="1:9" s="249" customFormat="1">
      <c r="A51"/>
      <c r="B51"/>
      <c r="C51"/>
      <c r="D51"/>
      <c r="E51"/>
      <c r="F51"/>
      <c r="G51"/>
      <c r="H51"/>
      <c r="I51"/>
    </row>
  </sheetData>
  <mergeCells count="17">
    <mergeCell ref="F5:F6"/>
    <mergeCell ref="A1:A3"/>
    <mergeCell ref="A5:A6"/>
    <mergeCell ref="B5:B6"/>
    <mergeCell ref="C5:C6"/>
    <mergeCell ref="D5:D6"/>
    <mergeCell ref="B1:I1"/>
    <mergeCell ref="B2:C2"/>
    <mergeCell ref="D2:E2"/>
    <mergeCell ref="F2:G2"/>
    <mergeCell ref="H2:I2"/>
    <mergeCell ref="H3:I3"/>
    <mergeCell ref="B3:G3"/>
    <mergeCell ref="H5:H6"/>
    <mergeCell ref="I5:I6"/>
    <mergeCell ref="E5:E6"/>
    <mergeCell ref="G5:G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4" orientation="landscape" r:id="rId1"/>
  <headerFooter>
    <oddFooter>&amp;CEng° Darcio Pagani Vieira
Crea/SC - 077.222-9</oddFooter>
  </headerFooter>
  <ignoredErrors>
    <ignoredError sqref="H7:H9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showGridLines="0" view="pageBreakPreview" zoomScale="85" zoomScaleNormal="85" zoomScaleSheetLayoutView="85" workbookViewId="0">
      <selection activeCell="A10" sqref="A10:M10"/>
    </sheetView>
  </sheetViews>
  <sheetFormatPr defaultRowHeight="15"/>
  <cols>
    <col min="1" max="1" width="14.85546875" style="249" customWidth="1"/>
    <col min="2" max="2" width="9.7109375" style="249" bestFit="1" customWidth="1"/>
    <col min="3" max="3" width="8.85546875" style="249" bestFit="1" customWidth="1"/>
    <col min="4" max="4" width="9.7109375" style="249" bestFit="1" customWidth="1"/>
    <col min="5" max="5" width="8.85546875" style="249" bestFit="1" customWidth="1"/>
    <col min="6" max="6" width="9.7109375" style="249" bestFit="1" customWidth="1"/>
    <col min="7" max="7" width="8.85546875" style="249" bestFit="1" customWidth="1"/>
    <col min="8" max="8" width="9.7109375" style="249" bestFit="1" customWidth="1"/>
    <col min="9" max="9" width="8.85546875" style="249" bestFit="1" customWidth="1"/>
    <col min="10" max="10" width="9.7109375" style="249" customWidth="1"/>
    <col min="11" max="11" width="8.85546875" style="249" bestFit="1" customWidth="1"/>
    <col min="12" max="12" width="9.7109375" style="249" bestFit="1" customWidth="1"/>
    <col min="13" max="13" width="8.85546875" style="249" bestFit="1" customWidth="1"/>
    <col min="14" max="14" width="9.7109375" style="249" bestFit="1" customWidth="1"/>
    <col min="15" max="15" width="8.85546875" style="249" bestFit="1" customWidth="1"/>
    <col min="16" max="16" width="9.7109375" style="249" bestFit="1" customWidth="1"/>
    <col min="17" max="17" width="8.85546875" style="249" bestFit="1" customWidth="1"/>
    <col min="18" max="18" width="9.7109375" style="249" bestFit="1" customWidth="1"/>
    <col min="19" max="19" width="8.85546875" style="249" bestFit="1" customWidth="1"/>
    <col min="20" max="20" width="9.7109375" style="249" customWidth="1"/>
    <col min="21" max="21" width="8.85546875" style="249" bestFit="1" customWidth="1"/>
    <col min="22" max="22" width="9.7109375" style="249" bestFit="1" customWidth="1"/>
    <col min="23" max="23" width="8.85546875" style="249" bestFit="1" customWidth="1"/>
    <col min="24" max="24" width="9.7109375" style="249" bestFit="1" customWidth="1"/>
    <col min="25" max="25" width="8.85546875" style="249" bestFit="1" customWidth="1"/>
    <col min="26" max="16384" width="9.140625" style="249"/>
  </cols>
  <sheetData>
    <row r="1" spans="1:25" ht="41.25" customHeight="1">
      <c r="A1" s="659"/>
      <c r="B1" s="673" t="s">
        <v>457</v>
      </c>
      <c r="C1" s="674"/>
      <c r="D1" s="674"/>
      <c r="E1" s="674"/>
      <c r="F1" s="674"/>
      <c r="G1" s="674"/>
      <c r="H1" s="674"/>
      <c r="I1" s="674"/>
      <c r="J1" s="674"/>
      <c r="K1" s="674"/>
      <c r="L1" s="674"/>
      <c r="M1" s="674"/>
      <c r="N1" s="674"/>
      <c r="O1" s="674"/>
      <c r="P1" s="674"/>
      <c r="Q1" s="674"/>
      <c r="R1" s="674"/>
      <c r="S1" s="674"/>
      <c r="T1" s="674"/>
      <c r="U1" s="674"/>
      <c r="V1" s="674"/>
      <c r="W1" s="674"/>
      <c r="X1" s="674"/>
      <c r="Y1" s="675"/>
    </row>
    <row r="2" spans="1:25">
      <c r="A2" s="659"/>
      <c r="B2" s="660" t="str">
        <f>PAVIM.!$G$2</f>
        <v>PREFEITURA MUNICIPAL DE MARACAJÁ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 t="str">
        <f>PAVIM.!$I$2</f>
        <v>BAIRRO: ESPIGÃO DA TOCA</v>
      </c>
      <c r="O2" s="660"/>
      <c r="P2" s="660"/>
      <c r="Q2" s="660"/>
      <c r="R2" s="682" t="str">
        <f>PAVIM.!$K$2</f>
        <v>MUNICIPIO: MARACAJÁ</v>
      </c>
      <c r="S2" s="683"/>
      <c r="T2" s="683"/>
      <c r="U2" s="684"/>
      <c r="V2" s="660" t="str">
        <f>PAVIM.!$M$2</f>
        <v>ESTADO: SANTA CATARINA</v>
      </c>
      <c r="W2" s="660"/>
      <c r="X2" s="660"/>
      <c r="Y2" s="660"/>
    </row>
    <row r="3" spans="1:25">
      <c r="A3" s="659"/>
      <c r="B3" s="660" t="str">
        <f>PAVIM.!$G$3</f>
        <v>RODOVIA ANGELINO ACORDI</v>
      </c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7" t="str">
        <f ca="1">PAVIM.!$M$3</f>
        <v>DATA: 08/10/26</v>
      </c>
      <c r="W3" s="667"/>
      <c r="X3" s="667"/>
      <c r="Y3" s="667"/>
    </row>
    <row r="4" spans="1:25" ht="15" customHeight="1">
      <c r="A4" s="10"/>
      <c r="B4" s="11"/>
      <c r="C4" s="11"/>
      <c r="D4" s="11"/>
      <c r="E4" s="11"/>
      <c r="F4" s="11"/>
      <c r="G4" s="12"/>
      <c r="H4" s="13"/>
      <c r="I4" s="13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25"/>
    </row>
    <row r="5" spans="1:25" ht="15.75" customHeight="1">
      <c r="A5" s="668" t="s">
        <v>24</v>
      </c>
      <c r="B5" s="670" t="s">
        <v>21</v>
      </c>
      <c r="C5" s="670"/>
      <c r="D5" s="671" t="s">
        <v>25</v>
      </c>
      <c r="E5" s="672"/>
      <c r="F5" s="671" t="s">
        <v>26</v>
      </c>
      <c r="G5" s="672"/>
      <c r="H5" s="670" t="s">
        <v>27</v>
      </c>
      <c r="I5" s="670"/>
      <c r="J5" s="671" t="s">
        <v>28</v>
      </c>
      <c r="K5" s="672"/>
      <c r="L5" s="671" t="s">
        <v>29</v>
      </c>
      <c r="M5" s="672"/>
      <c r="N5" s="670" t="s">
        <v>30</v>
      </c>
      <c r="O5" s="670"/>
      <c r="P5" s="671" t="s">
        <v>31</v>
      </c>
      <c r="Q5" s="672"/>
      <c r="R5" s="671" t="s">
        <v>32</v>
      </c>
      <c r="S5" s="672"/>
      <c r="T5" s="670" t="s">
        <v>33</v>
      </c>
      <c r="U5" s="670"/>
      <c r="V5" s="671" t="s">
        <v>34</v>
      </c>
      <c r="W5" s="672"/>
      <c r="X5" s="671" t="s">
        <v>35</v>
      </c>
      <c r="Y5" s="672"/>
    </row>
    <row r="6" spans="1:25">
      <c r="A6" s="669"/>
      <c r="B6" s="437" t="s">
        <v>22</v>
      </c>
      <c r="C6" s="437" t="s">
        <v>23</v>
      </c>
      <c r="D6" s="437" t="s">
        <v>22</v>
      </c>
      <c r="E6" s="437" t="s">
        <v>23</v>
      </c>
      <c r="F6" s="437" t="s">
        <v>22</v>
      </c>
      <c r="G6" s="437" t="s">
        <v>23</v>
      </c>
      <c r="H6" s="437" t="s">
        <v>22</v>
      </c>
      <c r="I6" s="437" t="s">
        <v>23</v>
      </c>
      <c r="J6" s="437" t="s">
        <v>22</v>
      </c>
      <c r="K6" s="437" t="s">
        <v>23</v>
      </c>
      <c r="L6" s="437" t="s">
        <v>22</v>
      </c>
      <c r="M6" s="437" t="s">
        <v>23</v>
      </c>
      <c r="N6" s="437" t="s">
        <v>22</v>
      </c>
      <c r="O6" s="437" t="s">
        <v>23</v>
      </c>
      <c r="P6" s="437" t="s">
        <v>22</v>
      </c>
      <c r="Q6" s="437" t="s">
        <v>23</v>
      </c>
      <c r="R6" s="437" t="s">
        <v>22</v>
      </c>
      <c r="S6" s="437" t="s">
        <v>23</v>
      </c>
      <c r="T6" s="437" t="s">
        <v>22</v>
      </c>
      <c r="U6" s="437" t="s">
        <v>23</v>
      </c>
      <c r="V6" s="437" t="s">
        <v>22</v>
      </c>
      <c r="W6" s="437" t="s">
        <v>23</v>
      </c>
      <c r="X6" s="437" t="s">
        <v>22</v>
      </c>
      <c r="Y6" s="437" t="s">
        <v>23</v>
      </c>
    </row>
    <row r="7" spans="1:25">
      <c r="A7" s="20" t="str">
        <f>IF(QCI!A7="","",QCI!A7)</f>
        <v>1.1.</v>
      </c>
      <c r="B7" s="438">
        <v>1</v>
      </c>
      <c r="C7" s="439">
        <f>B7</f>
        <v>1</v>
      </c>
      <c r="D7" s="438">
        <v>0</v>
      </c>
      <c r="E7" s="439">
        <f>B7+D7</f>
        <v>1</v>
      </c>
      <c r="F7" s="438">
        <v>0</v>
      </c>
      <c r="G7" s="439">
        <f>F7+D7+B7</f>
        <v>1</v>
      </c>
      <c r="H7" s="438">
        <v>0</v>
      </c>
      <c r="I7" s="439">
        <f>H7+F7+D7+B7</f>
        <v>1</v>
      </c>
      <c r="J7" s="438">
        <v>0</v>
      </c>
      <c r="K7" s="439">
        <f>J7+H7+F7+D7+B7</f>
        <v>1</v>
      </c>
      <c r="L7" s="438"/>
      <c r="M7" s="439"/>
      <c r="N7" s="88"/>
      <c r="O7" s="19"/>
      <c r="P7" s="88"/>
      <c r="Q7" s="19"/>
      <c r="R7" s="88"/>
      <c r="S7" s="19"/>
      <c r="T7" s="88"/>
      <c r="U7" s="19"/>
      <c r="V7" s="88"/>
      <c r="W7" s="19"/>
      <c r="X7" s="88"/>
      <c r="Y7" s="19"/>
    </row>
    <row r="8" spans="1:25">
      <c r="A8" s="20" t="str">
        <f>IF(QCI!A8="","",QCI!A8)</f>
        <v>1.2.</v>
      </c>
      <c r="B8" s="438">
        <v>0.5</v>
      </c>
      <c r="C8" s="439">
        <f>B8</f>
        <v>0.5</v>
      </c>
      <c r="D8" s="438">
        <v>0.5</v>
      </c>
      <c r="E8" s="439">
        <f>B8+D8</f>
        <v>1</v>
      </c>
      <c r="F8" s="438">
        <v>0</v>
      </c>
      <c r="G8" s="439">
        <f>F8+D8+B8</f>
        <v>1</v>
      </c>
      <c r="H8" s="438">
        <v>0</v>
      </c>
      <c r="I8" s="439">
        <f t="shared" ref="I8:I11" si="0">H8+F8+D8+B8</f>
        <v>1</v>
      </c>
      <c r="J8" s="438">
        <v>0</v>
      </c>
      <c r="K8" s="439">
        <f t="shared" ref="K8:K11" si="1">J8+H8+F8+D8+B8</f>
        <v>1</v>
      </c>
      <c r="L8" s="438"/>
      <c r="M8" s="439"/>
      <c r="N8" s="88"/>
      <c r="O8" s="21"/>
      <c r="P8" s="88"/>
      <c r="Q8" s="21"/>
      <c r="R8" s="88"/>
      <c r="S8" s="21"/>
      <c r="T8" s="88"/>
      <c r="U8" s="21"/>
      <c r="V8" s="88"/>
      <c r="W8" s="21"/>
      <c r="X8" s="88"/>
      <c r="Y8" s="21"/>
    </row>
    <row r="9" spans="1:25">
      <c r="A9" s="20" t="str">
        <f>IF(QCI!A9="","",QCI!A9)</f>
        <v>1.3.</v>
      </c>
      <c r="B9" s="438">
        <v>0.1</v>
      </c>
      <c r="C9" s="439">
        <f>B9</f>
        <v>0.1</v>
      </c>
      <c r="D9" s="438">
        <v>0.25</v>
      </c>
      <c r="E9" s="439">
        <f>B9+D9</f>
        <v>0.35</v>
      </c>
      <c r="F9" s="438">
        <v>0.3</v>
      </c>
      <c r="G9" s="439">
        <f>F9+D9+B9</f>
        <v>0.65</v>
      </c>
      <c r="H9" s="438">
        <v>0.25</v>
      </c>
      <c r="I9" s="439">
        <f t="shared" si="0"/>
        <v>0.9</v>
      </c>
      <c r="J9" s="438">
        <v>0.1</v>
      </c>
      <c r="K9" s="439">
        <f t="shared" si="1"/>
        <v>0.99999999999999989</v>
      </c>
      <c r="L9" s="438"/>
      <c r="M9" s="439"/>
      <c r="N9" s="88"/>
      <c r="O9" s="21"/>
      <c r="P9" s="88"/>
      <c r="Q9" s="21"/>
      <c r="R9" s="88"/>
      <c r="S9" s="21"/>
      <c r="T9" s="88"/>
      <c r="U9" s="21"/>
      <c r="V9" s="88"/>
      <c r="W9" s="21"/>
      <c r="X9" s="88"/>
      <c r="Y9" s="21"/>
    </row>
    <row r="10" spans="1:25">
      <c r="A10" s="20" t="str">
        <f>IF(QCI!A10="","",QCI!A10)</f>
        <v>1.4.</v>
      </c>
      <c r="B10" s="438">
        <v>0.1</v>
      </c>
      <c r="C10" s="439">
        <f>B10</f>
        <v>0.1</v>
      </c>
      <c r="D10" s="438">
        <v>0.25</v>
      </c>
      <c r="E10" s="439">
        <f>B10+D10</f>
        <v>0.35</v>
      </c>
      <c r="F10" s="438">
        <v>0.3</v>
      </c>
      <c r="G10" s="439">
        <f>F10+D10+B10</f>
        <v>0.65</v>
      </c>
      <c r="H10" s="438">
        <v>0.25</v>
      </c>
      <c r="I10" s="439">
        <f t="shared" si="0"/>
        <v>0.9</v>
      </c>
      <c r="J10" s="438">
        <v>0.1</v>
      </c>
      <c r="K10" s="439">
        <f t="shared" si="1"/>
        <v>0.99999999999999989</v>
      </c>
      <c r="L10" s="438"/>
      <c r="M10" s="439"/>
      <c r="N10" s="88"/>
      <c r="O10" s="21"/>
      <c r="P10" s="88"/>
      <c r="Q10" s="21"/>
      <c r="R10" s="88"/>
      <c r="S10" s="21"/>
      <c r="T10" s="88"/>
      <c r="U10" s="21"/>
      <c r="V10" s="88"/>
      <c r="W10" s="21"/>
      <c r="X10" s="88"/>
      <c r="Y10" s="21"/>
    </row>
    <row r="11" spans="1:25">
      <c r="A11" s="20" t="str">
        <f>IF(QCI!A11="","",QCI!A11)</f>
        <v>1.7.0.3.</v>
      </c>
      <c r="B11" s="86">
        <v>0</v>
      </c>
      <c r="C11" s="87">
        <f t="shared" ref="C11" si="2">B11</f>
        <v>0</v>
      </c>
      <c r="D11" s="86">
        <v>0</v>
      </c>
      <c r="E11" s="87">
        <f t="shared" ref="E11" si="3">B11+D11</f>
        <v>0</v>
      </c>
      <c r="F11" s="86">
        <v>0</v>
      </c>
      <c r="G11" s="87">
        <f t="shared" ref="G11" si="4">F11+D11+B11</f>
        <v>0</v>
      </c>
      <c r="H11" s="86">
        <v>0</v>
      </c>
      <c r="I11" s="439">
        <f t="shared" si="0"/>
        <v>0</v>
      </c>
      <c r="J11" s="86">
        <v>1</v>
      </c>
      <c r="K11" s="439">
        <f t="shared" si="1"/>
        <v>1</v>
      </c>
      <c r="L11" s="86"/>
      <c r="M11" s="87"/>
      <c r="N11" s="88"/>
      <c r="O11" s="19"/>
      <c r="P11" s="88"/>
      <c r="Q11" s="19"/>
      <c r="R11" s="88"/>
      <c r="S11" s="19"/>
      <c r="T11" s="88"/>
      <c r="U11" s="19"/>
      <c r="V11" s="88"/>
      <c r="W11" s="19"/>
      <c r="X11" s="88"/>
      <c r="Y11" s="19"/>
    </row>
    <row r="12" spans="1:25">
      <c r="A12" s="20" t="str">
        <f>IF(QCI!A12="","",QCI!A12)</f>
        <v/>
      </c>
      <c r="B12" s="86"/>
      <c r="C12" s="87"/>
      <c r="D12" s="86"/>
      <c r="E12" s="87"/>
      <c r="F12" s="86"/>
      <c r="G12" s="87"/>
      <c r="H12" s="86"/>
      <c r="I12" s="87"/>
      <c r="J12" s="86"/>
      <c r="K12" s="87"/>
      <c r="L12" s="86"/>
      <c r="M12" s="87"/>
      <c r="N12" s="88"/>
      <c r="O12" s="21"/>
      <c r="P12" s="88"/>
      <c r="Q12" s="21"/>
      <c r="R12" s="88"/>
      <c r="S12" s="21"/>
      <c r="T12" s="88"/>
      <c r="U12" s="21"/>
      <c r="V12" s="88"/>
      <c r="W12" s="21"/>
      <c r="X12" s="88"/>
      <c r="Y12" s="21"/>
    </row>
    <row r="13" spans="1:25">
      <c r="A13" s="20" t="str">
        <f>IF(QCI!A13="","",QCI!A13)</f>
        <v/>
      </c>
      <c r="B13" s="88"/>
      <c r="C13" s="21"/>
      <c r="D13" s="88"/>
      <c r="E13" s="21"/>
      <c r="F13" s="88"/>
      <c r="G13" s="21"/>
      <c r="H13" s="88"/>
      <c r="I13" s="21"/>
      <c r="J13" s="88"/>
      <c r="K13" s="21"/>
      <c r="L13" s="88"/>
      <c r="M13" s="21"/>
      <c r="N13" s="88"/>
      <c r="O13" s="21"/>
      <c r="P13" s="88"/>
      <c r="Q13" s="21"/>
      <c r="R13" s="88"/>
      <c r="S13" s="21"/>
      <c r="T13" s="88"/>
      <c r="U13" s="21"/>
      <c r="V13" s="88"/>
      <c r="W13" s="21"/>
      <c r="X13" s="88"/>
      <c r="Y13" s="21"/>
    </row>
    <row r="14" spans="1:25">
      <c r="A14" s="20" t="str">
        <f>IF(QCI!A14="","",QCI!A14)</f>
        <v/>
      </c>
      <c r="B14" s="88"/>
      <c r="C14" s="21"/>
      <c r="D14" s="88"/>
      <c r="E14" s="21"/>
      <c r="F14" s="88"/>
      <c r="G14" s="21"/>
      <c r="H14" s="88"/>
      <c r="I14" s="21"/>
      <c r="J14" s="88"/>
      <c r="K14" s="21"/>
      <c r="L14" s="88"/>
      <c r="M14" s="21"/>
      <c r="N14" s="88"/>
      <c r="O14" s="21"/>
      <c r="P14" s="88"/>
      <c r="Q14" s="21"/>
      <c r="R14" s="88"/>
      <c r="S14" s="21"/>
      <c r="T14" s="88"/>
      <c r="U14" s="21"/>
      <c r="V14" s="88"/>
      <c r="W14" s="21"/>
      <c r="X14" s="88"/>
      <c r="Y14" s="21"/>
    </row>
    <row r="15" spans="1:25">
      <c r="A15" s="20" t="str">
        <f>IF(QCI!A15="","",QCI!A15)</f>
        <v/>
      </c>
      <c r="B15" s="88"/>
      <c r="C15" s="21"/>
      <c r="D15" s="88"/>
      <c r="E15" s="21"/>
      <c r="F15" s="88"/>
      <c r="G15" s="21"/>
      <c r="H15" s="88"/>
      <c r="I15" s="21"/>
      <c r="J15" s="88"/>
      <c r="K15" s="21"/>
      <c r="L15" s="88"/>
      <c r="M15" s="21"/>
      <c r="N15" s="88"/>
      <c r="O15" s="21"/>
      <c r="P15" s="88"/>
      <c r="Q15" s="21"/>
      <c r="R15" s="88"/>
      <c r="S15" s="21"/>
      <c r="T15" s="88"/>
      <c r="U15" s="21"/>
      <c r="V15" s="88"/>
      <c r="W15" s="21"/>
      <c r="X15" s="88"/>
      <c r="Y15" s="21"/>
    </row>
    <row r="16" spans="1:25">
      <c r="A16" s="20" t="str">
        <f>IF(QCI!A16="","",QCI!A16)</f>
        <v/>
      </c>
      <c r="B16" s="88"/>
      <c r="C16" s="21"/>
      <c r="D16" s="88"/>
      <c r="E16" s="21"/>
      <c r="F16" s="88"/>
      <c r="G16" s="21"/>
      <c r="H16" s="88"/>
      <c r="I16" s="21"/>
      <c r="J16" s="88"/>
      <c r="K16" s="21"/>
      <c r="L16" s="88"/>
      <c r="M16" s="21"/>
      <c r="N16" s="88"/>
      <c r="O16" s="21"/>
      <c r="P16" s="88"/>
      <c r="Q16" s="21"/>
      <c r="R16" s="88"/>
      <c r="S16" s="21"/>
      <c r="T16" s="88"/>
      <c r="U16" s="21"/>
      <c r="V16" s="88"/>
      <c r="W16" s="21"/>
      <c r="X16" s="88"/>
      <c r="Y16" s="21"/>
    </row>
    <row r="17" spans="1:25">
      <c r="A17" s="20" t="str">
        <f>IF(QCI!A17="","",QCI!A17)</f>
        <v/>
      </c>
      <c r="B17" s="88"/>
      <c r="C17" s="19"/>
      <c r="D17" s="88"/>
      <c r="E17" s="19"/>
      <c r="F17" s="88"/>
      <c r="G17" s="19"/>
      <c r="H17" s="88"/>
      <c r="I17" s="19"/>
      <c r="J17" s="88"/>
      <c r="K17" s="19"/>
      <c r="L17" s="88"/>
      <c r="M17" s="19"/>
      <c r="N17" s="88"/>
      <c r="O17" s="19"/>
      <c r="P17" s="88"/>
      <c r="Q17" s="19"/>
      <c r="R17" s="88"/>
      <c r="S17" s="19"/>
      <c r="T17" s="88"/>
      <c r="U17" s="19"/>
      <c r="V17" s="88"/>
      <c r="W17" s="19"/>
      <c r="X17" s="88"/>
      <c r="Y17" s="19"/>
    </row>
    <row r="18" spans="1:25">
      <c r="A18" s="20" t="str">
        <f>IF(QCI!A18="","",QCI!A18)</f>
        <v/>
      </c>
      <c r="B18" s="88"/>
      <c r="C18" s="21"/>
      <c r="D18" s="88"/>
      <c r="E18" s="21"/>
      <c r="F18" s="88"/>
      <c r="G18" s="21"/>
      <c r="H18" s="88"/>
      <c r="I18" s="21"/>
      <c r="J18" s="88"/>
      <c r="K18" s="21"/>
      <c r="L18" s="88"/>
      <c r="M18" s="21"/>
      <c r="N18" s="88"/>
      <c r="O18" s="21"/>
      <c r="P18" s="88"/>
      <c r="Q18" s="21"/>
      <c r="R18" s="88"/>
      <c r="S18" s="21"/>
      <c r="T18" s="88"/>
      <c r="U18" s="21"/>
      <c r="V18" s="88"/>
      <c r="W18" s="21"/>
      <c r="X18" s="88"/>
      <c r="Y18" s="21"/>
    </row>
    <row r="19" spans="1:25">
      <c r="A19" s="20"/>
      <c r="B19" s="88"/>
      <c r="C19" s="21"/>
      <c r="D19" s="88"/>
      <c r="E19" s="21"/>
      <c r="F19" s="88"/>
      <c r="G19" s="21"/>
      <c r="H19" s="88"/>
      <c r="I19" s="21"/>
      <c r="J19" s="88"/>
      <c r="K19" s="21"/>
      <c r="L19" s="88"/>
      <c r="M19" s="21"/>
      <c r="N19" s="88"/>
      <c r="O19" s="21"/>
      <c r="P19" s="88"/>
      <c r="Q19" s="21"/>
      <c r="R19" s="88"/>
      <c r="S19" s="21"/>
      <c r="T19" s="88"/>
      <c r="U19" s="21"/>
      <c r="V19" s="88"/>
      <c r="W19" s="21"/>
      <c r="X19" s="88"/>
      <c r="Y19" s="21"/>
    </row>
    <row r="20" spans="1:25">
      <c r="A20" s="20"/>
      <c r="B20" s="88"/>
      <c r="C20" s="21"/>
      <c r="D20" s="88"/>
      <c r="E20" s="21"/>
      <c r="F20" s="88"/>
      <c r="G20" s="21"/>
      <c r="H20" s="88"/>
      <c r="I20" s="21"/>
      <c r="J20" s="88"/>
      <c r="K20" s="21"/>
      <c r="L20" s="88"/>
      <c r="M20" s="21"/>
      <c r="N20" s="88"/>
      <c r="O20" s="21"/>
      <c r="P20" s="88"/>
      <c r="Q20" s="21"/>
      <c r="R20" s="88"/>
      <c r="S20" s="21"/>
      <c r="T20" s="88"/>
      <c r="U20" s="21"/>
      <c r="V20" s="88"/>
      <c r="W20" s="21"/>
      <c r="X20" s="88"/>
      <c r="Y20" s="21"/>
    </row>
    <row r="21" spans="1:25">
      <c r="A21" s="20"/>
      <c r="B21" s="88"/>
      <c r="C21" s="19"/>
      <c r="D21" s="88"/>
      <c r="E21" s="19"/>
      <c r="F21" s="88"/>
      <c r="G21" s="19"/>
      <c r="H21" s="88"/>
      <c r="I21" s="19"/>
      <c r="J21" s="88"/>
      <c r="K21" s="19"/>
      <c r="L21" s="88"/>
      <c r="M21" s="19"/>
      <c r="N21" s="88"/>
      <c r="O21" s="19"/>
      <c r="P21" s="88"/>
      <c r="Q21" s="19"/>
      <c r="R21" s="88"/>
      <c r="S21" s="19"/>
      <c r="T21" s="88"/>
      <c r="U21" s="19"/>
      <c r="V21" s="88"/>
      <c r="W21" s="19"/>
      <c r="X21" s="88"/>
      <c r="Y21" s="19"/>
    </row>
    <row r="22" spans="1:25">
      <c r="A22" s="20"/>
      <c r="B22" s="88"/>
      <c r="C22" s="21"/>
      <c r="D22" s="88"/>
      <c r="E22" s="21"/>
      <c r="F22" s="88"/>
      <c r="G22" s="21"/>
      <c r="H22" s="88"/>
      <c r="I22" s="21"/>
      <c r="J22" s="88"/>
      <c r="K22" s="21"/>
      <c r="L22" s="88"/>
      <c r="M22" s="21"/>
      <c r="N22" s="88"/>
      <c r="O22" s="21"/>
      <c r="P22" s="88"/>
      <c r="Q22" s="21"/>
      <c r="R22" s="88"/>
      <c r="S22" s="21"/>
      <c r="T22" s="88"/>
      <c r="U22" s="21"/>
      <c r="V22" s="88"/>
      <c r="W22" s="21"/>
      <c r="X22" s="88"/>
      <c r="Y22" s="21"/>
    </row>
    <row r="23" spans="1:25">
      <c r="A23" s="20"/>
      <c r="B23" s="88"/>
      <c r="C23" s="21"/>
      <c r="D23" s="88"/>
      <c r="E23" s="21"/>
      <c r="F23" s="88"/>
      <c r="G23" s="21"/>
      <c r="H23" s="88"/>
      <c r="I23" s="21"/>
      <c r="J23" s="88"/>
      <c r="K23" s="21"/>
      <c r="L23" s="88"/>
      <c r="M23" s="21"/>
      <c r="N23" s="88"/>
      <c r="O23" s="21"/>
      <c r="P23" s="88"/>
      <c r="Q23" s="21"/>
      <c r="R23" s="88"/>
      <c r="S23" s="21"/>
      <c r="T23" s="88"/>
      <c r="U23" s="21"/>
      <c r="V23" s="88"/>
      <c r="W23" s="21"/>
      <c r="X23" s="88"/>
      <c r="Y23" s="21"/>
    </row>
    <row r="24" spans="1:25">
      <c r="A24" s="5" t="s">
        <v>36</v>
      </c>
      <c r="B24" s="302">
        <f>(B7*QCI!$H$7+B8*QCI!$H$8+B9*QCI!$H$9+B10*QCI!$H$10+B11*QCI!$H$11)/QCI!$H$31</f>
        <v>0</v>
      </c>
      <c r="C24" s="303">
        <f>(C7*QCI!$H$7+C8*QCI!$H$8+C9*QCI!$H$9+C10*QCI!$H$10+C11*QCI!$H$11)/QCI!$H$31</f>
        <v>0</v>
      </c>
      <c r="D24" s="302">
        <f>(D7*QCI!$H$7+D8*QCI!$H$8+D9*QCI!$H$9+D10*QCI!$H$10+D11*QCI!$H$11)/QCI!$H$31</f>
        <v>0</v>
      </c>
      <c r="E24" s="303">
        <f>(E7*QCI!$H$7+E8*QCI!$H$8+E9*QCI!$H$9+E10*QCI!$H$10+E11*QCI!$H$11)/QCI!$H$31</f>
        <v>0</v>
      </c>
      <c r="F24" s="302">
        <f>(F7*QCI!$H$7+F8*QCI!$H$8+F9*QCI!$H$9+F10*QCI!$H$10+F11*QCI!$H$11)/QCI!$H$31</f>
        <v>0</v>
      </c>
      <c r="G24" s="303">
        <f>(G7*QCI!$H$7+G8*QCI!$H$8+G9*QCI!$H$9+G10*QCI!$H$10+G11*QCI!$H$11)/QCI!$H$31</f>
        <v>0</v>
      </c>
      <c r="H24" s="302">
        <f>(H7*QCI!$H$7+H8*QCI!$H$8+H9*QCI!$H$9+H10*QCI!$H$10+H11*QCI!$H$11)/QCI!$H$31</f>
        <v>0</v>
      </c>
      <c r="I24" s="303">
        <f>(I7*QCI!$H$7+I8*QCI!$H$8+I9*QCI!$H$9+I10*QCI!$H$10+I11*QCI!$H$11)/QCI!$H$31</f>
        <v>0</v>
      </c>
      <c r="J24" s="302">
        <f>(J7*QCI!$H$7+J8*QCI!$H$8+J9*QCI!$H$9+J10*QCI!$H$10+J11*QCI!$H$11)/QCI!$H$31</f>
        <v>1</v>
      </c>
      <c r="K24" s="303">
        <f>(K7*QCI!$H$7+K8*QCI!$H$8+K9*QCI!$H$9+K10*QCI!$H$10+K11*QCI!$H$11)/QCI!$H$31</f>
        <v>1</v>
      </c>
      <c r="L24" s="302"/>
      <c r="M24" s="4"/>
      <c r="N24" s="302"/>
      <c r="O24" s="303"/>
      <c r="P24" s="302"/>
      <c r="Q24" s="303"/>
      <c r="R24" s="302"/>
      <c r="S24" s="303"/>
      <c r="T24" s="302"/>
      <c r="U24" s="303"/>
      <c r="V24" s="302"/>
      <c r="W24" s="303"/>
      <c r="X24" s="302"/>
      <c r="Y24" s="4"/>
    </row>
    <row r="25" spans="1:25">
      <c r="A25" s="3" t="s">
        <v>37</v>
      </c>
      <c r="B25" s="676"/>
      <c r="C25" s="677"/>
      <c r="D25" s="676"/>
      <c r="E25" s="677"/>
      <c r="F25" s="676"/>
      <c r="G25" s="677"/>
      <c r="H25" s="676"/>
      <c r="I25" s="677"/>
      <c r="J25" s="676"/>
      <c r="K25" s="677"/>
      <c r="L25" s="676"/>
      <c r="M25" s="677"/>
      <c r="N25" s="676"/>
      <c r="O25" s="677"/>
      <c r="P25" s="676"/>
      <c r="Q25" s="677"/>
      <c r="R25" s="676"/>
      <c r="S25" s="677"/>
      <c r="T25" s="676"/>
      <c r="U25" s="677"/>
      <c r="V25" s="676"/>
      <c r="W25" s="677"/>
      <c r="X25" s="676"/>
      <c r="Y25" s="677"/>
    </row>
    <row r="26" spans="1:25">
      <c r="A26" s="4" t="s">
        <v>38</v>
      </c>
      <c r="B26" s="678">
        <f>B7*QCI!$H$7+B8*QCI!$H$8+B9*QCI!$H$9+B10*QCI!$H$10+B11*QCI!$H$11</f>
        <v>0</v>
      </c>
      <c r="C26" s="677"/>
      <c r="D26" s="678">
        <f>D7*QCI!$H$7+D8*QCI!$H$8+D9*QCI!$H$9+D10*QCI!$H$10+D11*QCI!$H$11</f>
        <v>0</v>
      </c>
      <c r="E26" s="677"/>
      <c r="F26" s="678">
        <f>F7*QCI!$H$7+F8*QCI!$H$8+F9*QCI!$H$9+F10*QCI!$H$10+F11*QCI!$H$11</f>
        <v>0</v>
      </c>
      <c r="G26" s="677"/>
      <c r="H26" s="678">
        <f>H7*QCI!$H$7+H8*QCI!$H$8+H9*QCI!$H$9+H10*QCI!$H$10+H11*QCI!$H$11</f>
        <v>0</v>
      </c>
      <c r="I26" s="677"/>
      <c r="J26" s="678">
        <f>J7*QCI!$H$7+J8*QCI!$H$8+J9*QCI!$H$9+J10*QCI!$H$10+J11*QCI!$H$11</f>
        <v>87900</v>
      </c>
      <c r="K26" s="677"/>
      <c r="L26" s="678"/>
      <c r="M26" s="677"/>
      <c r="N26" s="676"/>
      <c r="O26" s="677"/>
      <c r="P26" s="676"/>
      <c r="Q26" s="677"/>
      <c r="R26" s="676"/>
      <c r="S26" s="677"/>
      <c r="T26" s="676"/>
      <c r="U26" s="677"/>
      <c r="V26" s="676"/>
      <c r="W26" s="677"/>
      <c r="X26" s="676"/>
      <c r="Y26" s="677"/>
    </row>
    <row r="27" spans="1:25">
      <c r="A27" s="4" t="s">
        <v>39</v>
      </c>
      <c r="B27" s="676"/>
      <c r="C27" s="677"/>
      <c r="D27" s="676"/>
      <c r="E27" s="677"/>
      <c r="F27" s="676"/>
      <c r="G27" s="677"/>
      <c r="H27" s="676"/>
      <c r="I27" s="677"/>
      <c r="J27" s="676"/>
      <c r="K27" s="677"/>
      <c r="L27" s="676"/>
      <c r="M27" s="677"/>
      <c r="N27" s="676"/>
      <c r="O27" s="677"/>
      <c r="P27" s="676"/>
      <c r="Q27" s="677"/>
      <c r="R27" s="676"/>
      <c r="S27" s="677"/>
      <c r="T27" s="676"/>
      <c r="U27" s="677"/>
      <c r="V27" s="676"/>
      <c r="W27" s="677"/>
      <c r="X27" s="676"/>
      <c r="Y27" s="677"/>
    </row>
    <row r="28" spans="1:25">
      <c r="A28" s="4" t="s">
        <v>40</v>
      </c>
      <c r="B28" s="676"/>
      <c r="C28" s="677"/>
      <c r="D28" s="676"/>
      <c r="E28" s="677"/>
      <c r="F28" s="676"/>
      <c r="G28" s="677"/>
      <c r="H28" s="676"/>
      <c r="I28" s="677"/>
      <c r="J28" s="676"/>
      <c r="K28" s="677"/>
      <c r="L28" s="676"/>
      <c r="M28" s="677"/>
      <c r="N28" s="676"/>
      <c r="O28" s="677"/>
      <c r="P28" s="676"/>
      <c r="Q28" s="677"/>
      <c r="R28" s="676"/>
      <c r="S28" s="677"/>
      <c r="T28" s="676"/>
      <c r="U28" s="677"/>
      <c r="V28" s="676"/>
      <c r="W28" s="677"/>
      <c r="X28" s="676"/>
      <c r="Y28" s="677"/>
    </row>
    <row r="29" spans="1:25">
      <c r="A29" s="4" t="s">
        <v>41</v>
      </c>
      <c r="B29" s="680">
        <f>SUM(B25:C28)</f>
        <v>0</v>
      </c>
      <c r="C29" s="681"/>
      <c r="D29" s="680">
        <f t="shared" ref="D29" si="5">SUM(D25:E28)</f>
        <v>0</v>
      </c>
      <c r="E29" s="681"/>
      <c r="F29" s="680">
        <f t="shared" ref="F29:H29" si="6">SUM(F25:G28)</f>
        <v>0</v>
      </c>
      <c r="G29" s="681"/>
      <c r="H29" s="680">
        <f t="shared" si="6"/>
        <v>0</v>
      </c>
      <c r="I29" s="681"/>
      <c r="J29" s="680">
        <f t="shared" ref="J29" si="7">SUM(J25:K28)</f>
        <v>87900</v>
      </c>
      <c r="K29" s="681"/>
      <c r="L29" s="680"/>
      <c r="M29" s="681"/>
      <c r="N29" s="676"/>
      <c r="O29" s="677"/>
      <c r="P29" s="676"/>
      <c r="Q29" s="677"/>
      <c r="R29" s="676"/>
      <c r="S29" s="677"/>
      <c r="T29" s="676"/>
      <c r="U29" s="677"/>
      <c r="V29" s="676"/>
      <c r="W29" s="677"/>
      <c r="X29" s="676"/>
      <c r="Y29" s="677"/>
    </row>
    <row r="30" spans="1:25">
      <c r="A30" s="22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23"/>
    </row>
    <row r="31" spans="1:2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24"/>
    </row>
    <row r="32" spans="1:25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24"/>
    </row>
    <row r="33" spans="1:25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24"/>
    </row>
    <row r="34" spans="1:25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24"/>
    </row>
    <row r="35" spans="1:25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24"/>
    </row>
    <row r="36" spans="1:25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24"/>
    </row>
    <row r="37" spans="1:25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24"/>
    </row>
    <row r="38" spans="1:25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24"/>
    </row>
    <row r="39" spans="1:25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24"/>
    </row>
    <row r="40" spans="1:25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24"/>
    </row>
    <row r="41" spans="1:25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24"/>
    </row>
    <row r="42" spans="1:2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24"/>
    </row>
    <row r="43" spans="1:25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24"/>
    </row>
    <row r="44" spans="1:25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24"/>
    </row>
    <row r="45" spans="1:2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24"/>
    </row>
    <row r="46" spans="1: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24"/>
    </row>
    <row r="47" spans="1:25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24"/>
    </row>
    <row r="48" spans="1:25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24"/>
    </row>
    <row r="49" spans="1:25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24"/>
    </row>
    <row r="50" spans="1:25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24"/>
    </row>
    <row r="51" spans="1:25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24"/>
    </row>
    <row r="52" spans="1:25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24"/>
    </row>
    <row r="53" spans="1:25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24"/>
    </row>
    <row r="54" spans="1:25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24"/>
    </row>
    <row r="55" spans="1:25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24"/>
    </row>
    <row r="56" spans="1:25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24"/>
    </row>
    <row r="57" spans="1:25">
      <c r="A57" s="7"/>
      <c r="B57" s="15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679"/>
      <c r="W57" s="679"/>
      <c r="X57" s="679"/>
      <c r="Y57" s="24"/>
    </row>
    <row r="58" spans="1:25">
      <c r="A58" s="10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3"/>
      <c r="X58" s="13"/>
      <c r="Y58" s="25"/>
    </row>
  </sheetData>
  <mergeCells count="82">
    <mergeCell ref="R2:U2"/>
    <mergeCell ref="X27:Y27"/>
    <mergeCell ref="L28:M28"/>
    <mergeCell ref="N28:O28"/>
    <mergeCell ref="P28:Q28"/>
    <mergeCell ref="R28:S28"/>
    <mergeCell ref="L27:M27"/>
    <mergeCell ref="N27:O27"/>
    <mergeCell ref="P27:Q27"/>
    <mergeCell ref="R27:S27"/>
    <mergeCell ref="T27:U27"/>
    <mergeCell ref="V27:W27"/>
    <mergeCell ref="P26:Q26"/>
    <mergeCell ref="R26:S26"/>
    <mergeCell ref="T26:U26"/>
    <mergeCell ref="V26:W26"/>
    <mergeCell ref="P29:Q29"/>
    <mergeCell ref="R29:S29"/>
    <mergeCell ref="T29:U29"/>
    <mergeCell ref="V29:W29"/>
    <mergeCell ref="X29:Y29"/>
    <mergeCell ref="V57:X57"/>
    <mergeCell ref="T28:U28"/>
    <mergeCell ref="V28:W28"/>
    <mergeCell ref="X28:Y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B27:C27"/>
    <mergeCell ref="D27:E27"/>
    <mergeCell ref="F27:G27"/>
    <mergeCell ref="H27:I27"/>
    <mergeCell ref="J27:K27"/>
    <mergeCell ref="T25:U25"/>
    <mergeCell ref="V25:W25"/>
    <mergeCell ref="X25:Y25"/>
    <mergeCell ref="B26:C26"/>
    <mergeCell ref="D26:E26"/>
    <mergeCell ref="F26:G26"/>
    <mergeCell ref="H26:I26"/>
    <mergeCell ref="J26:K26"/>
    <mergeCell ref="L26:M26"/>
    <mergeCell ref="N26:O26"/>
    <mergeCell ref="X26:Y26"/>
    <mergeCell ref="L25:M25"/>
    <mergeCell ref="N25:O25"/>
    <mergeCell ref="P25:Q25"/>
    <mergeCell ref="R25:S25"/>
    <mergeCell ref="N5:O5"/>
    <mergeCell ref="P5:Q5"/>
    <mergeCell ref="R5:S5"/>
    <mergeCell ref="B25:C25"/>
    <mergeCell ref="D25:E25"/>
    <mergeCell ref="F25:G25"/>
    <mergeCell ref="H25:I25"/>
    <mergeCell ref="J25:K25"/>
    <mergeCell ref="J5:K5"/>
    <mergeCell ref="A1:A3"/>
    <mergeCell ref="V3:Y3"/>
    <mergeCell ref="A5:A6"/>
    <mergeCell ref="B5:C5"/>
    <mergeCell ref="D5:E5"/>
    <mergeCell ref="F5:G5"/>
    <mergeCell ref="H5:I5"/>
    <mergeCell ref="X5:Y5"/>
    <mergeCell ref="T5:U5"/>
    <mergeCell ref="V5:W5"/>
    <mergeCell ref="B1:Y1"/>
    <mergeCell ref="V2:Y2"/>
    <mergeCell ref="N2:Q2"/>
    <mergeCell ref="B3:U3"/>
    <mergeCell ref="B2:M2"/>
    <mergeCell ref="L5:M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5" orientation="landscape" r:id="rId1"/>
  <headerFooter>
    <oddFooter>&amp;CEng° Darcio Pagani Vieira
Crea/SC - 077.222-9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showGridLines="0" view="pageBreakPreview" zoomScaleNormal="100" zoomScaleSheetLayoutView="100" workbookViewId="0">
      <pane ySplit="3" topLeftCell="A4" activePane="bottomLeft" state="frozen"/>
      <selection activeCell="A10" sqref="A10:M10"/>
      <selection pane="bottomLeft" activeCell="A10" sqref="A10:M10"/>
    </sheetView>
  </sheetViews>
  <sheetFormatPr defaultRowHeight="15"/>
  <cols>
    <col min="1" max="1" width="12" style="106" customWidth="1"/>
    <col min="2" max="2" width="10.28515625" style="106" customWidth="1"/>
    <col min="3" max="3" width="10.28515625" style="164" customWidth="1"/>
    <col min="4" max="5" width="10" style="164" customWidth="1"/>
    <col min="6" max="7" width="11.42578125" style="106" customWidth="1"/>
    <col min="8" max="9" width="10.28515625" customWidth="1"/>
    <col min="10" max="10" width="22.28515625" bestFit="1" customWidth="1"/>
  </cols>
  <sheetData>
    <row r="1" spans="1:11" s="34" customFormat="1" ht="33" customHeight="1">
      <c r="A1" s="687"/>
      <c r="B1" s="686" t="s">
        <v>453</v>
      </c>
      <c r="C1" s="686"/>
      <c r="D1" s="686"/>
      <c r="E1" s="686"/>
      <c r="F1" s="686"/>
      <c r="G1" s="686"/>
      <c r="H1" s="686"/>
      <c r="I1" s="686"/>
      <c r="J1" s="686"/>
      <c r="K1" s="165"/>
    </row>
    <row r="2" spans="1:11" s="34" customFormat="1" ht="12.75" customHeight="1">
      <c r="A2" s="687"/>
      <c r="B2" s="692" t="str">
        <f>PAVIM.!G2</f>
        <v>PREFEITURA MUNICIPAL DE MARACAJÁ</v>
      </c>
      <c r="C2" s="692"/>
      <c r="D2" s="692"/>
      <c r="E2" s="692"/>
      <c r="F2" s="692" t="str">
        <f>PAVIM.!I2</f>
        <v>BAIRRO: ESPIGÃO DA TOCA</v>
      </c>
      <c r="G2" s="692"/>
      <c r="H2" s="693" t="str">
        <f>PAVIM.!K2</f>
        <v>MUNICIPIO: MARACAJÁ</v>
      </c>
      <c r="I2" s="693"/>
      <c r="J2" s="330" t="str">
        <f>PAVIM.!M2</f>
        <v>ESTADO: SANTA CATARINA</v>
      </c>
    </row>
    <row r="3" spans="1:11" s="34" customFormat="1" ht="12.75" customHeight="1">
      <c r="A3" s="687"/>
      <c r="B3" s="688" t="str">
        <f>PAVIM.!G3</f>
        <v>RODOVIA ANGELINO ACORDI</v>
      </c>
      <c r="C3" s="689"/>
      <c r="D3" s="689"/>
      <c r="E3" s="689"/>
      <c r="F3" s="689"/>
      <c r="G3" s="689"/>
      <c r="H3" s="689"/>
      <c r="I3" s="690"/>
      <c r="J3" s="352" t="str">
        <f ca="1">PAVIM.!M3</f>
        <v>DATA: 08/10/26</v>
      </c>
    </row>
    <row r="4" spans="1:11" ht="25.5">
      <c r="A4" s="691" t="s">
        <v>203</v>
      </c>
      <c r="B4" s="691"/>
      <c r="C4" s="691"/>
      <c r="D4" s="239" t="s">
        <v>211</v>
      </c>
      <c r="E4" s="240" t="s">
        <v>213</v>
      </c>
      <c r="F4" s="239" t="s">
        <v>212</v>
      </c>
      <c r="G4" s="239" t="s">
        <v>214</v>
      </c>
      <c r="H4" s="240" t="s">
        <v>215</v>
      </c>
      <c r="I4" s="239" t="s">
        <v>212</v>
      </c>
      <c r="J4" s="239" t="s">
        <v>216</v>
      </c>
      <c r="K4" s="97"/>
    </row>
    <row r="5" spans="1:11" ht="12.95" customHeight="1">
      <c r="A5" s="508">
        <v>0</v>
      </c>
      <c r="B5" s="508" t="s">
        <v>48</v>
      </c>
      <c r="C5" s="241">
        <v>0</v>
      </c>
      <c r="D5" s="241"/>
      <c r="E5" s="560">
        <v>3.0640000000000001</v>
      </c>
      <c r="F5" s="559"/>
      <c r="G5" s="559"/>
      <c r="H5" s="560">
        <v>0</v>
      </c>
      <c r="I5" s="560"/>
      <c r="J5" s="560"/>
    </row>
    <row r="6" spans="1:11" s="249" customFormat="1" ht="12.95" customHeight="1">
      <c r="A6" s="508">
        <v>0</v>
      </c>
      <c r="B6" s="508" t="s">
        <v>48</v>
      </c>
      <c r="C6" s="241">
        <v>8.1929999999999996</v>
      </c>
      <c r="D6" s="241">
        <f>((A6*20+C6)-(A5*20+C5))/2</f>
        <v>4.0964999999999998</v>
      </c>
      <c r="E6" s="560">
        <v>3.0440000000000005</v>
      </c>
      <c r="F6" s="560">
        <f>E6+E5</f>
        <v>6.1080000000000005</v>
      </c>
      <c r="G6" s="560">
        <f>TRUNC(F6*D6,3)</f>
        <v>25.021000000000001</v>
      </c>
      <c r="H6" s="560">
        <v>0</v>
      </c>
      <c r="I6" s="560">
        <f>H6+H5</f>
        <v>0</v>
      </c>
      <c r="J6" s="560">
        <f>TRUNC(I6*D6,3)</f>
        <v>0</v>
      </c>
    </row>
    <row r="7" spans="1:11" s="249" customFormat="1" ht="12.95" customHeight="1">
      <c r="A7" s="508">
        <v>1</v>
      </c>
      <c r="B7" s="508" t="s">
        <v>48</v>
      </c>
      <c r="C7" s="241">
        <v>0</v>
      </c>
      <c r="D7" s="241">
        <f t="shared" ref="D7:D34" si="0">((A7*20+C7)-(A6*20+C6))/2</f>
        <v>5.9035000000000002</v>
      </c>
      <c r="E7" s="560">
        <v>3.2960000000000003</v>
      </c>
      <c r="F7" s="560">
        <f t="shared" ref="F7:F34" si="1">E7+E6</f>
        <v>6.3400000000000007</v>
      </c>
      <c r="G7" s="560">
        <f t="shared" ref="G7:G34" si="2">TRUNC(F7*D7,3)</f>
        <v>37.427999999999997</v>
      </c>
      <c r="H7" s="560">
        <v>0</v>
      </c>
      <c r="I7" s="560">
        <f t="shared" ref="I7:I34" si="3">H7+H6</f>
        <v>0</v>
      </c>
      <c r="J7" s="560">
        <f t="shared" ref="J7:J34" si="4">TRUNC(I7*D7,3)</f>
        <v>0</v>
      </c>
    </row>
    <row r="8" spans="1:11" s="249" customFormat="1" ht="12.95" customHeight="1">
      <c r="A8" s="508">
        <v>2</v>
      </c>
      <c r="B8" s="508" t="s">
        <v>48</v>
      </c>
      <c r="C8" s="241">
        <v>0</v>
      </c>
      <c r="D8" s="241">
        <f t="shared" si="0"/>
        <v>10</v>
      </c>
      <c r="E8" s="560">
        <v>2.5480000000000005</v>
      </c>
      <c r="F8" s="560">
        <f t="shared" si="1"/>
        <v>5.8440000000000012</v>
      </c>
      <c r="G8" s="560">
        <f t="shared" si="2"/>
        <v>58.44</v>
      </c>
      <c r="H8" s="560">
        <v>0</v>
      </c>
      <c r="I8" s="560">
        <f t="shared" si="3"/>
        <v>0</v>
      </c>
      <c r="J8" s="560">
        <f t="shared" si="4"/>
        <v>0</v>
      </c>
    </row>
    <row r="9" spans="1:11" s="249" customFormat="1" ht="12.95" customHeight="1">
      <c r="A9" s="508">
        <v>3</v>
      </c>
      <c r="B9" s="508" t="s">
        <v>48</v>
      </c>
      <c r="C9" s="241">
        <v>0</v>
      </c>
      <c r="D9" s="241">
        <f t="shared" si="0"/>
        <v>10</v>
      </c>
      <c r="E9" s="560">
        <v>1.5450000000000002</v>
      </c>
      <c r="F9" s="560">
        <f t="shared" si="1"/>
        <v>4.0930000000000009</v>
      </c>
      <c r="G9" s="560">
        <f t="shared" si="2"/>
        <v>40.93</v>
      </c>
      <c r="H9" s="560">
        <v>0</v>
      </c>
      <c r="I9" s="560">
        <f t="shared" si="3"/>
        <v>0</v>
      </c>
      <c r="J9" s="560">
        <f t="shared" si="4"/>
        <v>0</v>
      </c>
    </row>
    <row r="10" spans="1:11" s="249" customFormat="1" ht="12.95" customHeight="1">
      <c r="A10" s="508">
        <v>3</v>
      </c>
      <c r="B10" s="508" t="s">
        <v>48</v>
      </c>
      <c r="C10" s="241">
        <v>9</v>
      </c>
      <c r="D10" s="241">
        <f t="shared" si="0"/>
        <v>4.5</v>
      </c>
      <c r="E10" s="560">
        <v>0.84400000000000008</v>
      </c>
      <c r="F10" s="560">
        <f t="shared" si="1"/>
        <v>2.3890000000000002</v>
      </c>
      <c r="G10" s="560">
        <f t="shared" si="2"/>
        <v>10.75</v>
      </c>
      <c r="H10" s="560">
        <v>0.23599999999999999</v>
      </c>
      <c r="I10" s="560">
        <f t="shared" si="3"/>
        <v>0.23599999999999999</v>
      </c>
      <c r="J10" s="560">
        <f t="shared" si="4"/>
        <v>1.0620000000000001</v>
      </c>
    </row>
    <row r="11" spans="1:11" s="249" customFormat="1" ht="12.95" customHeight="1">
      <c r="A11" s="508">
        <v>3</v>
      </c>
      <c r="B11" s="508" t="s">
        <v>48</v>
      </c>
      <c r="C11" s="241">
        <v>15.72</v>
      </c>
      <c r="D11" s="241">
        <f t="shared" si="0"/>
        <v>3.3599999999999994</v>
      </c>
      <c r="E11" s="560">
        <v>0.48400000000000004</v>
      </c>
      <c r="F11" s="560">
        <f t="shared" si="1"/>
        <v>1.3280000000000001</v>
      </c>
      <c r="G11" s="560">
        <f t="shared" si="2"/>
        <v>4.4619999999999997</v>
      </c>
      <c r="H11" s="560">
        <v>0.64500000000000002</v>
      </c>
      <c r="I11" s="560">
        <f t="shared" si="3"/>
        <v>0.88100000000000001</v>
      </c>
      <c r="J11" s="560">
        <f t="shared" si="4"/>
        <v>2.96</v>
      </c>
    </row>
    <row r="12" spans="1:11" s="249" customFormat="1" ht="12.95" customHeight="1">
      <c r="A12" s="508">
        <v>4</v>
      </c>
      <c r="B12" s="508" t="s">
        <v>48</v>
      </c>
      <c r="C12" s="241">
        <v>0</v>
      </c>
      <c r="D12" s="241">
        <f t="shared" si="0"/>
        <v>2.1400000000000006</v>
      </c>
      <c r="E12" s="560">
        <v>0.33200000000000002</v>
      </c>
      <c r="F12" s="560">
        <f t="shared" si="1"/>
        <v>0.81600000000000006</v>
      </c>
      <c r="G12" s="560">
        <f t="shared" si="2"/>
        <v>1.746</v>
      </c>
      <c r="H12" s="560">
        <v>0.87</v>
      </c>
      <c r="I12" s="560">
        <f t="shared" si="3"/>
        <v>1.5150000000000001</v>
      </c>
      <c r="J12" s="560">
        <f t="shared" si="4"/>
        <v>3.242</v>
      </c>
    </row>
    <row r="13" spans="1:11" s="249" customFormat="1" ht="12.95" customHeight="1">
      <c r="A13" s="508">
        <v>5</v>
      </c>
      <c r="B13" s="508" t="s">
        <v>48</v>
      </c>
      <c r="C13" s="241">
        <v>0</v>
      </c>
      <c r="D13" s="241">
        <f t="shared" si="0"/>
        <v>10</v>
      </c>
      <c r="E13" s="560">
        <v>0.25</v>
      </c>
      <c r="F13" s="560">
        <f t="shared" si="1"/>
        <v>0.58200000000000007</v>
      </c>
      <c r="G13" s="560">
        <f t="shared" si="2"/>
        <v>5.82</v>
      </c>
      <c r="H13" s="560">
        <v>1.369</v>
      </c>
      <c r="I13" s="560">
        <f t="shared" si="3"/>
        <v>2.2389999999999999</v>
      </c>
      <c r="J13" s="560">
        <f t="shared" si="4"/>
        <v>22.39</v>
      </c>
    </row>
    <row r="14" spans="1:11" s="249" customFormat="1" ht="12.95" customHeight="1">
      <c r="A14" s="508">
        <v>5</v>
      </c>
      <c r="B14" s="508" t="s">
        <v>48</v>
      </c>
      <c r="C14" s="241">
        <v>18.954000000000001</v>
      </c>
      <c r="D14" s="241">
        <f t="shared" si="0"/>
        <v>9.4770000000000039</v>
      </c>
      <c r="E14" s="560">
        <v>0.35</v>
      </c>
      <c r="F14" s="560">
        <f t="shared" si="1"/>
        <v>0.6</v>
      </c>
      <c r="G14" s="560">
        <f t="shared" si="2"/>
        <v>5.6859999999999999</v>
      </c>
      <c r="H14" s="560">
        <v>1.071</v>
      </c>
      <c r="I14" s="560">
        <f t="shared" si="3"/>
        <v>2.44</v>
      </c>
      <c r="J14" s="560">
        <f t="shared" si="4"/>
        <v>23.123000000000001</v>
      </c>
    </row>
    <row r="15" spans="1:11" s="249" customFormat="1" ht="12.95" customHeight="1">
      <c r="A15" s="508">
        <v>6</v>
      </c>
      <c r="B15" s="508" t="s">
        <v>48</v>
      </c>
      <c r="C15" s="241">
        <v>0</v>
      </c>
      <c r="D15" s="241">
        <f t="shared" si="0"/>
        <v>0.52299999999999613</v>
      </c>
      <c r="E15" s="560">
        <v>0.3</v>
      </c>
      <c r="F15" s="560">
        <f t="shared" si="1"/>
        <v>0.64999999999999991</v>
      </c>
      <c r="G15" s="560">
        <f t="shared" si="2"/>
        <v>0.33900000000000002</v>
      </c>
      <c r="H15" s="560">
        <v>1.0960000000000001</v>
      </c>
      <c r="I15" s="560">
        <f t="shared" si="3"/>
        <v>2.1669999999999998</v>
      </c>
      <c r="J15" s="560">
        <f t="shared" si="4"/>
        <v>1.133</v>
      </c>
    </row>
    <row r="16" spans="1:11" s="249" customFormat="1" ht="12.95" customHeight="1">
      <c r="A16" s="508">
        <v>7</v>
      </c>
      <c r="B16" s="508" t="s">
        <v>48</v>
      </c>
      <c r="C16" s="241">
        <v>0</v>
      </c>
      <c r="D16" s="241">
        <f t="shared" si="0"/>
        <v>10</v>
      </c>
      <c r="E16" s="560">
        <v>1.3</v>
      </c>
      <c r="F16" s="560">
        <f t="shared" si="1"/>
        <v>1.6</v>
      </c>
      <c r="G16" s="560">
        <f t="shared" si="2"/>
        <v>16</v>
      </c>
      <c r="H16" s="560">
        <v>1.335</v>
      </c>
      <c r="I16" s="560">
        <f t="shared" si="3"/>
        <v>2.431</v>
      </c>
      <c r="J16" s="560">
        <f t="shared" si="4"/>
        <v>24.31</v>
      </c>
    </row>
    <row r="17" spans="1:10" s="249" customFormat="1" ht="12.95" customHeight="1">
      <c r="A17" s="508">
        <v>8</v>
      </c>
      <c r="B17" s="508" t="s">
        <v>48</v>
      </c>
      <c r="C17" s="241">
        <v>0</v>
      </c>
      <c r="D17" s="241">
        <f t="shared" si="0"/>
        <v>10</v>
      </c>
      <c r="E17" s="560">
        <v>3.25</v>
      </c>
      <c r="F17" s="560">
        <f t="shared" si="1"/>
        <v>4.55</v>
      </c>
      <c r="G17" s="560">
        <f t="shared" si="2"/>
        <v>45.5</v>
      </c>
      <c r="H17" s="560">
        <v>1.198</v>
      </c>
      <c r="I17" s="560">
        <f t="shared" si="3"/>
        <v>2.5329999999999999</v>
      </c>
      <c r="J17" s="560">
        <f t="shared" si="4"/>
        <v>25.33</v>
      </c>
    </row>
    <row r="18" spans="1:10" s="249" customFormat="1" ht="12.95" customHeight="1">
      <c r="A18" s="508">
        <v>9</v>
      </c>
      <c r="B18" s="508" t="s">
        <v>48</v>
      </c>
      <c r="C18" s="241">
        <v>0</v>
      </c>
      <c r="D18" s="241">
        <f t="shared" si="0"/>
        <v>10</v>
      </c>
      <c r="E18" s="560">
        <v>3.75</v>
      </c>
      <c r="F18" s="560">
        <f t="shared" si="1"/>
        <v>7</v>
      </c>
      <c r="G18" s="560">
        <f t="shared" si="2"/>
        <v>70</v>
      </c>
      <c r="H18" s="560">
        <v>1.087</v>
      </c>
      <c r="I18" s="560">
        <f t="shared" si="3"/>
        <v>2.2850000000000001</v>
      </c>
      <c r="J18" s="560">
        <f t="shared" si="4"/>
        <v>22.85</v>
      </c>
    </row>
    <row r="19" spans="1:10" s="249" customFormat="1" ht="12.95" customHeight="1">
      <c r="A19" s="508">
        <v>9</v>
      </c>
      <c r="B19" s="508" t="s">
        <v>48</v>
      </c>
      <c r="C19" s="241">
        <v>10.202</v>
      </c>
      <c r="D19" s="241">
        <f t="shared" si="0"/>
        <v>5.1009999999999991</v>
      </c>
      <c r="E19" s="560">
        <v>2.38</v>
      </c>
      <c r="F19" s="560">
        <f t="shared" si="1"/>
        <v>6.13</v>
      </c>
      <c r="G19" s="560">
        <f t="shared" si="2"/>
        <v>31.268999999999998</v>
      </c>
      <c r="H19" s="560">
        <v>1.599</v>
      </c>
      <c r="I19" s="560">
        <f t="shared" si="3"/>
        <v>2.6859999999999999</v>
      </c>
      <c r="J19" s="560">
        <f t="shared" si="4"/>
        <v>13.701000000000001</v>
      </c>
    </row>
    <row r="20" spans="1:10" s="249" customFormat="1" ht="12.95" customHeight="1">
      <c r="A20" s="508">
        <v>10</v>
      </c>
      <c r="B20" s="508" t="s">
        <v>48</v>
      </c>
      <c r="C20" s="241">
        <v>0</v>
      </c>
      <c r="D20" s="241">
        <f t="shared" si="0"/>
        <v>4.8990000000000009</v>
      </c>
      <c r="E20" s="560">
        <v>1.25</v>
      </c>
      <c r="F20" s="560">
        <f t="shared" si="1"/>
        <v>3.63</v>
      </c>
      <c r="G20" s="560">
        <f t="shared" si="2"/>
        <v>17.783000000000001</v>
      </c>
      <c r="H20" s="560">
        <v>1.7450000000000001</v>
      </c>
      <c r="I20" s="560">
        <f t="shared" si="3"/>
        <v>3.3440000000000003</v>
      </c>
      <c r="J20" s="560">
        <f t="shared" si="4"/>
        <v>16.382000000000001</v>
      </c>
    </row>
    <row r="21" spans="1:10" s="249" customFormat="1" ht="12.95" customHeight="1">
      <c r="A21" s="508">
        <v>11</v>
      </c>
      <c r="B21" s="508" t="s">
        <v>48</v>
      </c>
      <c r="C21" s="241">
        <v>0</v>
      </c>
      <c r="D21" s="241">
        <f t="shared" si="0"/>
        <v>10</v>
      </c>
      <c r="E21" s="241">
        <v>0.57999999999999996</v>
      </c>
      <c r="F21" s="560">
        <f t="shared" si="1"/>
        <v>1.83</v>
      </c>
      <c r="G21" s="560">
        <f t="shared" si="2"/>
        <v>18.3</v>
      </c>
      <c r="H21" s="560">
        <v>1.4550000000000001</v>
      </c>
      <c r="I21" s="560">
        <f t="shared" si="3"/>
        <v>3.2</v>
      </c>
      <c r="J21" s="560">
        <f t="shared" si="4"/>
        <v>32</v>
      </c>
    </row>
    <row r="22" spans="1:10" s="249" customFormat="1" ht="12.95" customHeight="1">
      <c r="A22" s="508">
        <v>12</v>
      </c>
      <c r="B22" s="508" t="s">
        <v>48</v>
      </c>
      <c r="C22" s="241">
        <v>0</v>
      </c>
      <c r="D22" s="241">
        <f t="shared" si="0"/>
        <v>10</v>
      </c>
      <c r="E22" s="241">
        <v>0.25</v>
      </c>
      <c r="F22" s="560">
        <f t="shared" si="1"/>
        <v>0.83</v>
      </c>
      <c r="G22" s="560">
        <f t="shared" si="2"/>
        <v>8.3000000000000007</v>
      </c>
      <c r="H22" s="560">
        <v>1.236</v>
      </c>
      <c r="I22" s="560">
        <f t="shared" si="3"/>
        <v>2.6909999999999998</v>
      </c>
      <c r="J22" s="560">
        <f t="shared" si="4"/>
        <v>26.91</v>
      </c>
    </row>
    <row r="23" spans="1:10" s="249" customFormat="1" ht="12.95" customHeight="1">
      <c r="A23" s="508">
        <v>13</v>
      </c>
      <c r="B23" s="508" t="s">
        <v>48</v>
      </c>
      <c r="C23" s="241">
        <v>0</v>
      </c>
      <c r="D23" s="241">
        <f t="shared" si="0"/>
        <v>10</v>
      </c>
      <c r="E23" s="241">
        <v>0.52</v>
      </c>
      <c r="F23" s="560">
        <f t="shared" si="1"/>
        <v>0.77</v>
      </c>
      <c r="G23" s="560">
        <f t="shared" si="2"/>
        <v>7.7</v>
      </c>
      <c r="H23" s="560">
        <v>1.595</v>
      </c>
      <c r="I23" s="560">
        <f t="shared" si="3"/>
        <v>2.831</v>
      </c>
      <c r="J23" s="560">
        <f t="shared" si="4"/>
        <v>28.31</v>
      </c>
    </row>
    <row r="24" spans="1:10" s="249" customFormat="1" ht="12.95" customHeight="1">
      <c r="A24" s="508">
        <v>14</v>
      </c>
      <c r="B24" s="508" t="s">
        <v>48</v>
      </c>
      <c r="C24" s="241">
        <v>0</v>
      </c>
      <c r="D24" s="241">
        <f t="shared" si="0"/>
        <v>10</v>
      </c>
      <c r="E24" s="241">
        <v>0.25</v>
      </c>
      <c r="F24" s="560">
        <f t="shared" si="1"/>
        <v>0.77</v>
      </c>
      <c r="G24" s="560">
        <f t="shared" si="2"/>
        <v>7.7</v>
      </c>
      <c r="H24" s="560">
        <v>2.5030000000000001</v>
      </c>
      <c r="I24" s="560">
        <f t="shared" si="3"/>
        <v>4.0979999999999999</v>
      </c>
      <c r="J24" s="560">
        <f t="shared" si="4"/>
        <v>40.98</v>
      </c>
    </row>
    <row r="25" spans="1:10" s="249" customFormat="1" ht="12.95" customHeight="1">
      <c r="A25" s="508">
        <v>14</v>
      </c>
      <c r="B25" s="508" t="s">
        <v>48</v>
      </c>
      <c r="C25" s="241">
        <v>15.845000000000001</v>
      </c>
      <c r="D25" s="241">
        <f t="shared" si="0"/>
        <v>7.9225000000000136</v>
      </c>
      <c r="E25" s="241">
        <v>0.25</v>
      </c>
      <c r="F25" s="560">
        <f t="shared" si="1"/>
        <v>0.5</v>
      </c>
      <c r="G25" s="560">
        <f t="shared" si="2"/>
        <v>3.9609999999999999</v>
      </c>
      <c r="H25" s="560">
        <v>1.659</v>
      </c>
      <c r="I25" s="560">
        <f t="shared" si="3"/>
        <v>4.1619999999999999</v>
      </c>
      <c r="J25" s="560">
        <f t="shared" si="4"/>
        <v>32.972999999999999</v>
      </c>
    </row>
    <row r="26" spans="1:10" s="249" customFormat="1" ht="12.95" customHeight="1">
      <c r="A26" s="508">
        <v>15</v>
      </c>
      <c r="B26" s="508" t="s">
        <v>48</v>
      </c>
      <c r="C26" s="241">
        <v>0</v>
      </c>
      <c r="D26" s="241">
        <f t="shared" si="0"/>
        <v>2.0774999999999864</v>
      </c>
      <c r="E26" s="241">
        <v>0.25</v>
      </c>
      <c r="F26" s="560">
        <f t="shared" si="1"/>
        <v>0.5</v>
      </c>
      <c r="G26" s="560">
        <f t="shared" si="2"/>
        <v>1.038</v>
      </c>
      <c r="H26" s="560">
        <v>1.635</v>
      </c>
      <c r="I26" s="560">
        <f t="shared" si="3"/>
        <v>3.294</v>
      </c>
      <c r="J26" s="560">
        <f t="shared" si="4"/>
        <v>6.843</v>
      </c>
    </row>
    <row r="27" spans="1:10" s="249" customFormat="1" ht="12.95" customHeight="1">
      <c r="A27" s="508">
        <v>15</v>
      </c>
      <c r="B27" s="508" t="s">
        <v>48</v>
      </c>
      <c r="C27" s="241">
        <v>5</v>
      </c>
      <c r="D27" s="241">
        <f t="shared" si="0"/>
        <v>2.5</v>
      </c>
      <c r="E27" s="241">
        <v>0.25</v>
      </c>
      <c r="F27" s="560">
        <f t="shared" si="1"/>
        <v>0.5</v>
      </c>
      <c r="G27" s="560">
        <f t="shared" si="2"/>
        <v>1.25</v>
      </c>
      <c r="H27" s="560">
        <v>1.623</v>
      </c>
      <c r="I27" s="560">
        <f t="shared" si="3"/>
        <v>3.258</v>
      </c>
      <c r="J27" s="560">
        <f t="shared" si="4"/>
        <v>8.1449999999999996</v>
      </c>
    </row>
    <row r="28" spans="1:10" s="249" customFormat="1" ht="12.95" customHeight="1">
      <c r="A28" s="508">
        <v>16</v>
      </c>
      <c r="B28" s="508" t="s">
        <v>48</v>
      </c>
      <c r="C28" s="241">
        <v>0</v>
      </c>
      <c r="D28" s="241">
        <f t="shared" si="0"/>
        <v>7.5</v>
      </c>
      <c r="E28" s="241">
        <v>0.25</v>
      </c>
      <c r="F28" s="560">
        <f t="shared" si="1"/>
        <v>0.5</v>
      </c>
      <c r="G28" s="560">
        <f t="shared" si="2"/>
        <v>3.75</v>
      </c>
      <c r="H28" s="560">
        <v>1.8640000000000001</v>
      </c>
      <c r="I28" s="560">
        <f t="shared" si="3"/>
        <v>3.4870000000000001</v>
      </c>
      <c r="J28" s="560">
        <f t="shared" si="4"/>
        <v>26.152000000000001</v>
      </c>
    </row>
    <row r="29" spans="1:10" s="249" customFormat="1" ht="12.95" customHeight="1">
      <c r="A29" s="508">
        <v>17</v>
      </c>
      <c r="B29" s="508" t="s">
        <v>48</v>
      </c>
      <c r="C29" s="241">
        <v>0</v>
      </c>
      <c r="D29" s="241">
        <f t="shared" si="0"/>
        <v>10</v>
      </c>
      <c r="E29" s="241">
        <v>0.25</v>
      </c>
      <c r="F29" s="560">
        <f t="shared" si="1"/>
        <v>0.5</v>
      </c>
      <c r="G29" s="560">
        <f t="shared" si="2"/>
        <v>5</v>
      </c>
      <c r="H29" s="560">
        <v>1.585</v>
      </c>
      <c r="I29" s="560">
        <f t="shared" si="3"/>
        <v>3.4489999999999998</v>
      </c>
      <c r="J29" s="560">
        <f t="shared" si="4"/>
        <v>34.49</v>
      </c>
    </row>
    <row r="30" spans="1:10" s="249" customFormat="1" ht="12.95" customHeight="1">
      <c r="A30" s="508">
        <v>18</v>
      </c>
      <c r="B30" s="508" t="s">
        <v>48</v>
      </c>
      <c r="C30" s="241">
        <v>0</v>
      </c>
      <c r="D30" s="241">
        <f t="shared" si="0"/>
        <v>10</v>
      </c>
      <c r="E30" s="241">
        <v>0.25</v>
      </c>
      <c r="F30" s="560">
        <f t="shared" si="1"/>
        <v>0.5</v>
      </c>
      <c r="G30" s="560">
        <f t="shared" si="2"/>
        <v>5</v>
      </c>
      <c r="H30" s="560">
        <v>1.226</v>
      </c>
      <c r="I30" s="560">
        <f t="shared" si="3"/>
        <v>2.8109999999999999</v>
      </c>
      <c r="J30" s="560">
        <f t="shared" si="4"/>
        <v>28.11</v>
      </c>
    </row>
    <row r="31" spans="1:10" s="249" customFormat="1" ht="12.95" customHeight="1">
      <c r="A31" s="508">
        <v>18</v>
      </c>
      <c r="B31" s="508" t="s">
        <v>48</v>
      </c>
      <c r="C31" s="241">
        <v>19.802</v>
      </c>
      <c r="D31" s="241">
        <f t="shared" si="0"/>
        <v>9.9010000000000105</v>
      </c>
      <c r="E31" s="241">
        <v>0.4</v>
      </c>
      <c r="F31" s="560">
        <f t="shared" si="1"/>
        <v>0.65</v>
      </c>
      <c r="G31" s="560">
        <f t="shared" si="2"/>
        <v>6.4349999999999996</v>
      </c>
      <c r="H31" s="560">
        <v>1.5720000000000001</v>
      </c>
      <c r="I31" s="560">
        <f t="shared" si="3"/>
        <v>2.798</v>
      </c>
      <c r="J31" s="560">
        <f t="shared" si="4"/>
        <v>27.702000000000002</v>
      </c>
    </row>
    <row r="32" spans="1:10" s="249" customFormat="1" ht="12.95" customHeight="1">
      <c r="A32" s="508">
        <v>19</v>
      </c>
      <c r="B32" s="508" t="s">
        <v>48</v>
      </c>
      <c r="C32" s="241">
        <v>0</v>
      </c>
      <c r="D32" s="241">
        <f t="shared" si="0"/>
        <v>9.8999999999989541E-2</v>
      </c>
      <c r="E32" s="241">
        <v>0.48218181818175943</v>
      </c>
      <c r="F32" s="560">
        <f t="shared" si="1"/>
        <v>0.88218181818175945</v>
      </c>
      <c r="G32" s="560">
        <f t="shared" si="2"/>
        <v>8.6999999999999994E-2</v>
      </c>
      <c r="H32" s="560">
        <v>1.5640000000000001</v>
      </c>
      <c r="I32" s="560">
        <f t="shared" si="3"/>
        <v>3.1360000000000001</v>
      </c>
      <c r="J32" s="560">
        <f t="shared" si="4"/>
        <v>0.31</v>
      </c>
    </row>
    <row r="33" spans="1:10" s="249" customFormat="1" ht="12.95" customHeight="1">
      <c r="A33" s="508">
        <v>19</v>
      </c>
      <c r="B33" s="508" t="s">
        <v>48</v>
      </c>
      <c r="C33" s="241">
        <v>1.98</v>
      </c>
      <c r="D33" s="241">
        <f t="shared" si="0"/>
        <v>0.99000000000000909</v>
      </c>
      <c r="E33" s="241">
        <v>0.43</v>
      </c>
      <c r="F33" s="560">
        <f t="shared" si="1"/>
        <v>0.91218181818175936</v>
      </c>
      <c r="G33" s="560">
        <f t="shared" si="2"/>
        <v>0.90300000000000002</v>
      </c>
      <c r="H33" s="560">
        <v>1.351</v>
      </c>
      <c r="I33" s="560">
        <f t="shared" si="3"/>
        <v>2.915</v>
      </c>
      <c r="J33" s="560">
        <f t="shared" si="4"/>
        <v>2.8849999999999998</v>
      </c>
    </row>
    <row r="34" spans="1:10" s="249" customFormat="1" ht="12.95" customHeight="1">
      <c r="A34" s="508">
        <v>20</v>
      </c>
      <c r="B34" s="508" t="s">
        <v>48</v>
      </c>
      <c r="C34" s="241">
        <v>0</v>
      </c>
      <c r="D34" s="241">
        <f t="shared" si="0"/>
        <v>9.0099999999999909</v>
      </c>
      <c r="E34" s="241">
        <v>2.2190000000000003</v>
      </c>
      <c r="F34" s="560">
        <f t="shared" si="1"/>
        <v>2.6490000000000005</v>
      </c>
      <c r="G34" s="560">
        <f t="shared" si="2"/>
        <v>23.867000000000001</v>
      </c>
      <c r="H34" s="560">
        <v>0</v>
      </c>
      <c r="I34" s="560">
        <f t="shared" si="3"/>
        <v>1.351</v>
      </c>
      <c r="J34" s="560">
        <f t="shared" si="4"/>
        <v>12.172000000000001</v>
      </c>
    </row>
    <row r="35" spans="1:10" s="249" customFormat="1" ht="12.95" customHeight="1">
      <c r="A35" s="304"/>
      <c r="B35" s="242"/>
      <c r="C35" s="243"/>
      <c r="D35" s="243"/>
      <c r="E35" s="243"/>
      <c r="F35" s="242"/>
      <c r="G35" s="244">
        <f>SUM(G6:G34)</f>
        <v>464.46500000000003</v>
      </c>
      <c r="H35" s="243"/>
      <c r="I35" s="242"/>
      <c r="J35" s="241">
        <f>SUM(J6:J34)</f>
        <v>464.46500000000003</v>
      </c>
    </row>
    <row r="36" spans="1:10" s="249" customFormat="1" ht="12.95" customHeight="1">
      <c r="A36" s="305"/>
      <c r="B36" s="245"/>
      <c r="C36" s="246"/>
      <c r="D36" s="246"/>
      <c r="E36" s="246"/>
      <c r="F36" s="245"/>
      <c r="G36" s="245"/>
      <c r="H36" s="246"/>
      <c r="I36" s="245"/>
      <c r="J36" s="561"/>
    </row>
    <row r="37" spans="1:10" s="249" customFormat="1" ht="12.95" customHeight="1">
      <c r="A37" s="685" t="s">
        <v>424</v>
      </c>
      <c r="B37" s="685"/>
      <c r="C37" s="685"/>
      <c r="D37" s="685"/>
      <c r="E37" s="685"/>
      <c r="F37" s="685"/>
      <c r="G37" s="685"/>
      <c r="H37" s="685"/>
      <c r="I37" s="244">
        <f>G35</f>
        <v>464.46500000000003</v>
      </c>
      <c r="J37" s="306"/>
    </row>
    <row r="38" spans="1:10" s="249" customFormat="1" ht="12.95" customHeight="1">
      <c r="A38" s="685" t="s">
        <v>425</v>
      </c>
      <c r="B38" s="685"/>
      <c r="C38" s="685"/>
      <c r="D38" s="685"/>
      <c r="E38" s="685"/>
      <c r="F38" s="685"/>
      <c r="G38" s="685"/>
      <c r="H38" s="685"/>
      <c r="I38" s="244">
        <f>J35</f>
        <v>464.46500000000003</v>
      </c>
      <c r="J38" s="306"/>
    </row>
    <row r="39" spans="1:10" s="249" customFormat="1" ht="12.95" customHeight="1">
      <c r="A39" s="685" t="s">
        <v>580</v>
      </c>
      <c r="B39" s="685"/>
      <c r="C39" s="685"/>
      <c r="D39" s="685"/>
      <c r="E39" s="685"/>
      <c r="F39" s="685"/>
      <c r="G39" s="685"/>
      <c r="H39" s="685"/>
      <c r="I39" s="244">
        <f>I37-I38</f>
        <v>0</v>
      </c>
      <c r="J39" s="558"/>
    </row>
  </sheetData>
  <mergeCells count="10">
    <mergeCell ref="A37:H37"/>
    <mergeCell ref="A38:H38"/>
    <mergeCell ref="A39:H39"/>
    <mergeCell ref="B1:J1"/>
    <mergeCell ref="A1:A3"/>
    <mergeCell ref="B3:I3"/>
    <mergeCell ref="A4:C4"/>
    <mergeCell ref="F2:G2"/>
    <mergeCell ref="H2:I2"/>
    <mergeCell ref="B2:E2"/>
  </mergeCells>
  <printOptions horizontalCentered="1"/>
  <pageMargins left="0.51181102362204722" right="0.51181102362204722" top="0.78740157480314965" bottom="0.78740157480314965" header="0.31496062992125984" footer="0.11811023622047245"/>
  <pageSetup paperSize="9" scale="70" orientation="portrait" r:id="rId1"/>
  <headerFooter>
    <oddFooter>&amp;CEng° Darcio Pagani Vieira
Crea/SC - 077.222-9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R67"/>
  <sheetViews>
    <sheetView showGridLines="0" view="pageBreakPreview" zoomScaleNormal="100" zoomScaleSheetLayoutView="100" workbookViewId="0">
      <selection activeCell="F10" sqref="F10"/>
    </sheetView>
  </sheetViews>
  <sheetFormatPr defaultRowHeight="12.75"/>
  <cols>
    <col min="1" max="1" width="6.28515625" style="107" customWidth="1"/>
    <col min="2" max="2" width="6.5703125" style="107" bestFit="1" customWidth="1"/>
    <col min="3" max="3" width="9" style="107" customWidth="1"/>
    <col min="4" max="4" width="9.28515625" style="107" customWidth="1"/>
    <col min="5" max="5" width="8.5703125" style="107" customWidth="1"/>
    <col min="6" max="6" width="11.140625" style="107" customWidth="1"/>
    <col min="7" max="7" width="8" style="107" bestFit="1" customWidth="1"/>
    <col min="8" max="8" width="5.28515625" style="107" customWidth="1"/>
    <col min="9" max="9" width="8" style="107" bestFit="1" customWidth="1"/>
    <col min="10" max="10" width="8.42578125" style="107" customWidth="1"/>
    <col min="11" max="11" width="20.140625" style="107" customWidth="1"/>
    <col min="12" max="12" width="5.7109375" style="107" bestFit="1" customWidth="1"/>
    <col min="13" max="256" width="9.140625" style="107"/>
    <col min="257" max="257" width="6.28515625" style="107" customWidth="1"/>
    <col min="258" max="258" width="6.5703125" style="107" bestFit="1" customWidth="1"/>
    <col min="259" max="259" width="9" style="107" customWidth="1"/>
    <col min="260" max="260" width="9.28515625" style="107" customWidth="1"/>
    <col min="261" max="261" width="8.5703125" style="107" customWidth="1"/>
    <col min="262" max="262" width="11.140625" style="107" customWidth="1"/>
    <col min="263" max="263" width="8" style="107" bestFit="1" customWidth="1"/>
    <col min="264" max="264" width="5.28515625" style="107" customWidth="1"/>
    <col min="265" max="265" width="8" style="107" bestFit="1" customWidth="1"/>
    <col min="266" max="266" width="8.42578125" style="107" customWidth="1"/>
    <col min="267" max="267" width="20.140625" style="107" customWidth="1"/>
    <col min="268" max="268" width="5.7109375" style="107" bestFit="1" customWidth="1"/>
    <col min="269" max="512" width="9.140625" style="107"/>
    <col min="513" max="513" width="6.28515625" style="107" customWidth="1"/>
    <col min="514" max="514" width="6.5703125" style="107" bestFit="1" customWidth="1"/>
    <col min="515" max="515" width="9" style="107" customWidth="1"/>
    <col min="516" max="516" width="9.28515625" style="107" customWidth="1"/>
    <col min="517" max="517" width="8.5703125" style="107" customWidth="1"/>
    <col min="518" max="518" width="11.140625" style="107" customWidth="1"/>
    <col min="519" max="519" width="8" style="107" bestFit="1" customWidth="1"/>
    <col min="520" max="520" width="5.28515625" style="107" customWidth="1"/>
    <col min="521" max="521" width="8" style="107" bestFit="1" customWidth="1"/>
    <col min="522" max="522" width="8.42578125" style="107" customWidth="1"/>
    <col min="523" max="523" width="20.140625" style="107" customWidth="1"/>
    <col min="524" max="524" width="5.7109375" style="107" bestFit="1" customWidth="1"/>
    <col min="525" max="768" width="9.140625" style="107"/>
    <col min="769" max="769" width="6.28515625" style="107" customWidth="1"/>
    <col min="770" max="770" width="6.5703125" style="107" bestFit="1" customWidth="1"/>
    <col min="771" max="771" width="9" style="107" customWidth="1"/>
    <col min="772" max="772" width="9.28515625" style="107" customWidth="1"/>
    <col min="773" max="773" width="8.5703125" style="107" customWidth="1"/>
    <col min="774" max="774" width="11.140625" style="107" customWidth="1"/>
    <col min="775" max="775" width="8" style="107" bestFit="1" customWidth="1"/>
    <col min="776" max="776" width="5.28515625" style="107" customWidth="1"/>
    <col min="777" max="777" width="8" style="107" bestFit="1" customWidth="1"/>
    <col min="778" max="778" width="8.42578125" style="107" customWidth="1"/>
    <col min="779" max="779" width="20.140625" style="107" customWidth="1"/>
    <col min="780" max="780" width="5.7109375" style="107" bestFit="1" customWidth="1"/>
    <col min="781" max="1024" width="9.140625" style="107"/>
    <col min="1025" max="1025" width="6.28515625" style="107" customWidth="1"/>
    <col min="1026" max="1026" width="6.5703125" style="107" bestFit="1" customWidth="1"/>
    <col min="1027" max="1027" width="9" style="107" customWidth="1"/>
    <col min="1028" max="1028" width="9.28515625" style="107" customWidth="1"/>
    <col min="1029" max="1029" width="8.5703125" style="107" customWidth="1"/>
    <col min="1030" max="1030" width="11.140625" style="107" customWidth="1"/>
    <col min="1031" max="1031" width="8" style="107" bestFit="1" customWidth="1"/>
    <col min="1032" max="1032" width="5.28515625" style="107" customWidth="1"/>
    <col min="1033" max="1033" width="8" style="107" bestFit="1" customWidth="1"/>
    <col min="1034" max="1034" width="8.42578125" style="107" customWidth="1"/>
    <col min="1035" max="1035" width="20.140625" style="107" customWidth="1"/>
    <col min="1036" max="1036" width="5.7109375" style="107" bestFit="1" customWidth="1"/>
    <col min="1037" max="1280" width="9.140625" style="107"/>
    <col min="1281" max="1281" width="6.28515625" style="107" customWidth="1"/>
    <col min="1282" max="1282" width="6.5703125" style="107" bestFit="1" customWidth="1"/>
    <col min="1283" max="1283" width="9" style="107" customWidth="1"/>
    <col min="1284" max="1284" width="9.28515625" style="107" customWidth="1"/>
    <col min="1285" max="1285" width="8.5703125" style="107" customWidth="1"/>
    <col min="1286" max="1286" width="11.140625" style="107" customWidth="1"/>
    <col min="1287" max="1287" width="8" style="107" bestFit="1" customWidth="1"/>
    <col min="1288" max="1288" width="5.28515625" style="107" customWidth="1"/>
    <col min="1289" max="1289" width="8" style="107" bestFit="1" customWidth="1"/>
    <col min="1290" max="1290" width="8.42578125" style="107" customWidth="1"/>
    <col min="1291" max="1291" width="20.140625" style="107" customWidth="1"/>
    <col min="1292" max="1292" width="5.7109375" style="107" bestFit="1" customWidth="1"/>
    <col min="1293" max="1536" width="9.140625" style="107"/>
    <col min="1537" max="1537" width="6.28515625" style="107" customWidth="1"/>
    <col min="1538" max="1538" width="6.5703125" style="107" bestFit="1" customWidth="1"/>
    <col min="1539" max="1539" width="9" style="107" customWidth="1"/>
    <col min="1540" max="1540" width="9.28515625" style="107" customWidth="1"/>
    <col min="1541" max="1541" width="8.5703125" style="107" customWidth="1"/>
    <col min="1542" max="1542" width="11.140625" style="107" customWidth="1"/>
    <col min="1543" max="1543" width="8" style="107" bestFit="1" customWidth="1"/>
    <col min="1544" max="1544" width="5.28515625" style="107" customWidth="1"/>
    <col min="1545" max="1545" width="8" style="107" bestFit="1" customWidth="1"/>
    <col min="1546" max="1546" width="8.42578125" style="107" customWidth="1"/>
    <col min="1547" max="1547" width="20.140625" style="107" customWidth="1"/>
    <col min="1548" max="1548" width="5.7109375" style="107" bestFit="1" customWidth="1"/>
    <col min="1549" max="1792" width="9.140625" style="107"/>
    <col min="1793" max="1793" width="6.28515625" style="107" customWidth="1"/>
    <col min="1794" max="1794" width="6.5703125" style="107" bestFit="1" customWidth="1"/>
    <col min="1795" max="1795" width="9" style="107" customWidth="1"/>
    <col min="1796" max="1796" width="9.28515625" style="107" customWidth="1"/>
    <col min="1797" max="1797" width="8.5703125" style="107" customWidth="1"/>
    <col min="1798" max="1798" width="11.140625" style="107" customWidth="1"/>
    <col min="1799" max="1799" width="8" style="107" bestFit="1" customWidth="1"/>
    <col min="1800" max="1800" width="5.28515625" style="107" customWidth="1"/>
    <col min="1801" max="1801" width="8" style="107" bestFit="1" customWidth="1"/>
    <col min="1802" max="1802" width="8.42578125" style="107" customWidth="1"/>
    <col min="1803" max="1803" width="20.140625" style="107" customWidth="1"/>
    <col min="1804" max="1804" width="5.7109375" style="107" bestFit="1" customWidth="1"/>
    <col min="1805" max="2048" width="9.140625" style="107"/>
    <col min="2049" max="2049" width="6.28515625" style="107" customWidth="1"/>
    <col min="2050" max="2050" width="6.5703125" style="107" bestFit="1" customWidth="1"/>
    <col min="2051" max="2051" width="9" style="107" customWidth="1"/>
    <col min="2052" max="2052" width="9.28515625" style="107" customWidth="1"/>
    <col min="2053" max="2053" width="8.5703125" style="107" customWidth="1"/>
    <col min="2054" max="2054" width="11.140625" style="107" customWidth="1"/>
    <col min="2055" max="2055" width="8" style="107" bestFit="1" customWidth="1"/>
    <col min="2056" max="2056" width="5.28515625" style="107" customWidth="1"/>
    <col min="2057" max="2057" width="8" style="107" bestFit="1" customWidth="1"/>
    <col min="2058" max="2058" width="8.42578125" style="107" customWidth="1"/>
    <col min="2059" max="2059" width="20.140625" style="107" customWidth="1"/>
    <col min="2060" max="2060" width="5.7109375" style="107" bestFit="1" customWidth="1"/>
    <col min="2061" max="2304" width="9.140625" style="107"/>
    <col min="2305" max="2305" width="6.28515625" style="107" customWidth="1"/>
    <col min="2306" max="2306" width="6.5703125" style="107" bestFit="1" customWidth="1"/>
    <col min="2307" max="2307" width="9" style="107" customWidth="1"/>
    <col min="2308" max="2308" width="9.28515625" style="107" customWidth="1"/>
    <col min="2309" max="2309" width="8.5703125" style="107" customWidth="1"/>
    <col min="2310" max="2310" width="11.140625" style="107" customWidth="1"/>
    <col min="2311" max="2311" width="8" style="107" bestFit="1" customWidth="1"/>
    <col min="2312" max="2312" width="5.28515625" style="107" customWidth="1"/>
    <col min="2313" max="2313" width="8" style="107" bestFit="1" customWidth="1"/>
    <col min="2314" max="2314" width="8.42578125" style="107" customWidth="1"/>
    <col min="2315" max="2315" width="20.140625" style="107" customWidth="1"/>
    <col min="2316" max="2316" width="5.7109375" style="107" bestFit="1" customWidth="1"/>
    <col min="2317" max="2560" width="9.140625" style="107"/>
    <col min="2561" max="2561" width="6.28515625" style="107" customWidth="1"/>
    <col min="2562" max="2562" width="6.5703125" style="107" bestFit="1" customWidth="1"/>
    <col min="2563" max="2563" width="9" style="107" customWidth="1"/>
    <col min="2564" max="2564" width="9.28515625" style="107" customWidth="1"/>
    <col min="2565" max="2565" width="8.5703125" style="107" customWidth="1"/>
    <col min="2566" max="2566" width="11.140625" style="107" customWidth="1"/>
    <col min="2567" max="2567" width="8" style="107" bestFit="1" customWidth="1"/>
    <col min="2568" max="2568" width="5.28515625" style="107" customWidth="1"/>
    <col min="2569" max="2569" width="8" style="107" bestFit="1" customWidth="1"/>
    <col min="2570" max="2570" width="8.42578125" style="107" customWidth="1"/>
    <col min="2571" max="2571" width="20.140625" style="107" customWidth="1"/>
    <col min="2572" max="2572" width="5.7109375" style="107" bestFit="1" customWidth="1"/>
    <col min="2573" max="2816" width="9.140625" style="107"/>
    <col min="2817" max="2817" width="6.28515625" style="107" customWidth="1"/>
    <col min="2818" max="2818" width="6.5703125" style="107" bestFit="1" customWidth="1"/>
    <col min="2819" max="2819" width="9" style="107" customWidth="1"/>
    <col min="2820" max="2820" width="9.28515625" style="107" customWidth="1"/>
    <col min="2821" max="2821" width="8.5703125" style="107" customWidth="1"/>
    <col min="2822" max="2822" width="11.140625" style="107" customWidth="1"/>
    <col min="2823" max="2823" width="8" style="107" bestFit="1" customWidth="1"/>
    <col min="2824" max="2824" width="5.28515625" style="107" customWidth="1"/>
    <col min="2825" max="2825" width="8" style="107" bestFit="1" customWidth="1"/>
    <col min="2826" max="2826" width="8.42578125" style="107" customWidth="1"/>
    <col min="2827" max="2827" width="20.140625" style="107" customWidth="1"/>
    <col min="2828" max="2828" width="5.7109375" style="107" bestFit="1" customWidth="1"/>
    <col min="2829" max="3072" width="9.140625" style="107"/>
    <col min="3073" max="3073" width="6.28515625" style="107" customWidth="1"/>
    <col min="3074" max="3074" width="6.5703125" style="107" bestFit="1" customWidth="1"/>
    <col min="3075" max="3075" width="9" style="107" customWidth="1"/>
    <col min="3076" max="3076" width="9.28515625" style="107" customWidth="1"/>
    <col min="3077" max="3077" width="8.5703125" style="107" customWidth="1"/>
    <col min="3078" max="3078" width="11.140625" style="107" customWidth="1"/>
    <col min="3079" max="3079" width="8" style="107" bestFit="1" customWidth="1"/>
    <col min="3080" max="3080" width="5.28515625" style="107" customWidth="1"/>
    <col min="3081" max="3081" width="8" style="107" bestFit="1" customWidth="1"/>
    <col min="3082" max="3082" width="8.42578125" style="107" customWidth="1"/>
    <col min="3083" max="3083" width="20.140625" style="107" customWidth="1"/>
    <col min="3084" max="3084" width="5.7109375" style="107" bestFit="1" customWidth="1"/>
    <col min="3085" max="3328" width="9.140625" style="107"/>
    <col min="3329" max="3329" width="6.28515625" style="107" customWidth="1"/>
    <col min="3330" max="3330" width="6.5703125" style="107" bestFit="1" customWidth="1"/>
    <col min="3331" max="3331" width="9" style="107" customWidth="1"/>
    <col min="3332" max="3332" width="9.28515625" style="107" customWidth="1"/>
    <col min="3333" max="3333" width="8.5703125" style="107" customWidth="1"/>
    <col min="3334" max="3334" width="11.140625" style="107" customWidth="1"/>
    <col min="3335" max="3335" width="8" style="107" bestFit="1" customWidth="1"/>
    <col min="3336" max="3336" width="5.28515625" style="107" customWidth="1"/>
    <col min="3337" max="3337" width="8" style="107" bestFit="1" customWidth="1"/>
    <col min="3338" max="3338" width="8.42578125" style="107" customWidth="1"/>
    <col min="3339" max="3339" width="20.140625" style="107" customWidth="1"/>
    <col min="3340" max="3340" width="5.7109375" style="107" bestFit="1" customWidth="1"/>
    <col min="3341" max="3584" width="9.140625" style="107"/>
    <col min="3585" max="3585" width="6.28515625" style="107" customWidth="1"/>
    <col min="3586" max="3586" width="6.5703125" style="107" bestFit="1" customWidth="1"/>
    <col min="3587" max="3587" width="9" style="107" customWidth="1"/>
    <col min="3588" max="3588" width="9.28515625" style="107" customWidth="1"/>
    <col min="3589" max="3589" width="8.5703125" style="107" customWidth="1"/>
    <col min="3590" max="3590" width="11.140625" style="107" customWidth="1"/>
    <col min="3591" max="3591" width="8" style="107" bestFit="1" customWidth="1"/>
    <col min="3592" max="3592" width="5.28515625" style="107" customWidth="1"/>
    <col min="3593" max="3593" width="8" style="107" bestFit="1" customWidth="1"/>
    <col min="3594" max="3594" width="8.42578125" style="107" customWidth="1"/>
    <col min="3595" max="3595" width="20.140625" style="107" customWidth="1"/>
    <col min="3596" max="3596" width="5.7109375" style="107" bestFit="1" customWidth="1"/>
    <col min="3597" max="3840" width="9.140625" style="107"/>
    <col min="3841" max="3841" width="6.28515625" style="107" customWidth="1"/>
    <col min="3842" max="3842" width="6.5703125" style="107" bestFit="1" customWidth="1"/>
    <col min="3843" max="3843" width="9" style="107" customWidth="1"/>
    <col min="3844" max="3844" width="9.28515625" style="107" customWidth="1"/>
    <col min="3845" max="3845" width="8.5703125" style="107" customWidth="1"/>
    <col min="3846" max="3846" width="11.140625" style="107" customWidth="1"/>
    <col min="3847" max="3847" width="8" style="107" bestFit="1" customWidth="1"/>
    <col min="3848" max="3848" width="5.28515625" style="107" customWidth="1"/>
    <col min="3849" max="3849" width="8" style="107" bestFit="1" customWidth="1"/>
    <col min="3850" max="3850" width="8.42578125" style="107" customWidth="1"/>
    <col min="3851" max="3851" width="20.140625" style="107" customWidth="1"/>
    <col min="3852" max="3852" width="5.7109375" style="107" bestFit="1" customWidth="1"/>
    <col min="3853" max="4096" width="9.140625" style="107"/>
    <col min="4097" max="4097" width="6.28515625" style="107" customWidth="1"/>
    <col min="4098" max="4098" width="6.5703125" style="107" bestFit="1" customWidth="1"/>
    <col min="4099" max="4099" width="9" style="107" customWidth="1"/>
    <col min="4100" max="4100" width="9.28515625" style="107" customWidth="1"/>
    <col min="4101" max="4101" width="8.5703125" style="107" customWidth="1"/>
    <col min="4102" max="4102" width="11.140625" style="107" customWidth="1"/>
    <col min="4103" max="4103" width="8" style="107" bestFit="1" customWidth="1"/>
    <col min="4104" max="4104" width="5.28515625" style="107" customWidth="1"/>
    <col min="4105" max="4105" width="8" style="107" bestFit="1" customWidth="1"/>
    <col min="4106" max="4106" width="8.42578125" style="107" customWidth="1"/>
    <col min="4107" max="4107" width="20.140625" style="107" customWidth="1"/>
    <col min="4108" max="4108" width="5.7109375" style="107" bestFit="1" customWidth="1"/>
    <col min="4109" max="4352" width="9.140625" style="107"/>
    <col min="4353" max="4353" width="6.28515625" style="107" customWidth="1"/>
    <col min="4354" max="4354" width="6.5703125" style="107" bestFit="1" customWidth="1"/>
    <col min="4355" max="4355" width="9" style="107" customWidth="1"/>
    <col min="4356" max="4356" width="9.28515625" style="107" customWidth="1"/>
    <col min="4357" max="4357" width="8.5703125" style="107" customWidth="1"/>
    <col min="4358" max="4358" width="11.140625" style="107" customWidth="1"/>
    <col min="4359" max="4359" width="8" style="107" bestFit="1" customWidth="1"/>
    <col min="4360" max="4360" width="5.28515625" style="107" customWidth="1"/>
    <col min="4361" max="4361" width="8" style="107" bestFit="1" customWidth="1"/>
    <col min="4362" max="4362" width="8.42578125" style="107" customWidth="1"/>
    <col min="4363" max="4363" width="20.140625" style="107" customWidth="1"/>
    <col min="4364" max="4364" width="5.7109375" style="107" bestFit="1" customWidth="1"/>
    <col min="4365" max="4608" width="9.140625" style="107"/>
    <col min="4609" max="4609" width="6.28515625" style="107" customWidth="1"/>
    <col min="4610" max="4610" width="6.5703125" style="107" bestFit="1" customWidth="1"/>
    <col min="4611" max="4611" width="9" style="107" customWidth="1"/>
    <col min="4612" max="4612" width="9.28515625" style="107" customWidth="1"/>
    <col min="4613" max="4613" width="8.5703125" style="107" customWidth="1"/>
    <col min="4614" max="4614" width="11.140625" style="107" customWidth="1"/>
    <col min="4615" max="4615" width="8" style="107" bestFit="1" customWidth="1"/>
    <col min="4616" max="4616" width="5.28515625" style="107" customWidth="1"/>
    <col min="4617" max="4617" width="8" style="107" bestFit="1" customWidth="1"/>
    <col min="4618" max="4618" width="8.42578125" style="107" customWidth="1"/>
    <col min="4619" max="4619" width="20.140625" style="107" customWidth="1"/>
    <col min="4620" max="4620" width="5.7109375" style="107" bestFit="1" customWidth="1"/>
    <col min="4621" max="4864" width="9.140625" style="107"/>
    <col min="4865" max="4865" width="6.28515625" style="107" customWidth="1"/>
    <col min="4866" max="4866" width="6.5703125" style="107" bestFit="1" customWidth="1"/>
    <col min="4867" max="4867" width="9" style="107" customWidth="1"/>
    <col min="4868" max="4868" width="9.28515625" style="107" customWidth="1"/>
    <col min="4869" max="4869" width="8.5703125" style="107" customWidth="1"/>
    <col min="4870" max="4870" width="11.140625" style="107" customWidth="1"/>
    <col min="4871" max="4871" width="8" style="107" bestFit="1" customWidth="1"/>
    <col min="4872" max="4872" width="5.28515625" style="107" customWidth="1"/>
    <col min="4873" max="4873" width="8" style="107" bestFit="1" customWidth="1"/>
    <col min="4874" max="4874" width="8.42578125" style="107" customWidth="1"/>
    <col min="4875" max="4875" width="20.140625" style="107" customWidth="1"/>
    <col min="4876" max="4876" width="5.7109375" style="107" bestFit="1" customWidth="1"/>
    <col min="4877" max="5120" width="9.140625" style="107"/>
    <col min="5121" max="5121" width="6.28515625" style="107" customWidth="1"/>
    <col min="5122" max="5122" width="6.5703125" style="107" bestFit="1" customWidth="1"/>
    <col min="5123" max="5123" width="9" style="107" customWidth="1"/>
    <col min="5124" max="5124" width="9.28515625" style="107" customWidth="1"/>
    <col min="5125" max="5125" width="8.5703125" style="107" customWidth="1"/>
    <col min="5126" max="5126" width="11.140625" style="107" customWidth="1"/>
    <col min="5127" max="5127" width="8" style="107" bestFit="1" customWidth="1"/>
    <col min="5128" max="5128" width="5.28515625" style="107" customWidth="1"/>
    <col min="5129" max="5129" width="8" style="107" bestFit="1" customWidth="1"/>
    <col min="5130" max="5130" width="8.42578125" style="107" customWidth="1"/>
    <col min="5131" max="5131" width="20.140625" style="107" customWidth="1"/>
    <col min="5132" max="5132" width="5.7109375" style="107" bestFit="1" customWidth="1"/>
    <col min="5133" max="5376" width="9.140625" style="107"/>
    <col min="5377" max="5377" width="6.28515625" style="107" customWidth="1"/>
    <col min="5378" max="5378" width="6.5703125" style="107" bestFit="1" customWidth="1"/>
    <col min="5379" max="5379" width="9" style="107" customWidth="1"/>
    <col min="5380" max="5380" width="9.28515625" style="107" customWidth="1"/>
    <col min="5381" max="5381" width="8.5703125" style="107" customWidth="1"/>
    <col min="5382" max="5382" width="11.140625" style="107" customWidth="1"/>
    <col min="5383" max="5383" width="8" style="107" bestFit="1" customWidth="1"/>
    <col min="5384" max="5384" width="5.28515625" style="107" customWidth="1"/>
    <col min="5385" max="5385" width="8" style="107" bestFit="1" customWidth="1"/>
    <col min="5386" max="5386" width="8.42578125" style="107" customWidth="1"/>
    <col min="5387" max="5387" width="20.140625" style="107" customWidth="1"/>
    <col min="5388" max="5388" width="5.7109375" style="107" bestFit="1" customWidth="1"/>
    <col min="5389" max="5632" width="9.140625" style="107"/>
    <col min="5633" max="5633" width="6.28515625" style="107" customWidth="1"/>
    <col min="5634" max="5634" width="6.5703125" style="107" bestFit="1" customWidth="1"/>
    <col min="5635" max="5635" width="9" style="107" customWidth="1"/>
    <col min="5636" max="5636" width="9.28515625" style="107" customWidth="1"/>
    <col min="5637" max="5637" width="8.5703125" style="107" customWidth="1"/>
    <col min="5638" max="5638" width="11.140625" style="107" customWidth="1"/>
    <col min="5639" max="5639" width="8" style="107" bestFit="1" customWidth="1"/>
    <col min="5640" max="5640" width="5.28515625" style="107" customWidth="1"/>
    <col min="5641" max="5641" width="8" style="107" bestFit="1" customWidth="1"/>
    <col min="5642" max="5642" width="8.42578125" style="107" customWidth="1"/>
    <col min="5643" max="5643" width="20.140625" style="107" customWidth="1"/>
    <col min="5644" max="5644" width="5.7109375" style="107" bestFit="1" customWidth="1"/>
    <col min="5645" max="5888" width="9.140625" style="107"/>
    <col min="5889" max="5889" width="6.28515625" style="107" customWidth="1"/>
    <col min="5890" max="5890" width="6.5703125" style="107" bestFit="1" customWidth="1"/>
    <col min="5891" max="5891" width="9" style="107" customWidth="1"/>
    <col min="5892" max="5892" width="9.28515625" style="107" customWidth="1"/>
    <col min="5893" max="5893" width="8.5703125" style="107" customWidth="1"/>
    <col min="5894" max="5894" width="11.140625" style="107" customWidth="1"/>
    <col min="5895" max="5895" width="8" style="107" bestFit="1" customWidth="1"/>
    <col min="5896" max="5896" width="5.28515625" style="107" customWidth="1"/>
    <col min="5897" max="5897" width="8" style="107" bestFit="1" customWidth="1"/>
    <col min="5898" max="5898" width="8.42578125" style="107" customWidth="1"/>
    <col min="5899" max="5899" width="20.140625" style="107" customWidth="1"/>
    <col min="5900" max="5900" width="5.7109375" style="107" bestFit="1" customWidth="1"/>
    <col min="5901" max="6144" width="9.140625" style="107"/>
    <col min="6145" max="6145" width="6.28515625" style="107" customWidth="1"/>
    <col min="6146" max="6146" width="6.5703125" style="107" bestFit="1" customWidth="1"/>
    <col min="6147" max="6147" width="9" style="107" customWidth="1"/>
    <col min="6148" max="6148" width="9.28515625" style="107" customWidth="1"/>
    <col min="6149" max="6149" width="8.5703125" style="107" customWidth="1"/>
    <col min="6150" max="6150" width="11.140625" style="107" customWidth="1"/>
    <col min="6151" max="6151" width="8" style="107" bestFit="1" customWidth="1"/>
    <col min="6152" max="6152" width="5.28515625" style="107" customWidth="1"/>
    <col min="6153" max="6153" width="8" style="107" bestFit="1" customWidth="1"/>
    <col min="6154" max="6154" width="8.42578125" style="107" customWidth="1"/>
    <col min="6155" max="6155" width="20.140625" style="107" customWidth="1"/>
    <col min="6156" max="6156" width="5.7109375" style="107" bestFit="1" customWidth="1"/>
    <col min="6157" max="6400" width="9.140625" style="107"/>
    <col min="6401" max="6401" width="6.28515625" style="107" customWidth="1"/>
    <col min="6402" max="6402" width="6.5703125" style="107" bestFit="1" customWidth="1"/>
    <col min="6403" max="6403" width="9" style="107" customWidth="1"/>
    <col min="6404" max="6404" width="9.28515625" style="107" customWidth="1"/>
    <col min="6405" max="6405" width="8.5703125" style="107" customWidth="1"/>
    <col min="6406" max="6406" width="11.140625" style="107" customWidth="1"/>
    <col min="6407" max="6407" width="8" style="107" bestFit="1" customWidth="1"/>
    <col min="6408" max="6408" width="5.28515625" style="107" customWidth="1"/>
    <col min="6409" max="6409" width="8" style="107" bestFit="1" customWidth="1"/>
    <col min="6410" max="6410" width="8.42578125" style="107" customWidth="1"/>
    <col min="6411" max="6411" width="20.140625" style="107" customWidth="1"/>
    <col min="6412" max="6412" width="5.7109375" style="107" bestFit="1" customWidth="1"/>
    <col min="6413" max="6656" width="9.140625" style="107"/>
    <col min="6657" max="6657" width="6.28515625" style="107" customWidth="1"/>
    <col min="6658" max="6658" width="6.5703125" style="107" bestFit="1" customWidth="1"/>
    <col min="6659" max="6659" width="9" style="107" customWidth="1"/>
    <col min="6660" max="6660" width="9.28515625" style="107" customWidth="1"/>
    <col min="6661" max="6661" width="8.5703125" style="107" customWidth="1"/>
    <col min="6662" max="6662" width="11.140625" style="107" customWidth="1"/>
    <col min="6663" max="6663" width="8" style="107" bestFit="1" customWidth="1"/>
    <col min="6664" max="6664" width="5.28515625" style="107" customWidth="1"/>
    <col min="6665" max="6665" width="8" style="107" bestFit="1" customWidth="1"/>
    <col min="6666" max="6666" width="8.42578125" style="107" customWidth="1"/>
    <col min="6667" max="6667" width="20.140625" style="107" customWidth="1"/>
    <col min="6668" max="6668" width="5.7109375" style="107" bestFit="1" customWidth="1"/>
    <col min="6669" max="6912" width="9.140625" style="107"/>
    <col min="6913" max="6913" width="6.28515625" style="107" customWidth="1"/>
    <col min="6914" max="6914" width="6.5703125" style="107" bestFit="1" customWidth="1"/>
    <col min="6915" max="6915" width="9" style="107" customWidth="1"/>
    <col min="6916" max="6916" width="9.28515625" style="107" customWidth="1"/>
    <col min="6917" max="6917" width="8.5703125" style="107" customWidth="1"/>
    <col min="6918" max="6918" width="11.140625" style="107" customWidth="1"/>
    <col min="6919" max="6919" width="8" style="107" bestFit="1" customWidth="1"/>
    <col min="6920" max="6920" width="5.28515625" style="107" customWidth="1"/>
    <col min="6921" max="6921" width="8" style="107" bestFit="1" customWidth="1"/>
    <col min="6922" max="6922" width="8.42578125" style="107" customWidth="1"/>
    <col min="6923" max="6923" width="20.140625" style="107" customWidth="1"/>
    <col min="6924" max="6924" width="5.7109375" style="107" bestFit="1" customWidth="1"/>
    <col min="6925" max="7168" width="9.140625" style="107"/>
    <col min="7169" max="7169" width="6.28515625" style="107" customWidth="1"/>
    <col min="7170" max="7170" width="6.5703125" style="107" bestFit="1" customWidth="1"/>
    <col min="7171" max="7171" width="9" style="107" customWidth="1"/>
    <col min="7172" max="7172" width="9.28515625" style="107" customWidth="1"/>
    <col min="7173" max="7173" width="8.5703125" style="107" customWidth="1"/>
    <col min="7174" max="7174" width="11.140625" style="107" customWidth="1"/>
    <col min="7175" max="7175" width="8" style="107" bestFit="1" customWidth="1"/>
    <col min="7176" max="7176" width="5.28515625" style="107" customWidth="1"/>
    <col min="7177" max="7177" width="8" style="107" bestFit="1" customWidth="1"/>
    <col min="7178" max="7178" width="8.42578125" style="107" customWidth="1"/>
    <col min="7179" max="7179" width="20.140625" style="107" customWidth="1"/>
    <col min="7180" max="7180" width="5.7109375" style="107" bestFit="1" customWidth="1"/>
    <col min="7181" max="7424" width="9.140625" style="107"/>
    <col min="7425" max="7425" width="6.28515625" style="107" customWidth="1"/>
    <col min="7426" max="7426" width="6.5703125" style="107" bestFit="1" customWidth="1"/>
    <col min="7427" max="7427" width="9" style="107" customWidth="1"/>
    <col min="7428" max="7428" width="9.28515625" style="107" customWidth="1"/>
    <col min="7429" max="7429" width="8.5703125" style="107" customWidth="1"/>
    <col min="7430" max="7430" width="11.140625" style="107" customWidth="1"/>
    <col min="7431" max="7431" width="8" style="107" bestFit="1" customWidth="1"/>
    <col min="7432" max="7432" width="5.28515625" style="107" customWidth="1"/>
    <col min="7433" max="7433" width="8" style="107" bestFit="1" customWidth="1"/>
    <col min="7434" max="7434" width="8.42578125" style="107" customWidth="1"/>
    <col min="7435" max="7435" width="20.140625" style="107" customWidth="1"/>
    <col min="7436" max="7436" width="5.7109375" style="107" bestFit="1" customWidth="1"/>
    <col min="7437" max="7680" width="9.140625" style="107"/>
    <col min="7681" max="7681" width="6.28515625" style="107" customWidth="1"/>
    <col min="7682" max="7682" width="6.5703125" style="107" bestFit="1" customWidth="1"/>
    <col min="7683" max="7683" width="9" style="107" customWidth="1"/>
    <col min="7684" max="7684" width="9.28515625" style="107" customWidth="1"/>
    <col min="7685" max="7685" width="8.5703125" style="107" customWidth="1"/>
    <col min="7686" max="7686" width="11.140625" style="107" customWidth="1"/>
    <col min="7687" max="7687" width="8" style="107" bestFit="1" customWidth="1"/>
    <col min="7688" max="7688" width="5.28515625" style="107" customWidth="1"/>
    <col min="7689" max="7689" width="8" style="107" bestFit="1" customWidth="1"/>
    <col min="7690" max="7690" width="8.42578125" style="107" customWidth="1"/>
    <col min="7691" max="7691" width="20.140625" style="107" customWidth="1"/>
    <col min="7692" max="7692" width="5.7109375" style="107" bestFit="1" customWidth="1"/>
    <col min="7693" max="7936" width="9.140625" style="107"/>
    <col min="7937" max="7937" width="6.28515625" style="107" customWidth="1"/>
    <col min="7938" max="7938" width="6.5703125" style="107" bestFit="1" customWidth="1"/>
    <col min="7939" max="7939" width="9" style="107" customWidth="1"/>
    <col min="7940" max="7940" width="9.28515625" style="107" customWidth="1"/>
    <col min="7941" max="7941" width="8.5703125" style="107" customWidth="1"/>
    <col min="7942" max="7942" width="11.140625" style="107" customWidth="1"/>
    <col min="7943" max="7943" width="8" style="107" bestFit="1" customWidth="1"/>
    <col min="7944" max="7944" width="5.28515625" style="107" customWidth="1"/>
    <col min="7945" max="7945" width="8" style="107" bestFit="1" customWidth="1"/>
    <col min="7946" max="7946" width="8.42578125" style="107" customWidth="1"/>
    <col min="7947" max="7947" width="20.140625" style="107" customWidth="1"/>
    <col min="7948" max="7948" width="5.7109375" style="107" bestFit="1" customWidth="1"/>
    <col min="7949" max="8192" width="9.140625" style="107"/>
    <col min="8193" max="8193" width="6.28515625" style="107" customWidth="1"/>
    <col min="8194" max="8194" width="6.5703125" style="107" bestFit="1" customWidth="1"/>
    <col min="8195" max="8195" width="9" style="107" customWidth="1"/>
    <col min="8196" max="8196" width="9.28515625" style="107" customWidth="1"/>
    <col min="8197" max="8197" width="8.5703125" style="107" customWidth="1"/>
    <col min="8198" max="8198" width="11.140625" style="107" customWidth="1"/>
    <col min="8199" max="8199" width="8" style="107" bestFit="1" customWidth="1"/>
    <col min="8200" max="8200" width="5.28515625" style="107" customWidth="1"/>
    <col min="8201" max="8201" width="8" style="107" bestFit="1" customWidth="1"/>
    <col min="8202" max="8202" width="8.42578125" style="107" customWidth="1"/>
    <col min="8203" max="8203" width="20.140625" style="107" customWidth="1"/>
    <col min="8204" max="8204" width="5.7109375" style="107" bestFit="1" customWidth="1"/>
    <col min="8205" max="8448" width="9.140625" style="107"/>
    <col min="8449" max="8449" width="6.28515625" style="107" customWidth="1"/>
    <col min="8450" max="8450" width="6.5703125" style="107" bestFit="1" customWidth="1"/>
    <col min="8451" max="8451" width="9" style="107" customWidth="1"/>
    <col min="8452" max="8452" width="9.28515625" style="107" customWidth="1"/>
    <col min="8453" max="8453" width="8.5703125" style="107" customWidth="1"/>
    <col min="8454" max="8454" width="11.140625" style="107" customWidth="1"/>
    <col min="8455" max="8455" width="8" style="107" bestFit="1" customWidth="1"/>
    <col min="8456" max="8456" width="5.28515625" style="107" customWidth="1"/>
    <col min="8457" max="8457" width="8" style="107" bestFit="1" customWidth="1"/>
    <col min="8458" max="8458" width="8.42578125" style="107" customWidth="1"/>
    <col min="8459" max="8459" width="20.140625" style="107" customWidth="1"/>
    <col min="8460" max="8460" width="5.7109375" style="107" bestFit="1" customWidth="1"/>
    <col min="8461" max="8704" width="9.140625" style="107"/>
    <col min="8705" max="8705" width="6.28515625" style="107" customWidth="1"/>
    <col min="8706" max="8706" width="6.5703125" style="107" bestFit="1" customWidth="1"/>
    <col min="8707" max="8707" width="9" style="107" customWidth="1"/>
    <col min="8708" max="8708" width="9.28515625" style="107" customWidth="1"/>
    <col min="8709" max="8709" width="8.5703125" style="107" customWidth="1"/>
    <col min="8710" max="8710" width="11.140625" style="107" customWidth="1"/>
    <col min="8711" max="8711" width="8" style="107" bestFit="1" customWidth="1"/>
    <col min="8712" max="8712" width="5.28515625" style="107" customWidth="1"/>
    <col min="8713" max="8713" width="8" style="107" bestFit="1" customWidth="1"/>
    <col min="8714" max="8714" width="8.42578125" style="107" customWidth="1"/>
    <col min="8715" max="8715" width="20.140625" style="107" customWidth="1"/>
    <col min="8716" max="8716" width="5.7109375" style="107" bestFit="1" customWidth="1"/>
    <col min="8717" max="8960" width="9.140625" style="107"/>
    <col min="8961" max="8961" width="6.28515625" style="107" customWidth="1"/>
    <col min="8962" max="8962" width="6.5703125" style="107" bestFit="1" customWidth="1"/>
    <col min="8963" max="8963" width="9" style="107" customWidth="1"/>
    <col min="8964" max="8964" width="9.28515625" style="107" customWidth="1"/>
    <col min="8965" max="8965" width="8.5703125" style="107" customWidth="1"/>
    <col min="8966" max="8966" width="11.140625" style="107" customWidth="1"/>
    <col min="8967" max="8967" width="8" style="107" bestFit="1" customWidth="1"/>
    <col min="8968" max="8968" width="5.28515625" style="107" customWidth="1"/>
    <col min="8969" max="8969" width="8" style="107" bestFit="1" customWidth="1"/>
    <col min="8970" max="8970" width="8.42578125" style="107" customWidth="1"/>
    <col min="8971" max="8971" width="20.140625" style="107" customWidth="1"/>
    <col min="8972" max="8972" width="5.7109375" style="107" bestFit="1" customWidth="1"/>
    <col min="8973" max="9216" width="9.140625" style="107"/>
    <col min="9217" max="9217" width="6.28515625" style="107" customWidth="1"/>
    <col min="9218" max="9218" width="6.5703125" style="107" bestFit="1" customWidth="1"/>
    <col min="9219" max="9219" width="9" style="107" customWidth="1"/>
    <col min="9220" max="9220" width="9.28515625" style="107" customWidth="1"/>
    <col min="9221" max="9221" width="8.5703125" style="107" customWidth="1"/>
    <col min="9222" max="9222" width="11.140625" style="107" customWidth="1"/>
    <col min="9223" max="9223" width="8" style="107" bestFit="1" customWidth="1"/>
    <col min="9224" max="9224" width="5.28515625" style="107" customWidth="1"/>
    <col min="9225" max="9225" width="8" style="107" bestFit="1" customWidth="1"/>
    <col min="9226" max="9226" width="8.42578125" style="107" customWidth="1"/>
    <col min="9227" max="9227" width="20.140625" style="107" customWidth="1"/>
    <col min="9228" max="9228" width="5.7109375" style="107" bestFit="1" customWidth="1"/>
    <col min="9229" max="9472" width="9.140625" style="107"/>
    <col min="9473" max="9473" width="6.28515625" style="107" customWidth="1"/>
    <col min="9474" max="9474" width="6.5703125" style="107" bestFit="1" customWidth="1"/>
    <col min="9475" max="9475" width="9" style="107" customWidth="1"/>
    <col min="9476" max="9476" width="9.28515625" style="107" customWidth="1"/>
    <col min="9477" max="9477" width="8.5703125" style="107" customWidth="1"/>
    <col min="9478" max="9478" width="11.140625" style="107" customWidth="1"/>
    <col min="9479" max="9479" width="8" style="107" bestFit="1" customWidth="1"/>
    <col min="9480" max="9480" width="5.28515625" style="107" customWidth="1"/>
    <col min="9481" max="9481" width="8" style="107" bestFit="1" customWidth="1"/>
    <col min="9482" max="9482" width="8.42578125" style="107" customWidth="1"/>
    <col min="9483" max="9483" width="20.140625" style="107" customWidth="1"/>
    <col min="9484" max="9484" width="5.7109375" style="107" bestFit="1" customWidth="1"/>
    <col min="9485" max="9728" width="9.140625" style="107"/>
    <col min="9729" max="9729" width="6.28515625" style="107" customWidth="1"/>
    <col min="9730" max="9730" width="6.5703125" style="107" bestFit="1" customWidth="1"/>
    <col min="9731" max="9731" width="9" style="107" customWidth="1"/>
    <col min="9732" max="9732" width="9.28515625" style="107" customWidth="1"/>
    <col min="9733" max="9733" width="8.5703125" style="107" customWidth="1"/>
    <col min="9734" max="9734" width="11.140625" style="107" customWidth="1"/>
    <col min="9735" max="9735" width="8" style="107" bestFit="1" customWidth="1"/>
    <col min="9736" max="9736" width="5.28515625" style="107" customWidth="1"/>
    <col min="9737" max="9737" width="8" style="107" bestFit="1" customWidth="1"/>
    <col min="9738" max="9738" width="8.42578125" style="107" customWidth="1"/>
    <col min="9739" max="9739" width="20.140625" style="107" customWidth="1"/>
    <col min="9740" max="9740" width="5.7109375" style="107" bestFit="1" customWidth="1"/>
    <col min="9741" max="9984" width="9.140625" style="107"/>
    <col min="9985" max="9985" width="6.28515625" style="107" customWidth="1"/>
    <col min="9986" max="9986" width="6.5703125" style="107" bestFit="1" customWidth="1"/>
    <col min="9987" max="9987" width="9" style="107" customWidth="1"/>
    <col min="9988" max="9988" width="9.28515625" style="107" customWidth="1"/>
    <col min="9989" max="9989" width="8.5703125" style="107" customWidth="1"/>
    <col min="9990" max="9990" width="11.140625" style="107" customWidth="1"/>
    <col min="9991" max="9991" width="8" style="107" bestFit="1" customWidth="1"/>
    <col min="9992" max="9992" width="5.28515625" style="107" customWidth="1"/>
    <col min="9993" max="9993" width="8" style="107" bestFit="1" customWidth="1"/>
    <col min="9994" max="9994" width="8.42578125" style="107" customWidth="1"/>
    <col min="9995" max="9995" width="20.140625" style="107" customWidth="1"/>
    <col min="9996" max="9996" width="5.7109375" style="107" bestFit="1" customWidth="1"/>
    <col min="9997" max="10240" width="9.140625" style="107"/>
    <col min="10241" max="10241" width="6.28515625" style="107" customWidth="1"/>
    <col min="10242" max="10242" width="6.5703125" style="107" bestFit="1" customWidth="1"/>
    <col min="10243" max="10243" width="9" style="107" customWidth="1"/>
    <col min="10244" max="10244" width="9.28515625" style="107" customWidth="1"/>
    <col min="10245" max="10245" width="8.5703125" style="107" customWidth="1"/>
    <col min="10246" max="10246" width="11.140625" style="107" customWidth="1"/>
    <col min="10247" max="10247" width="8" style="107" bestFit="1" customWidth="1"/>
    <col min="10248" max="10248" width="5.28515625" style="107" customWidth="1"/>
    <col min="10249" max="10249" width="8" style="107" bestFit="1" customWidth="1"/>
    <col min="10250" max="10250" width="8.42578125" style="107" customWidth="1"/>
    <col min="10251" max="10251" width="20.140625" style="107" customWidth="1"/>
    <col min="10252" max="10252" width="5.7109375" style="107" bestFit="1" customWidth="1"/>
    <col min="10253" max="10496" width="9.140625" style="107"/>
    <col min="10497" max="10497" width="6.28515625" style="107" customWidth="1"/>
    <col min="10498" max="10498" width="6.5703125" style="107" bestFit="1" customWidth="1"/>
    <col min="10499" max="10499" width="9" style="107" customWidth="1"/>
    <col min="10500" max="10500" width="9.28515625" style="107" customWidth="1"/>
    <col min="10501" max="10501" width="8.5703125" style="107" customWidth="1"/>
    <col min="10502" max="10502" width="11.140625" style="107" customWidth="1"/>
    <col min="10503" max="10503" width="8" style="107" bestFit="1" customWidth="1"/>
    <col min="10504" max="10504" width="5.28515625" style="107" customWidth="1"/>
    <col min="10505" max="10505" width="8" style="107" bestFit="1" customWidth="1"/>
    <col min="10506" max="10506" width="8.42578125" style="107" customWidth="1"/>
    <col min="10507" max="10507" width="20.140625" style="107" customWidth="1"/>
    <col min="10508" max="10508" width="5.7109375" style="107" bestFit="1" customWidth="1"/>
    <col min="10509" max="10752" width="9.140625" style="107"/>
    <col min="10753" max="10753" width="6.28515625" style="107" customWidth="1"/>
    <col min="10754" max="10754" width="6.5703125" style="107" bestFit="1" customWidth="1"/>
    <col min="10755" max="10755" width="9" style="107" customWidth="1"/>
    <col min="10756" max="10756" width="9.28515625" style="107" customWidth="1"/>
    <col min="10757" max="10757" width="8.5703125" style="107" customWidth="1"/>
    <col min="10758" max="10758" width="11.140625" style="107" customWidth="1"/>
    <col min="10759" max="10759" width="8" style="107" bestFit="1" customWidth="1"/>
    <col min="10760" max="10760" width="5.28515625" style="107" customWidth="1"/>
    <col min="10761" max="10761" width="8" style="107" bestFit="1" customWidth="1"/>
    <col min="10762" max="10762" width="8.42578125" style="107" customWidth="1"/>
    <col min="10763" max="10763" width="20.140625" style="107" customWidth="1"/>
    <col min="10764" max="10764" width="5.7109375" style="107" bestFit="1" customWidth="1"/>
    <col min="10765" max="11008" width="9.140625" style="107"/>
    <col min="11009" max="11009" width="6.28515625" style="107" customWidth="1"/>
    <col min="11010" max="11010" width="6.5703125" style="107" bestFit="1" customWidth="1"/>
    <col min="11011" max="11011" width="9" style="107" customWidth="1"/>
    <col min="11012" max="11012" width="9.28515625" style="107" customWidth="1"/>
    <col min="11013" max="11013" width="8.5703125" style="107" customWidth="1"/>
    <col min="11014" max="11014" width="11.140625" style="107" customWidth="1"/>
    <col min="11015" max="11015" width="8" style="107" bestFit="1" customWidth="1"/>
    <col min="11016" max="11016" width="5.28515625" style="107" customWidth="1"/>
    <col min="11017" max="11017" width="8" style="107" bestFit="1" customWidth="1"/>
    <col min="11018" max="11018" width="8.42578125" style="107" customWidth="1"/>
    <col min="11019" max="11019" width="20.140625" style="107" customWidth="1"/>
    <col min="11020" max="11020" width="5.7109375" style="107" bestFit="1" customWidth="1"/>
    <col min="11021" max="11264" width="9.140625" style="107"/>
    <col min="11265" max="11265" width="6.28515625" style="107" customWidth="1"/>
    <col min="11266" max="11266" width="6.5703125" style="107" bestFit="1" customWidth="1"/>
    <col min="11267" max="11267" width="9" style="107" customWidth="1"/>
    <col min="11268" max="11268" width="9.28515625" style="107" customWidth="1"/>
    <col min="11269" max="11269" width="8.5703125" style="107" customWidth="1"/>
    <col min="11270" max="11270" width="11.140625" style="107" customWidth="1"/>
    <col min="11271" max="11271" width="8" style="107" bestFit="1" customWidth="1"/>
    <col min="11272" max="11272" width="5.28515625" style="107" customWidth="1"/>
    <col min="11273" max="11273" width="8" style="107" bestFit="1" customWidth="1"/>
    <col min="11274" max="11274" width="8.42578125" style="107" customWidth="1"/>
    <col min="11275" max="11275" width="20.140625" style="107" customWidth="1"/>
    <col min="11276" max="11276" width="5.7109375" style="107" bestFit="1" customWidth="1"/>
    <col min="11277" max="11520" width="9.140625" style="107"/>
    <col min="11521" max="11521" width="6.28515625" style="107" customWidth="1"/>
    <col min="11522" max="11522" width="6.5703125" style="107" bestFit="1" customWidth="1"/>
    <col min="11523" max="11523" width="9" style="107" customWidth="1"/>
    <col min="11524" max="11524" width="9.28515625" style="107" customWidth="1"/>
    <col min="11525" max="11525" width="8.5703125" style="107" customWidth="1"/>
    <col min="11526" max="11526" width="11.140625" style="107" customWidth="1"/>
    <col min="11527" max="11527" width="8" style="107" bestFit="1" customWidth="1"/>
    <col min="11528" max="11528" width="5.28515625" style="107" customWidth="1"/>
    <col min="11529" max="11529" width="8" style="107" bestFit="1" customWidth="1"/>
    <col min="11530" max="11530" width="8.42578125" style="107" customWidth="1"/>
    <col min="11531" max="11531" width="20.140625" style="107" customWidth="1"/>
    <col min="11532" max="11532" width="5.7109375" style="107" bestFit="1" customWidth="1"/>
    <col min="11533" max="11776" width="9.140625" style="107"/>
    <col min="11777" max="11777" width="6.28515625" style="107" customWidth="1"/>
    <col min="11778" max="11778" width="6.5703125" style="107" bestFit="1" customWidth="1"/>
    <col min="11779" max="11779" width="9" style="107" customWidth="1"/>
    <col min="11780" max="11780" width="9.28515625" style="107" customWidth="1"/>
    <col min="11781" max="11781" width="8.5703125" style="107" customWidth="1"/>
    <col min="11782" max="11782" width="11.140625" style="107" customWidth="1"/>
    <col min="11783" max="11783" width="8" style="107" bestFit="1" customWidth="1"/>
    <col min="11784" max="11784" width="5.28515625" style="107" customWidth="1"/>
    <col min="11785" max="11785" width="8" style="107" bestFit="1" customWidth="1"/>
    <col min="11786" max="11786" width="8.42578125" style="107" customWidth="1"/>
    <col min="11787" max="11787" width="20.140625" style="107" customWidth="1"/>
    <col min="11788" max="11788" width="5.7109375" style="107" bestFit="1" customWidth="1"/>
    <col min="11789" max="12032" width="9.140625" style="107"/>
    <col min="12033" max="12033" width="6.28515625" style="107" customWidth="1"/>
    <col min="12034" max="12034" width="6.5703125" style="107" bestFit="1" customWidth="1"/>
    <col min="12035" max="12035" width="9" style="107" customWidth="1"/>
    <col min="12036" max="12036" width="9.28515625" style="107" customWidth="1"/>
    <col min="12037" max="12037" width="8.5703125" style="107" customWidth="1"/>
    <col min="12038" max="12038" width="11.140625" style="107" customWidth="1"/>
    <col min="12039" max="12039" width="8" style="107" bestFit="1" customWidth="1"/>
    <col min="12040" max="12040" width="5.28515625" style="107" customWidth="1"/>
    <col min="12041" max="12041" width="8" style="107" bestFit="1" customWidth="1"/>
    <col min="12042" max="12042" width="8.42578125" style="107" customWidth="1"/>
    <col min="12043" max="12043" width="20.140625" style="107" customWidth="1"/>
    <col min="12044" max="12044" width="5.7109375" style="107" bestFit="1" customWidth="1"/>
    <col min="12045" max="12288" width="9.140625" style="107"/>
    <col min="12289" max="12289" width="6.28515625" style="107" customWidth="1"/>
    <col min="12290" max="12290" width="6.5703125" style="107" bestFit="1" customWidth="1"/>
    <col min="12291" max="12291" width="9" style="107" customWidth="1"/>
    <col min="12292" max="12292" width="9.28515625" style="107" customWidth="1"/>
    <col min="12293" max="12293" width="8.5703125" style="107" customWidth="1"/>
    <col min="12294" max="12294" width="11.140625" style="107" customWidth="1"/>
    <col min="12295" max="12295" width="8" style="107" bestFit="1" customWidth="1"/>
    <col min="12296" max="12296" width="5.28515625" style="107" customWidth="1"/>
    <col min="12297" max="12297" width="8" style="107" bestFit="1" customWidth="1"/>
    <col min="12298" max="12298" width="8.42578125" style="107" customWidth="1"/>
    <col min="12299" max="12299" width="20.140625" style="107" customWidth="1"/>
    <col min="12300" max="12300" width="5.7109375" style="107" bestFit="1" customWidth="1"/>
    <col min="12301" max="12544" width="9.140625" style="107"/>
    <col min="12545" max="12545" width="6.28515625" style="107" customWidth="1"/>
    <col min="12546" max="12546" width="6.5703125" style="107" bestFit="1" customWidth="1"/>
    <col min="12547" max="12547" width="9" style="107" customWidth="1"/>
    <col min="12548" max="12548" width="9.28515625" style="107" customWidth="1"/>
    <col min="12549" max="12549" width="8.5703125" style="107" customWidth="1"/>
    <col min="12550" max="12550" width="11.140625" style="107" customWidth="1"/>
    <col min="12551" max="12551" width="8" style="107" bestFit="1" customWidth="1"/>
    <col min="12552" max="12552" width="5.28515625" style="107" customWidth="1"/>
    <col min="12553" max="12553" width="8" style="107" bestFit="1" customWidth="1"/>
    <col min="12554" max="12554" width="8.42578125" style="107" customWidth="1"/>
    <col min="12555" max="12555" width="20.140625" style="107" customWidth="1"/>
    <col min="12556" max="12556" width="5.7109375" style="107" bestFit="1" customWidth="1"/>
    <col min="12557" max="12800" width="9.140625" style="107"/>
    <col min="12801" max="12801" width="6.28515625" style="107" customWidth="1"/>
    <col min="12802" max="12802" width="6.5703125" style="107" bestFit="1" customWidth="1"/>
    <col min="12803" max="12803" width="9" style="107" customWidth="1"/>
    <col min="12804" max="12804" width="9.28515625" style="107" customWidth="1"/>
    <col min="12805" max="12805" width="8.5703125" style="107" customWidth="1"/>
    <col min="12806" max="12806" width="11.140625" style="107" customWidth="1"/>
    <col min="12807" max="12807" width="8" style="107" bestFit="1" customWidth="1"/>
    <col min="12808" max="12808" width="5.28515625" style="107" customWidth="1"/>
    <col min="12809" max="12809" width="8" style="107" bestFit="1" customWidth="1"/>
    <col min="12810" max="12810" width="8.42578125" style="107" customWidth="1"/>
    <col min="12811" max="12811" width="20.140625" style="107" customWidth="1"/>
    <col min="12812" max="12812" width="5.7109375" style="107" bestFit="1" customWidth="1"/>
    <col min="12813" max="13056" width="9.140625" style="107"/>
    <col min="13057" max="13057" width="6.28515625" style="107" customWidth="1"/>
    <col min="13058" max="13058" width="6.5703125" style="107" bestFit="1" customWidth="1"/>
    <col min="13059" max="13059" width="9" style="107" customWidth="1"/>
    <col min="13060" max="13060" width="9.28515625" style="107" customWidth="1"/>
    <col min="13061" max="13061" width="8.5703125" style="107" customWidth="1"/>
    <col min="13062" max="13062" width="11.140625" style="107" customWidth="1"/>
    <col min="13063" max="13063" width="8" style="107" bestFit="1" customWidth="1"/>
    <col min="13064" max="13064" width="5.28515625" style="107" customWidth="1"/>
    <col min="13065" max="13065" width="8" style="107" bestFit="1" customWidth="1"/>
    <col min="13066" max="13066" width="8.42578125" style="107" customWidth="1"/>
    <col min="13067" max="13067" width="20.140625" style="107" customWidth="1"/>
    <col min="13068" max="13068" width="5.7109375" style="107" bestFit="1" customWidth="1"/>
    <col min="13069" max="13312" width="9.140625" style="107"/>
    <col min="13313" max="13313" width="6.28515625" style="107" customWidth="1"/>
    <col min="13314" max="13314" width="6.5703125" style="107" bestFit="1" customWidth="1"/>
    <col min="13315" max="13315" width="9" style="107" customWidth="1"/>
    <col min="13316" max="13316" width="9.28515625" style="107" customWidth="1"/>
    <col min="13317" max="13317" width="8.5703125" style="107" customWidth="1"/>
    <col min="13318" max="13318" width="11.140625" style="107" customWidth="1"/>
    <col min="13319" max="13319" width="8" style="107" bestFit="1" customWidth="1"/>
    <col min="13320" max="13320" width="5.28515625" style="107" customWidth="1"/>
    <col min="13321" max="13321" width="8" style="107" bestFit="1" customWidth="1"/>
    <col min="13322" max="13322" width="8.42578125" style="107" customWidth="1"/>
    <col min="13323" max="13323" width="20.140625" style="107" customWidth="1"/>
    <col min="13324" max="13324" width="5.7109375" style="107" bestFit="1" customWidth="1"/>
    <col min="13325" max="13568" width="9.140625" style="107"/>
    <col min="13569" max="13569" width="6.28515625" style="107" customWidth="1"/>
    <col min="13570" max="13570" width="6.5703125" style="107" bestFit="1" customWidth="1"/>
    <col min="13571" max="13571" width="9" style="107" customWidth="1"/>
    <col min="13572" max="13572" width="9.28515625" style="107" customWidth="1"/>
    <col min="13573" max="13573" width="8.5703125" style="107" customWidth="1"/>
    <col min="13574" max="13574" width="11.140625" style="107" customWidth="1"/>
    <col min="13575" max="13575" width="8" style="107" bestFit="1" customWidth="1"/>
    <col min="13576" max="13576" width="5.28515625" style="107" customWidth="1"/>
    <col min="13577" max="13577" width="8" style="107" bestFit="1" customWidth="1"/>
    <col min="13578" max="13578" width="8.42578125" style="107" customWidth="1"/>
    <col min="13579" max="13579" width="20.140625" style="107" customWidth="1"/>
    <col min="13580" max="13580" width="5.7109375" style="107" bestFit="1" customWidth="1"/>
    <col min="13581" max="13824" width="9.140625" style="107"/>
    <col min="13825" max="13825" width="6.28515625" style="107" customWidth="1"/>
    <col min="13826" max="13826" width="6.5703125" style="107" bestFit="1" customWidth="1"/>
    <col min="13827" max="13827" width="9" style="107" customWidth="1"/>
    <col min="13828" max="13828" width="9.28515625" style="107" customWidth="1"/>
    <col min="13829" max="13829" width="8.5703125" style="107" customWidth="1"/>
    <col min="13830" max="13830" width="11.140625" style="107" customWidth="1"/>
    <col min="13831" max="13831" width="8" style="107" bestFit="1" customWidth="1"/>
    <col min="13832" max="13832" width="5.28515625" style="107" customWidth="1"/>
    <col min="13833" max="13833" width="8" style="107" bestFit="1" customWidth="1"/>
    <col min="13834" max="13834" width="8.42578125" style="107" customWidth="1"/>
    <col min="13835" max="13835" width="20.140625" style="107" customWidth="1"/>
    <col min="13836" max="13836" width="5.7109375" style="107" bestFit="1" customWidth="1"/>
    <col min="13837" max="14080" width="9.140625" style="107"/>
    <col min="14081" max="14081" width="6.28515625" style="107" customWidth="1"/>
    <col min="14082" max="14082" width="6.5703125" style="107" bestFit="1" customWidth="1"/>
    <col min="14083" max="14083" width="9" style="107" customWidth="1"/>
    <col min="14084" max="14084" width="9.28515625" style="107" customWidth="1"/>
    <col min="14085" max="14085" width="8.5703125" style="107" customWidth="1"/>
    <col min="14086" max="14086" width="11.140625" style="107" customWidth="1"/>
    <col min="14087" max="14087" width="8" style="107" bestFit="1" customWidth="1"/>
    <col min="14088" max="14088" width="5.28515625" style="107" customWidth="1"/>
    <col min="14089" max="14089" width="8" style="107" bestFit="1" customWidth="1"/>
    <col min="14090" max="14090" width="8.42578125" style="107" customWidth="1"/>
    <col min="14091" max="14091" width="20.140625" style="107" customWidth="1"/>
    <col min="14092" max="14092" width="5.7109375" style="107" bestFit="1" customWidth="1"/>
    <col min="14093" max="14336" width="9.140625" style="107"/>
    <col min="14337" max="14337" width="6.28515625" style="107" customWidth="1"/>
    <col min="14338" max="14338" width="6.5703125" style="107" bestFit="1" customWidth="1"/>
    <col min="14339" max="14339" width="9" style="107" customWidth="1"/>
    <col min="14340" max="14340" width="9.28515625" style="107" customWidth="1"/>
    <col min="14341" max="14341" width="8.5703125" style="107" customWidth="1"/>
    <col min="14342" max="14342" width="11.140625" style="107" customWidth="1"/>
    <col min="14343" max="14343" width="8" style="107" bestFit="1" customWidth="1"/>
    <col min="14344" max="14344" width="5.28515625" style="107" customWidth="1"/>
    <col min="14345" max="14345" width="8" style="107" bestFit="1" customWidth="1"/>
    <col min="14346" max="14346" width="8.42578125" style="107" customWidth="1"/>
    <col min="14347" max="14347" width="20.140625" style="107" customWidth="1"/>
    <col min="14348" max="14348" width="5.7109375" style="107" bestFit="1" customWidth="1"/>
    <col min="14349" max="14592" width="9.140625" style="107"/>
    <col min="14593" max="14593" width="6.28515625" style="107" customWidth="1"/>
    <col min="14594" max="14594" width="6.5703125" style="107" bestFit="1" customWidth="1"/>
    <col min="14595" max="14595" width="9" style="107" customWidth="1"/>
    <col min="14596" max="14596" width="9.28515625" style="107" customWidth="1"/>
    <col min="14597" max="14597" width="8.5703125" style="107" customWidth="1"/>
    <col min="14598" max="14598" width="11.140625" style="107" customWidth="1"/>
    <col min="14599" max="14599" width="8" style="107" bestFit="1" customWidth="1"/>
    <col min="14600" max="14600" width="5.28515625" style="107" customWidth="1"/>
    <col min="14601" max="14601" width="8" style="107" bestFit="1" customWidth="1"/>
    <col min="14602" max="14602" width="8.42578125" style="107" customWidth="1"/>
    <col min="14603" max="14603" width="20.140625" style="107" customWidth="1"/>
    <col min="14604" max="14604" width="5.7109375" style="107" bestFit="1" customWidth="1"/>
    <col min="14605" max="14848" width="9.140625" style="107"/>
    <col min="14849" max="14849" width="6.28515625" style="107" customWidth="1"/>
    <col min="14850" max="14850" width="6.5703125" style="107" bestFit="1" customWidth="1"/>
    <col min="14851" max="14851" width="9" style="107" customWidth="1"/>
    <col min="14852" max="14852" width="9.28515625" style="107" customWidth="1"/>
    <col min="14853" max="14853" width="8.5703125" style="107" customWidth="1"/>
    <col min="14854" max="14854" width="11.140625" style="107" customWidth="1"/>
    <col min="14855" max="14855" width="8" style="107" bestFit="1" customWidth="1"/>
    <col min="14856" max="14856" width="5.28515625" style="107" customWidth="1"/>
    <col min="14857" max="14857" width="8" style="107" bestFit="1" customWidth="1"/>
    <col min="14858" max="14858" width="8.42578125" style="107" customWidth="1"/>
    <col min="14859" max="14859" width="20.140625" style="107" customWidth="1"/>
    <col min="14860" max="14860" width="5.7109375" style="107" bestFit="1" customWidth="1"/>
    <col min="14861" max="15104" width="9.140625" style="107"/>
    <col min="15105" max="15105" width="6.28515625" style="107" customWidth="1"/>
    <col min="15106" max="15106" width="6.5703125" style="107" bestFit="1" customWidth="1"/>
    <col min="15107" max="15107" width="9" style="107" customWidth="1"/>
    <col min="15108" max="15108" width="9.28515625" style="107" customWidth="1"/>
    <col min="15109" max="15109" width="8.5703125" style="107" customWidth="1"/>
    <col min="15110" max="15110" width="11.140625" style="107" customWidth="1"/>
    <col min="15111" max="15111" width="8" style="107" bestFit="1" customWidth="1"/>
    <col min="15112" max="15112" width="5.28515625" style="107" customWidth="1"/>
    <col min="15113" max="15113" width="8" style="107" bestFit="1" customWidth="1"/>
    <col min="15114" max="15114" width="8.42578125" style="107" customWidth="1"/>
    <col min="15115" max="15115" width="20.140625" style="107" customWidth="1"/>
    <col min="15116" max="15116" width="5.7109375" style="107" bestFit="1" customWidth="1"/>
    <col min="15117" max="15360" width="9.140625" style="107"/>
    <col min="15361" max="15361" width="6.28515625" style="107" customWidth="1"/>
    <col min="15362" max="15362" width="6.5703125" style="107" bestFit="1" customWidth="1"/>
    <col min="15363" max="15363" width="9" style="107" customWidth="1"/>
    <col min="15364" max="15364" width="9.28515625" style="107" customWidth="1"/>
    <col min="15365" max="15365" width="8.5703125" style="107" customWidth="1"/>
    <col min="15366" max="15366" width="11.140625" style="107" customWidth="1"/>
    <col min="15367" max="15367" width="8" style="107" bestFit="1" customWidth="1"/>
    <col min="15368" max="15368" width="5.28515625" style="107" customWidth="1"/>
    <col min="15369" max="15369" width="8" style="107" bestFit="1" customWidth="1"/>
    <col min="15370" max="15370" width="8.42578125" style="107" customWidth="1"/>
    <col min="15371" max="15371" width="20.140625" style="107" customWidth="1"/>
    <col min="15372" max="15372" width="5.7109375" style="107" bestFit="1" customWidth="1"/>
    <col min="15373" max="15616" width="9.140625" style="107"/>
    <col min="15617" max="15617" width="6.28515625" style="107" customWidth="1"/>
    <col min="15618" max="15618" width="6.5703125" style="107" bestFit="1" customWidth="1"/>
    <col min="15619" max="15619" width="9" style="107" customWidth="1"/>
    <col min="15620" max="15620" width="9.28515625" style="107" customWidth="1"/>
    <col min="15621" max="15621" width="8.5703125" style="107" customWidth="1"/>
    <col min="15622" max="15622" width="11.140625" style="107" customWidth="1"/>
    <col min="15623" max="15623" width="8" style="107" bestFit="1" customWidth="1"/>
    <col min="15624" max="15624" width="5.28515625" style="107" customWidth="1"/>
    <col min="15625" max="15625" width="8" style="107" bestFit="1" customWidth="1"/>
    <col min="15626" max="15626" width="8.42578125" style="107" customWidth="1"/>
    <col min="15627" max="15627" width="20.140625" style="107" customWidth="1"/>
    <col min="15628" max="15628" width="5.7109375" style="107" bestFit="1" customWidth="1"/>
    <col min="15629" max="15872" width="9.140625" style="107"/>
    <col min="15873" max="15873" width="6.28515625" style="107" customWidth="1"/>
    <col min="15874" max="15874" width="6.5703125" style="107" bestFit="1" customWidth="1"/>
    <col min="15875" max="15875" width="9" style="107" customWidth="1"/>
    <col min="15876" max="15876" width="9.28515625" style="107" customWidth="1"/>
    <col min="15877" max="15877" width="8.5703125" style="107" customWidth="1"/>
    <col min="15878" max="15878" width="11.140625" style="107" customWidth="1"/>
    <col min="15879" max="15879" width="8" style="107" bestFit="1" customWidth="1"/>
    <col min="15880" max="15880" width="5.28515625" style="107" customWidth="1"/>
    <col min="15881" max="15881" width="8" style="107" bestFit="1" customWidth="1"/>
    <col min="15882" max="15882" width="8.42578125" style="107" customWidth="1"/>
    <col min="15883" max="15883" width="20.140625" style="107" customWidth="1"/>
    <col min="15884" max="15884" width="5.7109375" style="107" bestFit="1" customWidth="1"/>
    <col min="15885" max="16128" width="9.140625" style="107"/>
    <col min="16129" max="16129" width="6.28515625" style="107" customWidth="1"/>
    <col min="16130" max="16130" width="6.5703125" style="107" bestFit="1" customWidth="1"/>
    <col min="16131" max="16131" width="9" style="107" customWidth="1"/>
    <col min="16132" max="16132" width="9.28515625" style="107" customWidth="1"/>
    <col min="16133" max="16133" width="8.5703125" style="107" customWidth="1"/>
    <col min="16134" max="16134" width="11.140625" style="107" customWidth="1"/>
    <col min="16135" max="16135" width="8" style="107" bestFit="1" customWidth="1"/>
    <col min="16136" max="16136" width="5.28515625" style="107" customWidth="1"/>
    <col min="16137" max="16137" width="8" style="107" bestFit="1" customWidth="1"/>
    <col min="16138" max="16138" width="8.42578125" style="107" customWidth="1"/>
    <col min="16139" max="16139" width="20.140625" style="107" customWidth="1"/>
    <col min="16140" max="16140" width="5.7109375" style="107" bestFit="1" customWidth="1"/>
    <col min="16141" max="16384" width="9.140625" style="107"/>
  </cols>
  <sheetData>
    <row r="1" spans="1:226" ht="3" customHeight="1" thickBot="1"/>
    <row r="2" spans="1:226" ht="25.5" customHeight="1">
      <c r="A2" s="108"/>
      <c r="B2" s="109"/>
      <c r="C2" s="704" t="s">
        <v>217</v>
      </c>
      <c r="D2" s="704"/>
      <c r="E2" s="704"/>
      <c r="F2" s="704"/>
      <c r="G2" s="704"/>
      <c r="H2" s="704"/>
      <c r="I2" s="704"/>
      <c r="J2" s="704"/>
      <c r="K2" s="705"/>
    </row>
    <row r="3" spans="1:226" ht="25.5" customHeight="1" thickBot="1">
      <c r="A3" s="110"/>
      <c r="B3" s="111"/>
      <c r="C3" s="706" t="s">
        <v>218</v>
      </c>
      <c r="D3" s="706"/>
      <c r="E3" s="706"/>
      <c r="F3" s="706"/>
      <c r="G3" s="706"/>
      <c r="H3" s="706"/>
      <c r="I3" s="706"/>
      <c r="J3" s="706"/>
      <c r="K3" s="707"/>
    </row>
    <row r="4" spans="1:226" ht="4.5" customHeight="1" thickBot="1">
      <c r="A4" s="112"/>
      <c r="B4" s="113"/>
      <c r="C4" s="113"/>
      <c r="D4" s="113"/>
      <c r="E4" s="113"/>
      <c r="F4" s="114"/>
      <c r="G4" s="114"/>
      <c r="H4" s="114"/>
      <c r="I4" s="114"/>
      <c r="J4" s="114"/>
      <c r="K4" s="114"/>
    </row>
    <row r="5" spans="1:226" s="116" customFormat="1" ht="12.75" customHeight="1">
      <c r="A5" s="708" t="s">
        <v>301</v>
      </c>
      <c r="B5" s="709"/>
      <c r="C5" s="709"/>
      <c r="D5" s="709"/>
      <c r="E5" s="710" t="s">
        <v>125</v>
      </c>
      <c r="F5" s="711"/>
      <c r="G5" s="712"/>
      <c r="H5" s="711" t="s">
        <v>190</v>
      </c>
      <c r="I5" s="711"/>
      <c r="J5" s="711"/>
      <c r="K5" s="713"/>
      <c r="L5" s="115"/>
      <c r="M5" s="115"/>
      <c r="N5" s="115"/>
    </row>
    <row r="6" spans="1:226" s="116" customFormat="1" ht="12.75" customHeight="1" thickBot="1">
      <c r="A6" s="714" t="s">
        <v>302</v>
      </c>
      <c r="B6" s="715"/>
      <c r="C6" s="715"/>
      <c r="D6" s="715"/>
      <c r="E6" s="716" t="s">
        <v>126</v>
      </c>
      <c r="F6" s="717"/>
      <c r="G6" s="718"/>
      <c r="H6" s="719" t="e">
        <f>#REF!</f>
        <v>#REF!</v>
      </c>
      <c r="I6" s="719"/>
      <c r="J6" s="719"/>
      <c r="K6" s="117" t="s">
        <v>43</v>
      </c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  <c r="BG6" s="115"/>
      <c r="BH6" s="115"/>
      <c r="BI6" s="115"/>
      <c r="BJ6" s="115"/>
      <c r="BK6" s="115"/>
      <c r="BL6" s="115"/>
      <c r="BM6" s="115"/>
      <c r="BN6" s="115"/>
      <c r="BO6" s="115"/>
      <c r="BP6" s="115"/>
      <c r="BQ6" s="115"/>
      <c r="BR6" s="115"/>
      <c r="BS6" s="115"/>
      <c r="BT6" s="115"/>
      <c r="BU6" s="115"/>
      <c r="BV6" s="115"/>
      <c r="BW6" s="115"/>
      <c r="BX6" s="115"/>
      <c r="BY6" s="115"/>
      <c r="BZ6" s="115"/>
      <c r="CA6" s="115"/>
      <c r="CB6" s="115"/>
      <c r="CC6" s="115"/>
      <c r="CD6" s="115"/>
      <c r="CE6" s="115"/>
      <c r="CF6" s="115"/>
      <c r="CG6" s="115"/>
      <c r="CH6" s="115"/>
      <c r="CI6" s="115"/>
      <c r="CJ6" s="115"/>
      <c r="CK6" s="115"/>
      <c r="CL6" s="115"/>
      <c r="CM6" s="115"/>
      <c r="CN6" s="115"/>
      <c r="CO6" s="115"/>
      <c r="CP6" s="115"/>
      <c r="CQ6" s="115"/>
      <c r="CR6" s="115"/>
      <c r="CS6" s="115"/>
      <c r="CT6" s="115"/>
      <c r="CU6" s="115"/>
      <c r="CV6" s="115"/>
      <c r="CW6" s="115"/>
      <c r="CX6" s="115"/>
      <c r="CY6" s="115"/>
      <c r="CZ6" s="115"/>
      <c r="DA6" s="115"/>
      <c r="DB6" s="115"/>
      <c r="DC6" s="115"/>
      <c r="DD6" s="115"/>
      <c r="DE6" s="115"/>
      <c r="DF6" s="115"/>
      <c r="DG6" s="115"/>
      <c r="DH6" s="115"/>
      <c r="DI6" s="115"/>
      <c r="DJ6" s="115"/>
      <c r="DK6" s="115"/>
      <c r="DL6" s="115"/>
      <c r="DM6" s="115"/>
      <c r="DN6" s="115"/>
      <c r="DO6" s="115"/>
      <c r="DP6" s="115"/>
      <c r="DQ6" s="115"/>
      <c r="DR6" s="115"/>
      <c r="DS6" s="115"/>
      <c r="DT6" s="115"/>
      <c r="DU6" s="115"/>
      <c r="DV6" s="115"/>
      <c r="DW6" s="115"/>
      <c r="DX6" s="115"/>
      <c r="DY6" s="115"/>
      <c r="DZ6" s="115"/>
      <c r="EA6" s="115"/>
      <c r="EB6" s="115"/>
      <c r="EC6" s="115"/>
      <c r="ED6" s="115"/>
      <c r="EE6" s="115"/>
      <c r="EF6" s="115"/>
      <c r="EG6" s="115"/>
      <c r="EH6" s="115"/>
      <c r="EI6" s="115"/>
      <c r="EJ6" s="115"/>
      <c r="EK6" s="115"/>
      <c r="EL6" s="115"/>
      <c r="EM6" s="115"/>
      <c r="EN6" s="115"/>
      <c r="EO6" s="115"/>
      <c r="EP6" s="115"/>
      <c r="EQ6" s="115"/>
      <c r="ER6" s="115"/>
      <c r="ES6" s="115"/>
      <c r="ET6" s="115"/>
      <c r="EU6" s="115"/>
      <c r="EV6" s="115"/>
      <c r="EW6" s="115"/>
      <c r="EX6" s="115"/>
      <c r="EY6" s="115"/>
      <c r="EZ6" s="115"/>
      <c r="FA6" s="115"/>
      <c r="FB6" s="115"/>
      <c r="FC6" s="115"/>
      <c r="FD6" s="115"/>
      <c r="FE6" s="115"/>
      <c r="FF6" s="115"/>
      <c r="FG6" s="115"/>
      <c r="FH6" s="115"/>
      <c r="FI6" s="115"/>
      <c r="FJ6" s="115"/>
      <c r="FK6" s="115"/>
      <c r="FL6" s="115"/>
      <c r="FM6" s="115"/>
      <c r="FN6" s="115"/>
      <c r="FO6" s="115"/>
      <c r="FP6" s="115"/>
      <c r="FQ6" s="115"/>
      <c r="FR6" s="115"/>
      <c r="FS6" s="115"/>
      <c r="FT6" s="115"/>
      <c r="FU6" s="115"/>
      <c r="FV6" s="115"/>
      <c r="FW6" s="115"/>
      <c r="FX6" s="115"/>
      <c r="FY6" s="115"/>
      <c r="FZ6" s="115"/>
      <c r="GA6" s="115"/>
      <c r="GB6" s="115"/>
      <c r="GC6" s="115"/>
      <c r="GD6" s="115"/>
      <c r="GE6" s="115"/>
      <c r="GF6" s="115"/>
      <c r="GG6" s="115"/>
      <c r="GH6" s="115"/>
      <c r="GI6" s="115"/>
      <c r="GJ6" s="115"/>
      <c r="GK6" s="115"/>
      <c r="GL6" s="115"/>
      <c r="GM6" s="115"/>
      <c r="GN6" s="115"/>
      <c r="GO6" s="115"/>
      <c r="GP6" s="115"/>
      <c r="GQ6" s="115"/>
      <c r="GR6" s="115"/>
      <c r="GS6" s="115"/>
      <c r="GT6" s="115"/>
      <c r="GU6" s="115"/>
      <c r="GV6" s="115"/>
      <c r="GW6" s="115"/>
      <c r="GX6" s="115"/>
      <c r="GY6" s="115"/>
      <c r="GZ6" s="115"/>
      <c r="HA6" s="115"/>
      <c r="HB6" s="115"/>
      <c r="HC6" s="115"/>
      <c r="HD6" s="115"/>
      <c r="HE6" s="115"/>
      <c r="HF6" s="115"/>
      <c r="HG6" s="115"/>
      <c r="HH6" s="115"/>
      <c r="HI6" s="115"/>
      <c r="HJ6" s="115"/>
      <c r="HK6" s="115"/>
      <c r="HL6" s="115"/>
      <c r="HM6" s="115"/>
      <c r="HN6" s="115"/>
      <c r="HO6" s="115"/>
      <c r="HP6" s="115"/>
      <c r="HQ6" s="115"/>
      <c r="HR6" s="115"/>
    </row>
    <row r="7" spans="1:226" s="119" customFormat="1" ht="4.5" customHeight="1" thickBot="1">
      <c r="A7" s="112"/>
      <c r="B7" s="113"/>
      <c r="C7" s="113"/>
      <c r="D7" s="113"/>
      <c r="E7" s="113"/>
      <c r="F7" s="114"/>
      <c r="G7" s="114"/>
      <c r="H7" s="114"/>
      <c r="I7" s="114"/>
      <c r="J7" s="114"/>
      <c r="K7" s="114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118"/>
      <c r="BG7" s="118"/>
      <c r="BH7" s="118"/>
      <c r="BI7" s="118"/>
      <c r="BJ7" s="118"/>
      <c r="BK7" s="118"/>
      <c r="BL7" s="118"/>
      <c r="BM7" s="118"/>
      <c r="BN7" s="118"/>
      <c r="BO7" s="118"/>
      <c r="BP7" s="118"/>
      <c r="BQ7" s="118"/>
      <c r="BR7" s="118"/>
      <c r="BS7" s="118"/>
      <c r="BT7" s="118"/>
      <c r="BU7" s="118"/>
      <c r="BV7" s="118"/>
      <c r="BW7" s="118"/>
      <c r="BX7" s="118"/>
      <c r="BY7" s="118"/>
      <c r="BZ7" s="118"/>
      <c r="CA7" s="118"/>
      <c r="CB7" s="118"/>
      <c r="CC7" s="118"/>
      <c r="CD7" s="118"/>
      <c r="CE7" s="118"/>
      <c r="CF7" s="118"/>
      <c r="CG7" s="118"/>
      <c r="CH7" s="118"/>
      <c r="CI7" s="118"/>
      <c r="CJ7" s="118"/>
      <c r="CK7" s="118"/>
      <c r="CL7" s="118"/>
      <c r="CM7" s="118"/>
      <c r="CN7" s="118"/>
      <c r="CO7" s="118"/>
      <c r="CP7" s="118"/>
      <c r="CQ7" s="118"/>
      <c r="CR7" s="118"/>
      <c r="CS7" s="118"/>
      <c r="CT7" s="118"/>
      <c r="CU7" s="118"/>
      <c r="CV7" s="118"/>
      <c r="CW7" s="118"/>
      <c r="CX7" s="118"/>
      <c r="CY7" s="118"/>
      <c r="CZ7" s="118"/>
      <c r="DA7" s="118"/>
      <c r="DB7" s="118"/>
      <c r="DC7" s="118"/>
      <c r="DD7" s="118"/>
      <c r="DE7" s="118"/>
      <c r="DF7" s="118"/>
      <c r="DG7" s="118"/>
      <c r="DH7" s="118"/>
      <c r="DI7" s="118"/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T7" s="118"/>
      <c r="DU7" s="118"/>
      <c r="DV7" s="118"/>
      <c r="DW7" s="118"/>
      <c r="DX7" s="118"/>
      <c r="DY7" s="118"/>
      <c r="DZ7" s="118"/>
      <c r="EA7" s="118"/>
      <c r="EB7" s="118"/>
      <c r="EC7" s="118"/>
      <c r="ED7" s="118"/>
      <c r="EE7" s="118"/>
      <c r="EF7" s="118"/>
      <c r="EG7" s="118"/>
      <c r="EH7" s="118"/>
      <c r="EI7" s="118"/>
      <c r="EJ7" s="118"/>
      <c r="EK7" s="118"/>
      <c r="EL7" s="118"/>
      <c r="EM7" s="118"/>
      <c r="EN7" s="118"/>
      <c r="EO7" s="118"/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</row>
    <row r="8" spans="1:226" s="120" customFormat="1" ht="13.5" customHeight="1">
      <c r="A8" s="697" t="s">
        <v>191</v>
      </c>
      <c r="B8" s="698"/>
      <c r="C8" s="698"/>
      <c r="D8" s="698"/>
      <c r="E8" s="698"/>
      <c r="F8" s="698"/>
      <c r="G8" s="698"/>
      <c r="H8" s="698"/>
      <c r="I8" s="698"/>
      <c r="J8" s="698"/>
      <c r="K8" s="699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118"/>
      <c r="BG8" s="118"/>
      <c r="BH8" s="118"/>
      <c r="BI8" s="118"/>
      <c r="BJ8" s="118"/>
      <c r="BK8" s="118"/>
      <c r="BL8" s="118"/>
      <c r="BM8" s="118"/>
      <c r="BN8" s="118"/>
      <c r="BO8" s="118"/>
      <c r="BP8" s="118"/>
      <c r="BQ8" s="118"/>
      <c r="BR8" s="118"/>
      <c r="BS8" s="118"/>
      <c r="BT8" s="118"/>
      <c r="BU8" s="118"/>
      <c r="BV8" s="118"/>
      <c r="BW8" s="118"/>
      <c r="BX8" s="118"/>
      <c r="BY8" s="118"/>
      <c r="BZ8" s="118"/>
      <c r="CA8" s="118"/>
      <c r="CB8" s="118"/>
      <c r="CC8" s="118"/>
      <c r="CD8" s="118"/>
      <c r="CE8" s="118"/>
      <c r="CF8" s="118"/>
      <c r="CG8" s="118"/>
      <c r="CH8" s="118"/>
      <c r="CI8" s="118"/>
      <c r="CJ8" s="118"/>
      <c r="CK8" s="118"/>
      <c r="CL8" s="118"/>
      <c r="CM8" s="118"/>
      <c r="CN8" s="118"/>
      <c r="CO8" s="118"/>
      <c r="CP8" s="118"/>
      <c r="CQ8" s="118"/>
      <c r="CR8" s="118"/>
      <c r="CS8" s="118"/>
      <c r="CT8" s="118"/>
      <c r="CU8" s="118"/>
      <c r="CV8" s="118"/>
      <c r="CW8" s="118"/>
      <c r="CX8" s="118"/>
      <c r="CY8" s="118"/>
      <c r="CZ8" s="118"/>
      <c r="DA8" s="118"/>
      <c r="DB8" s="118"/>
      <c r="DC8" s="118"/>
      <c r="DD8" s="118"/>
      <c r="DE8" s="118"/>
      <c r="DF8" s="118"/>
      <c r="DG8" s="118"/>
      <c r="DH8" s="118"/>
      <c r="DI8" s="118"/>
      <c r="DJ8" s="118"/>
      <c r="DK8" s="118"/>
      <c r="DL8" s="118"/>
      <c r="DM8" s="118"/>
      <c r="DN8" s="118"/>
      <c r="DO8" s="118"/>
      <c r="DP8" s="118"/>
      <c r="DQ8" s="118"/>
      <c r="DR8" s="118"/>
      <c r="DS8" s="118"/>
      <c r="DT8" s="118"/>
      <c r="DU8" s="118"/>
      <c r="DV8" s="118"/>
      <c r="DW8" s="118"/>
      <c r="DX8" s="118"/>
      <c r="DY8" s="118"/>
      <c r="DZ8" s="118"/>
      <c r="EA8" s="118"/>
      <c r="EB8" s="118"/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8"/>
      <c r="EU8" s="118"/>
      <c r="EV8" s="118"/>
      <c r="EW8" s="118"/>
      <c r="EX8" s="118"/>
      <c r="EY8" s="118"/>
      <c r="EZ8" s="118"/>
      <c r="FA8" s="118"/>
      <c r="FB8" s="118"/>
      <c r="FC8" s="118"/>
      <c r="FD8" s="118"/>
      <c r="FE8" s="118"/>
      <c r="FF8" s="118"/>
      <c r="FG8" s="118"/>
      <c r="FH8" s="118"/>
      <c r="FI8" s="118"/>
      <c r="FJ8" s="118"/>
      <c r="FK8" s="118"/>
      <c r="FL8" s="118"/>
      <c r="FM8" s="118"/>
      <c r="FN8" s="118"/>
      <c r="FO8" s="118"/>
      <c r="FP8" s="118"/>
      <c r="FQ8" s="118"/>
      <c r="FR8" s="118"/>
      <c r="FS8" s="118"/>
      <c r="FT8" s="118"/>
      <c r="FU8" s="118"/>
      <c r="FV8" s="118"/>
      <c r="FW8" s="118"/>
      <c r="FX8" s="118"/>
      <c r="FY8" s="118"/>
      <c r="FZ8" s="118"/>
      <c r="GA8" s="118"/>
      <c r="GB8" s="118"/>
      <c r="GC8" s="118"/>
      <c r="GD8" s="118"/>
      <c r="GE8" s="118"/>
      <c r="GF8" s="118"/>
      <c r="GG8" s="118"/>
      <c r="GH8" s="118"/>
      <c r="GI8" s="118"/>
      <c r="GJ8" s="118"/>
      <c r="GK8" s="118"/>
      <c r="GL8" s="118"/>
      <c r="GM8" s="118"/>
      <c r="GN8" s="118"/>
      <c r="GO8" s="118"/>
      <c r="GP8" s="118"/>
      <c r="GQ8" s="118"/>
      <c r="GR8" s="118"/>
      <c r="GS8" s="118"/>
      <c r="GT8" s="118"/>
      <c r="GU8" s="118"/>
      <c r="GV8" s="118"/>
      <c r="GW8" s="118"/>
      <c r="GX8" s="118"/>
      <c r="GY8" s="118"/>
      <c r="GZ8" s="118"/>
      <c r="HA8" s="118"/>
      <c r="HB8" s="118"/>
      <c r="HC8" s="118"/>
      <c r="HD8" s="118"/>
      <c r="HE8" s="118"/>
      <c r="HF8" s="118"/>
      <c r="HG8" s="118"/>
      <c r="HH8" s="118"/>
      <c r="HI8" s="118"/>
      <c r="HJ8" s="118"/>
      <c r="HK8" s="118"/>
      <c r="HL8" s="118"/>
      <c r="HM8" s="118"/>
      <c r="HN8" s="118"/>
      <c r="HO8" s="118"/>
      <c r="HP8" s="118"/>
      <c r="HQ8" s="118"/>
      <c r="HR8" s="118"/>
    </row>
    <row r="9" spans="1:226" ht="13.5" customHeight="1">
      <c r="A9" s="121" t="s">
        <v>192</v>
      </c>
      <c r="B9" s="122" t="s">
        <v>193</v>
      </c>
      <c r="C9" s="122" t="s">
        <v>194</v>
      </c>
      <c r="D9" s="122" t="s">
        <v>195</v>
      </c>
      <c r="E9" s="122" t="s">
        <v>196</v>
      </c>
      <c r="F9" s="122" t="s">
        <v>197</v>
      </c>
      <c r="G9" s="122" t="s">
        <v>198</v>
      </c>
      <c r="H9" s="122" t="s">
        <v>44</v>
      </c>
      <c r="I9" s="122" t="s">
        <v>199</v>
      </c>
      <c r="J9" s="122" t="s">
        <v>200</v>
      </c>
      <c r="K9" s="123" t="s">
        <v>201</v>
      </c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18"/>
      <c r="BZ9" s="118"/>
      <c r="CA9" s="118"/>
      <c r="CB9" s="118"/>
      <c r="CC9" s="118"/>
      <c r="CD9" s="118"/>
      <c r="CE9" s="118"/>
      <c r="CF9" s="118"/>
      <c r="CG9" s="118"/>
      <c r="CH9" s="118"/>
      <c r="CI9" s="118"/>
      <c r="CJ9" s="118"/>
      <c r="CK9" s="118"/>
      <c r="CL9" s="118"/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18"/>
      <c r="DH9" s="118"/>
      <c r="DI9" s="118"/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T9" s="118"/>
      <c r="DU9" s="118"/>
      <c r="DV9" s="118"/>
      <c r="DW9" s="118"/>
      <c r="DX9" s="118"/>
      <c r="DY9" s="118"/>
      <c r="DZ9" s="118"/>
      <c r="EA9" s="118"/>
      <c r="EB9" s="118"/>
      <c r="EC9" s="118"/>
      <c r="ED9" s="118"/>
      <c r="EE9" s="118"/>
      <c r="EF9" s="118"/>
      <c r="EG9" s="118"/>
      <c r="EH9" s="118"/>
      <c r="EI9" s="118"/>
      <c r="EJ9" s="118"/>
      <c r="EK9" s="118"/>
      <c r="EL9" s="118"/>
      <c r="EM9" s="118"/>
      <c r="EN9" s="118"/>
      <c r="EO9" s="118"/>
      <c r="EP9" s="118"/>
      <c r="EQ9" s="118"/>
      <c r="ER9" s="118"/>
      <c r="ES9" s="118"/>
      <c r="ET9" s="118"/>
      <c r="EU9" s="118"/>
      <c r="EV9" s="118"/>
      <c r="EW9" s="118"/>
      <c r="EX9" s="118"/>
      <c r="EY9" s="118"/>
      <c r="EZ9" s="118"/>
      <c r="FA9" s="118"/>
      <c r="FB9" s="118"/>
      <c r="FC9" s="118"/>
      <c r="FD9" s="118"/>
      <c r="FE9" s="118"/>
      <c r="FF9" s="118"/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8"/>
      <c r="GC9" s="118"/>
      <c r="GD9" s="118"/>
      <c r="GE9" s="118"/>
      <c r="GF9" s="118"/>
      <c r="GG9" s="118"/>
      <c r="GH9" s="118"/>
      <c r="GI9" s="118"/>
      <c r="GJ9" s="118"/>
      <c r="GK9" s="118"/>
      <c r="GL9" s="118"/>
      <c r="GM9" s="118"/>
      <c r="GN9" s="118"/>
      <c r="GO9" s="118"/>
      <c r="GP9" s="118"/>
      <c r="GQ9" s="118"/>
      <c r="GR9" s="118"/>
      <c r="GS9" s="118"/>
      <c r="GT9" s="118"/>
      <c r="GU9" s="118"/>
      <c r="GV9" s="118"/>
      <c r="GW9" s="118"/>
      <c r="GX9" s="118"/>
      <c r="GY9" s="118"/>
      <c r="GZ9" s="118"/>
      <c r="HA9" s="118"/>
      <c r="HB9" s="118"/>
      <c r="HC9" s="118"/>
      <c r="HD9" s="118"/>
      <c r="HE9" s="118"/>
      <c r="HF9" s="118"/>
      <c r="HG9" s="118"/>
      <c r="HH9" s="118"/>
      <c r="HI9" s="118"/>
      <c r="HJ9" s="118"/>
      <c r="HK9" s="118"/>
      <c r="HL9" s="118"/>
      <c r="HM9" s="118"/>
      <c r="HN9" s="118"/>
      <c r="HO9" s="118"/>
      <c r="HP9" s="118"/>
      <c r="HQ9" s="118"/>
      <c r="HR9" s="118"/>
    </row>
    <row r="10" spans="1:226" s="118" customFormat="1" ht="13.5" thickBot="1">
      <c r="A10" s="124">
        <v>1</v>
      </c>
      <c r="B10" s="125">
        <v>866</v>
      </c>
      <c r="C10" s="126">
        <f>BACIAS!G5</f>
        <v>0.264293</v>
      </c>
      <c r="D10" s="126">
        <v>16</v>
      </c>
      <c r="E10" s="126">
        <v>13.722</v>
      </c>
      <c r="F10" s="127">
        <f>(D10-E10)/(B10/1000)</f>
        <v>2.6304849884526567</v>
      </c>
      <c r="G10" s="128">
        <v>25</v>
      </c>
      <c r="H10" s="129">
        <f>57*(((B10/1000)^2/(F10))^0.385)</f>
        <v>35.160078728538743</v>
      </c>
      <c r="I10" s="126">
        <f>(3445.7*G10^0.138)/(H10+26)^1.012</f>
        <v>83.615642625866741</v>
      </c>
      <c r="J10" s="130">
        <v>0.25</v>
      </c>
      <c r="K10" s="131">
        <f>(J10*I10*C10)/3.6</f>
        <v>1.5346547942026527</v>
      </c>
    </row>
    <row r="11" spans="1:226" s="118" customFormat="1" ht="6" customHeight="1" thickBot="1">
      <c r="A11" s="132"/>
      <c r="B11" s="133"/>
      <c r="C11" s="133"/>
      <c r="D11" s="133"/>
      <c r="E11" s="133"/>
      <c r="F11" s="134"/>
      <c r="G11" s="135"/>
      <c r="H11" s="136"/>
      <c r="I11" s="137"/>
      <c r="J11" s="134"/>
      <c r="K11" s="138"/>
    </row>
    <row r="12" spans="1:226" s="118" customFormat="1" ht="13.5" thickBot="1">
      <c r="A12" s="700" t="s">
        <v>202</v>
      </c>
      <c r="B12" s="701"/>
      <c r="C12" s="701"/>
      <c r="D12" s="701"/>
      <c r="E12" s="701"/>
      <c r="F12" s="701"/>
      <c r="G12" s="701"/>
      <c r="H12" s="701"/>
      <c r="I12" s="701"/>
      <c r="J12" s="701"/>
      <c r="K12" s="702"/>
    </row>
    <row r="13" spans="1:226" s="118" customFormat="1" ht="12.75" customHeight="1">
      <c r="A13" s="703" t="s">
        <v>203</v>
      </c>
      <c r="B13" s="696"/>
      <c r="C13" s="696"/>
      <c r="D13" s="139" t="s">
        <v>193</v>
      </c>
      <c r="E13" s="696" t="s">
        <v>195</v>
      </c>
      <c r="F13" s="696"/>
      <c r="G13" s="696" t="s">
        <v>196</v>
      </c>
      <c r="H13" s="696"/>
      <c r="I13" s="696" t="s">
        <v>204</v>
      </c>
      <c r="J13" s="696"/>
      <c r="K13" s="140" t="s">
        <v>205</v>
      </c>
    </row>
    <row r="14" spans="1:226" s="118" customFormat="1" ht="13.5" thickBot="1">
      <c r="A14" s="124">
        <v>30</v>
      </c>
      <c r="B14" s="128" t="s">
        <v>48</v>
      </c>
      <c r="C14" s="129">
        <v>6</v>
      </c>
      <c r="D14" s="129">
        <v>13</v>
      </c>
      <c r="E14" s="694">
        <f>E10</f>
        <v>13.722</v>
      </c>
      <c r="F14" s="694"/>
      <c r="G14" s="694">
        <v>13.45</v>
      </c>
      <c r="H14" s="694"/>
      <c r="I14" s="695">
        <f>(E14-G14)/D14</f>
        <v>2.092307692307694E-2</v>
      </c>
      <c r="J14" s="695"/>
      <c r="K14" s="141" t="s">
        <v>303</v>
      </c>
      <c r="M14" s="142"/>
      <c r="N14" s="143"/>
    </row>
    <row r="15" spans="1:226" s="118" customFormat="1">
      <c r="A15" s="108"/>
      <c r="B15" s="109"/>
      <c r="C15" s="109"/>
      <c r="D15" s="109"/>
      <c r="E15" s="109"/>
      <c r="F15" s="144"/>
      <c r="G15" s="145"/>
      <c r="H15" s="146"/>
      <c r="I15" s="147"/>
      <c r="J15" s="144"/>
      <c r="K15" s="148" t="s">
        <v>206</v>
      </c>
    </row>
    <row r="16" spans="1:226" s="118" customFormat="1" ht="12.75" customHeight="1">
      <c r="A16" s="149"/>
      <c r="B16" s="150"/>
      <c r="C16" s="150"/>
      <c r="D16" s="150"/>
      <c r="E16" s="150"/>
      <c r="F16" s="151"/>
      <c r="G16" s="152"/>
      <c r="H16" s="153"/>
      <c r="I16" s="154"/>
      <c r="J16" s="151"/>
      <c r="K16" s="155"/>
    </row>
    <row r="17" spans="1:11" s="118" customFormat="1">
      <c r="A17" s="149"/>
      <c r="B17" s="150"/>
      <c r="C17" s="150"/>
      <c r="D17" s="150"/>
      <c r="E17" s="150"/>
      <c r="F17" s="151"/>
      <c r="G17" s="152"/>
      <c r="H17" s="153"/>
      <c r="I17" s="154"/>
      <c r="J17" s="151"/>
      <c r="K17" s="155"/>
    </row>
    <row r="18" spans="1:11" s="118" customFormat="1">
      <c r="A18" s="149"/>
      <c r="B18" s="150"/>
      <c r="C18" s="150"/>
      <c r="D18" s="150"/>
      <c r="E18" s="150"/>
      <c r="F18" s="151"/>
      <c r="G18" s="152"/>
      <c r="H18" s="153"/>
      <c r="I18" s="154"/>
      <c r="J18" s="151"/>
      <c r="K18" s="155"/>
    </row>
    <row r="19" spans="1:11" s="118" customFormat="1">
      <c r="A19" s="149"/>
      <c r="B19" s="150"/>
      <c r="C19" s="150"/>
      <c r="D19" s="150"/>
      <c r="E19" s="150"/>
      <c r="F19" s="151"/>
      <c r="G19" s="152"/>
      <c r="H19" s="153"/>
      <c r="I19" s="154"/>
      <c r="J19" s="151"/>
      <c r="K19" s="155"/>
    </row>
    <row r="20" spans="1:11" s="118" customFormat="1">
      <c r="A20" s="149"/>
      <c r="B20" s="150"/>
      <c r="C20" s="150"/>
      <c r="D20" s="150"/>
      <c r="E20" s="150"/>
      <c r="F20" s="151"/>
      <c r="G20" s="152"/>
      <c r="H20" s="153"/>
      <c r="I20" s="154"/>
      <c r="J20" s="151"/>
      <c r="K20" s="155"/>
    </row>
    <row r="21" spans="1:11" s="118" customFormat="1">
      <c r="A21" s="149"/>
      <c r="B21" s="150"/>
      <c r="C21" s="150"/>
      <c r="D21" s="150"/>
      <c r="E21" s="150"/>
      <c r="F21" s="151"/>
      <c r="G21" s="152"/>
      <c r="H21" s="153"/>
      <c r="I21" s="154"/>
      <c r="J21" s="151"/>
      <c r="K21" s="155"/>
    </row>
    <row r="22" spans="1:11" s="118" customFormat="1">
      <c r="A22" s="149"/>
      <c r="B22" s="150"/>
      <c r="C22" s="150"/>
      <c r="D22" s="150"/>
      <c r="E22" s="150"/>
      <c r="F22" s="151"/>
      <c r="G22" s="152"/>
      <c r="H22" s="153"/>
      <c r="I22" s="154"/>
      <c r="J22" s="151"/>
      <c r="K22" s="155"/>
    </row>
    <row r="23" spans="1:11" s="118" customFormat="1">
      <c r="A23" s="149"/>
      <c r="B23" s="150"/>
      <c r="C23" s="150"/>
      <c r="D23" s="150"/>
      <c r="E23" s="150"/>
      <c r="F23" s="151"/>
      <c r="G23" s="152"/>
      <c r="H23" s="153"/>
      <c r="I23" s="154"/>
      <c r="J23" s="151"/>
      <c r="K23" s="155"/>
    </row>
    <row r="24" spans="1:11" s="118" customFormat="1">
      <c r="A24" s="149"/>
      <c r="B24" s="150"/>
      <c r="C24" s="150"/>
      <c r="D24" s="150"/>
      <c r="E24" s="150"/>
      <c r="F24" s="151"/>
      <c r="G24" s="152"/>
      <c r="H24" s="153"/>
      <c r="I24" s="154"/>
      <c r="J24" s="151"/>
      <c r="K24" s="155"/>
    </row>
    <row r="25" spans="1:11" s="118" customFormat="1">
      <c r="A25" s="149"/>
      <c r="B25" s="150"/>
      <c r="C25" s="150"/>
      <c r="D25" s="150"/>
      <c r="E25" s="150"/>
      <c r="F25" s="151"/>
      <c r="G25" s="152"/>
      <c r="H25" s="153"/>
      <c r="I25" s="154"/>
      <c r="J25" s="151"/>
      <c r="K25" s="155"/>
    </row>
    <row r="26" spans="1:11" s="118" customFormat="1">
      <c r="A26" s="149"/>
      <c r="B26" s="150"/>
      <c r="C26" s="150"/>
      <c r="D26" s="150"/>
      <c r="E26" s="150"/>
      <c r="F26" s="151"/>
      <c r="G26" s="152"/>
      <c r="H26" s="153"/>
      <c r="I26" s="154"/>
      <c r="J26" s="151"/>
      <c r="K26" s="155"/>
    </row>
    <row r="27" spans="1:11" s="118" customFormat="1">
      <c r="A27" s="149"/>
      <c r="B27" s="150"/>
      <c r="C27" s="150"/>
      <c r="D27" s="150"/>
      <c r="E27" s="150"/>
      <c r="F27" s="151"/>
      <c r="G27" s="152"/>
      <c r="H27" s="153"/>
      <c r="I27" s="154"/>
      <c r="J27" s="151"/>
      <c r="K27" s="155"/>
    </row>
    <row r="28" spans="1:11" s="118" customFormat="1">
      <c r="A28" s="149"/>
      <c r="B28" s="150"/>
      <c r="C28" s="150"/>
      <c r="D28" s="150"/>
      <c r="E28" s="150"/>
      <c r="F28" s="151"/>
      <c r="G28" s="152"/>
      <c r="H28" s="153"/>
      <c r="I28" s="154"/>
      <c r="J28" s="151"/>
      <c r="K28" s="155"/>
    </row>
    <row r="29" spans="1:11" s="118" customFormat="1">
      <c r="A29" s="149"/>
      <c r="B29" s="150"/>
      <c r="C29" s="150"/>
      <c r="D29" s="150"/>
      <c r="E29" s="150"/>
      <c r="F29" s="151"/>
      <c r="G29" s="152"/>
      <c r="H29" s="153"/>
      <c r="I29" s="154"/>
      <c r="J29" s="151"/>
      <c r="K29" s="155"/>
    </row>
    <row r="30" spans="1:11" s="118" customFormat="1">
      <c r="A30" s="149"/>
      <c r="B30" s="150"/>
      <c r="C30" s="150"/>
      <c r="D30" s="150"/>
      <c r="E30" s="150"/>
      <c r="F30" s="151"/>
      <c r="G30" s="152"/>
      <c r="H30" s="153"/>
      <c r="I30" s="154"/>
      <c r="J30" s="151"/>
      <c r="K30" s="155"/>
    </row>
    <row r="31" spans="1:11" s="118" customFormat="1">
      <c r="A31" s="149"/>
      <c r="B31" s="150"/>
      <c r="C31" s="150"/>
      <c r="D31" s="150"/>
      <c r="E31" s="150"/>
      <c r="F31" s="151"/>
      <c r="G31" s="152"/>
      <c r="H31" s="153"/>
      <c r="I31" s="154"/>
      <c r="J31" s="151"/>
      <c r="K31" s="155"/>
    </row>
    <row r="32" spans="1:11" s="118" customFormat="1">
      <c r="A32" s="149"/>
      <c r="B32" s="150"/>
      <c r="C32" s="150"/>
      <c r="D32" s="150"/>
      <c r="E32" s="150"/>
      <c r="F32" s="151"/>
      <c r="G32" s="152"/>
      <c r="H32" s="153"/>
      <c r="I32" s="154"/>
      <c r="J32" s="151"/>
      <c r="K32" s="155"/>
    </row>
    <row r="33" spans="1:226" s="118" customFormat="1">
      <c r="A33" s="149"/>
      <c r="B33" s="150"/>
      <c r="C33" s="150"/>
      <c r="D33" s="150"/>
      <c r="E33" s="150"/>
      <c r="F33" s="151"/>
      <c r="G33" s="152"/>
      <c r="H33" s="153"/>
      <c r="I33" s="154"/>
      <c r="J33" s="151"/>
      <c r="K33" s="155"/>
    </row>
    <row r="34" spans="1:226" s="118" customFormat="1">
      <c r="A34" s="149"/>
      <c r="B34" s="150"/>
      <c r="C34" s="150"/>
      <c r="D34" s="150"/>
      <c r="E34" s="150"/>
      <c r="F34" s="151"/>
      <c r="G34" s="152"/>
      <c r="H34" s="153"/>
      <c r="I34" s="154"/>
      <c r="J34" s="151"/>
      <c r="K34" s="155"/>
    </row>
    <row r="35" spans="1:226" s="118" customFormat="1">
      <c r="A35" s="149"/>
      <c r="B35" s="150"/>
      <c r="C35" s="150"/>
      <c r="D35" s="150"/>
      <c r="E35" s="150"/>
      <c r="F35" s="151"/>
      <c r="G35" s="152"/>
      <c r="H35" s="153"/>
      <c r="I35" s="154"/>
      <c r="J35" s="151"/>
      <c r="K35" s="155"/>
    </row>
    <row r="36" spans="1:226" s="118" customFormat="1">
      <c r="A36" s="149"/>
      <c r="B36" s="150"/>
      <c r="C36" s="150"/>
      <c r="D36" s="150"/>
      <c r="E36" s="150"/>
      <c r="F36" s="151"/>
      <c r="G36" s="152"/>
      <c r="H36" s="153"/>
      <c r="I36" s="154"/>
      <c r="J36" s="151"/>
      <c r="K36" s="155"/>
    </row>
    <row r="37" spans="1:226" s="118" customFormat="1" ht="13.5" thickBot="1">
      <c r="A37" s="110"/>
      <c r="B37" s="111"/>
      <c r="C37" s="111"/>
      <c r="D37" s="111"/>
      <c r="E37" s="111"/>
      <c r="F37" s="156"/>
      <c r="G37" s="156"/>
      <c r="H37" s="156"/>
      <c r="I37" s="156"/>
      <c r="J37" s="157"/>
      <c r="K37" s="158"/>
    </row>
    <row r="38" spans="1:226" s="120" customFormat="1" ht="13.5" customHeight="1">
      <c r="A38" s="697" t="s">
        <v>191</v>
      </c>
      <c r="B38" s="698"/>
      <c r="C38" s="698"/>
      <c r="D38" s="698"/>
      <c r="E38" s="698"/>
      <c r="F38" s="698"/>
      <c r="G38" s="698"/>
      <c r="H38" s="698"/>
      <c r="I38" s="698"/>
      <c r="J38" s="698"/>
      <c r="K38" s="699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18"/>
      <c r="AZ38" s="118"/>
      <c r="BA38" s="118"/>
      <c r="BB38" s="118"/>
      <c r="BC38" s="118"/>
      <c r="BD38" s="118"/>
      <c r="BE38" s="118"/>
      <c r="BF38" s="118"/>
      <c r="BG38" s="118"/>
      <c r="BH38" s="118"/>
      <c r="BI38" s="118"/>
      <c r="BJ38" s="118"/>
      <c r="BK38" s="118"/>
      <c r="BL38" s="118"/>
      <c r="BM38" s="118"/>
      <c r="BN38" s="118"/>
      <c r="BO38" s="118"/>
      <c r="BP38" s="118"/>
      <c r="BQ38" s="118"/>
      <c r="BR38" s="118"/>
      <c r="BS38" s="118"/>
      <c r="BT38" s="118"/>
      <c r="BU38" s="118"/>
      <c r="BV38" s="118"/>
      <c r="BW38" s="118"/>
      <c r="BX38" s="118"/>
      <c r="BY38" s="118"/>
      <c r="BZ38" s="118"/>
      <c r="CA38" s="118"/>
      <c r="CB38" s="118"/>
      <c r="CC38" s="118"/>
      <c r="CD38" s="118"/>
      <c r="CE38" s="118"/>
      <c r="CF38" s="118"/>
      <c r="CG38" s="118"/>
      <c r="CH38" s="118"/>
      <c r="CI38" s="118"/>
      <c r="CJ38" s="118"/>
      <c r="CK38" s="118"/>
      <c r="CL38" s="118"/>
      <c r="CM38" s="118"/>
      <c r="CN38" s="118"/>
      <c r="CO38" s="118"/>
      <c r="CP38" s="118"/>
      <c r="CQ38" s="118"/>
      <c r="CR38" s="118"/>
      <c r="CS38" s="118"/>
      <c r="CT38" s="118"/>
      <c r="CU38" s="118"/>
      <c r="CV38" s="118"/>
      <c r="CW38" s="118"/>
      <c r="CX38" s="118"/>
      <c r="CY38" s="118"/>
      <c r="CZ38" s="118"/>
      <c r="DA38" s="118"/>
      <c r="DB38" s="118"/>
      <c r="DC38" s="118"/>
      <c r="DD38" s="118"/>
      <c r="DE38" s="118"/>
      <c r="DF38" s="118"/>
      <c r="DG38" s="118"/>
      <c r="DH38" s="118"/>
      <c r="DI38" s="118"/>
      <c r="DJ38" s="118"/>
      <c r="DK38" s="118"/>
      <c r="DL38" s="118"/>
      <c r="DM38" s="118"/>
      <c r="DN38" s="118"/>
      <c r="DO38" s="118"/>
      <c r="DP38" s="118"/>
      <c r="DQ38" s="118"/>
      <c r="DR38" s="118"/>
      <c r="DS38" s="118"/>
      <c r="DT38" s="118"/>
      <c r="DU38" s="118"/>
      <c r="DV38" s="118"/>
      <c r="DW38" s="118"/>
      <c r="DX38" s="118"/>
      <c r="DY38" s="118"/>
      <c r="DZ38" s="118"/>
      <c r="EA38" s="118"/>
      <c r="EB38" s="118"/>
      <c r="EC38" s="118"/>
      <c r="ED38" s="118"/>
      <c r="EE38" s="118"/>
      <c r="EF38" s="118"/>
      <c r="EG38" s="118"/>
      <c r="EH38" s="118"/>
      <c r="EI38" s="118"/>
      <c r="EJ38" s="118"/>
      <c r="EK38" s="118"/>
      <c r="EL38" s="118"/>
      <c r="EM38" s="118"/>
      <c r="EN38" s="118"/>
      <c r="EO38" s="118"/>
      <c r="EP38" s="118"/>
      <c r="EQ38" s="118"/>
      <c r="ER38" s="118"/>
      <c r="ES38" s="118"/>
      <c r="ET38" s="118"/>
      <c r="EU38" s="118"/>
      <c r="EV38" s="118"/>
      <c r="EW38" s="118"/>
      <c r="EX38" s="118"/>
      <c r="EY38" s="118"/>
      <c r="EZ38" s="118"/>
      <c r="FA38" s="118"/>
      <c r="FB38" s="118"/>
      <c r="FC38" s="118"/>
      <c r="FD38" s="118"/>
      <c r="FE38" s="118"/>
      <c r="FF38" s="118"/>
      <c r="FG38" s="118"/>
      <c r="FH38" s="118"/>
      <c r="FI38" s="118"/>
      <c r="FJ38" s="118"/>
      <c r="FK38" s="118"/>
      <c r="FL38" s="118"/>
      <c r="FM38" s="118"/>
      <c r="FN38" s="118"/>
      <c r="FO38" s="118"/>
      <c r="FP38" s="118"/>
      <c r="FQ38" s="118"/>
      <c r="FR38" s="118"/>
      <c r="FS38" s="118"/>
      <c r="FT38" s="118"/>
      <c r="FU38" s="118"/>
      <c r="FV38" s="118"/>
      <c r="FW38" s="118"/>
      <c r="FX38" s="118"/>
      <c r="FY38" s="118"/>
      <c r="FZ38" s="118"/>
      <c r="GA38" s="118"/>
      <c r="GB38" s="118"/>
      <c r="GC38" s="118"/>
      <c r="GD38" s="118"/>
      <c r="GE38" s="118"/>
      <c r="GF38" s="118"/>
      <c r="GG38" s="118"/>
      <c r="GH38" s="118"/>
      <c r="GI38" s="118"/>
      <c r="GJ38" s="118"/>
      <c r="GK38" s="118"/>
      <c r="GL38" s="118"/>
      <c r="GM38" s="118"/>
      <c r="GN38" s="118"/>
      <c r="GO38" s="118"/>
      <c r="GP38" s="118"/>
      <c r="GQ38" s="118"/>
      <c r="GR38" s="118"/>
      <c r="GS38" s="118"/>
      <c r="GT38" s="118"/>
      <c r="GU38" s="118"/>
      <c r="GV38" s="118"/>
      <c r="GW38" s="118"/>
      <c r="GX38" s="118"/>
      <c r="GY38" s="118"/>
      <c r="GZ38" s="118"/>
      <c r="HA38" s="118"/>
      <c r="HB38" s="118"/>
      <c r="HC38" s="118"/>
      <c r="HD38" s="118"/>
      <c r="HE38" s="118"/>
      <c r="HF38" s="118"/>
      <c r="HG38" s="118"/>
      <c r="HH38" s="118"/>
      <c r="HI38" s="118"/>
      <c r="HJ38" s="118"/>
      <c r="HK38" s="118"/>
      <c r="HL38" s="118"/>
      <c r="HM38" s="118"/>
      <c r="HN38" s="118"/>
      <c r="HO38" s="118"/>
      <c r="HP38" s="118"/>
      <c r="HQ38" s="118"/>
      <c r="HR38" s="118"/>
    </row>
    <row r="39" spans="1:226" ht="13.5" customHeight="1">
      <c r="A39" s="121" t="s">
        <v>192</v>
      </c>
      <c r="B39" s="122" t="s">
        <v>193</v>
      </c>
      <c r="C39" s="122" t="s">
        <v>194</v>
      </c>
      <c r="D39" s="122" t="s">
        <v>195</v>
      </c>
      <c r="E39" s="122" t="s">
        <v>196</v>
      </c>
      <c r="F39" s="122" t="s">
        <v>197</v>
      </c>
      <c r="G39" s="122" t="s">
        <v>198</v>
      </c>
      <c r="H39" s="122" t="s">
        <v>44</v>
      </c>
      <c r="I39" s="122" t="s">
        <v>199</v>
      </c>
      <c r="J39" s="122" t="s">
        <v>200</v>
      </c>
      <c r="K39" s="123" t="s">
        <v>201</v>
      </c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18"/>
      <c r="AZ39" s="118"/>
      <c r="BA39" s="118"/>
      <c r="BB39" s="118"/>
      <c r="BC39" s="118"/>
      <c r="BD39" s="118"/>
      <c r="BE39" s="118"/>
      <c r="BF39" s="118"/>
      <c r="BG39" s="118"/>
      <c r="BH39" s="118"/>
      <c r="BI39" s="118"/>
      <c r="BJ39" s="118"/>
      <c r="BK39" s="118"/>
      <c r="BL39" s="118"/>
      <c r="BM39" s="118"/>
      <c r="BN39" s="118"/>
      <c r="BO39" s="118"/>
      <c r="BP39" s="118"/>
      <c r="BQ39" s="118"/>
      <c r="BR39" s="118"/>
      <c r="BS39" s="118"/>
      <c r="BT39" s="118"/>
      <c r="BU39" s="118"/>
      <c r="BV39" s="118"/>
      <c r="BW39" s="118"/>
      <c r="BX39" s="118"/>
      <c r="BY39" s="118"/>
      <c r="BZ39" s="118"/>
      <c r="CA39" s="118"/>
      <c r="CB39" s="118"/>
      <c r="CC39" s="118"/>
      <c r="CD39" s="118"/>
      <c r="CE39" s="118"/>
      <c r="CF39" s="118"/>
      <c r="CG39" s="118"/>
      <c r="CH39" s="118"/>
      <c r="CI39" s="118"/>
      <c r="CJ39" s="118"/>
      <c r="CK39" s="118"/>
      <c r="CL39" s="118"/>
      <c r="CM39" s="118"/>
      <c r="CN39" s="118"/>
      <c r="CO39" s="118"/>
      <c r="CP39" s="118"/>
      <c r="CQ39" s="118"/>
      <c r="CR39" s="118"/>
      <c r="CS39" s="118"/>
      <c r="CT39" s="118"/>
      <c r="CU39" s="118"/>
      <c r="CV39" s="118"/>
      <c r="CW39" s="118"/>
      <c r="CX39" s="118"/>
      <c r="CY39" s="118"/>
      <c r="CZ39" s="118"/>
      <c r="DA39" s="118"/>
      <c r="DB39" s="118"/>
      <c r="DC39" s="118"/>
      <c r="DD39" s="118"/>
      <c r="DE39" s="118"/>
      <c r="DF39" s="118"/>
      <c r="DG39" s="118"/>
      <c r="DH39" s="118"/>
      <c r="DI39" s="118"/>
      <c r="DJ39" s="118"/>
      <c r="DK39" s="118"/>
      <c r="DL39" s="118"/>
      <c r="DM39" s="118"/>
      <c r="DN39" s="118"/>
      <c r="DO39" s="118"/>
      <c r="DP39" s="118"/>
      <c r="DQ39" s="118"/>
      <c r="DR39" s="118"/>
      <c r="DS39" s="118"/>
      <c r="DT39" s="118"/>
      <c r="DU39" s="118"/>
      <c r="DV39" s="118"/>
      <c r="DW39" s="118"/>
      <c r="DX39" s="118"/>
      <c r="DY39" s="118"/>
      <c r="DZ39" s="118"/>
      <c r="EA39" s="118"/>
      <c r="EB39" s="118"/>
      <c r="EC39" s="118"/>
      <c r="ED39" s="118"/>
      <c r="EE39" s="118"/>
      <c r="EF39" s="118"/>
      <c r="EG39" s="118"/>
      <c r="EH39" s="118"/>
      <c r="EI39" s="118"/>
      <c r="EJ39" s="118"/>
      <c r="EK39" s="118"/>
      <c r="EL39" s="118"/>
      <c r="EM39" s="118"/>
      <c r="EN39" s="118"/>
      <c r="EO39" s="118"/>
      <c r="EP39" s="118"/>
      <c r="EQ39" s="118"/>
      <c r="ER39" s="118"/>
      <c r="ES39" s="118"/>
      <c r="ET39" s="118"/>
      <c r="EU39" s="118"/>
      <c r="EV39" s="118"/>
      <c r="EW39" s="118"/>
      <c r="EX39" s="118"/>
      <c r="EY39" s="118"/>
      <c r="EZ39" s="118"/>
      <c r="FA39" s="118"/>
      <c r="FB39" s="118"/>
      <c r="FC39" s="118"/>
      <c r="FD39" s="118"/>
      <c r="FE39" s="118"/>
      <c r="FF39" s="118"/>
      <c r="FG39" s="118"/>
      <c r="FH39" s="118"/>
      <c r="FI39" s="118"/>
      <c r="FJ39" s="118"/>
      <c r="FK39" s="118"/>
      <c r="FL39" s="118"/>
      <c r="FM39" s="118"/>
      <c r="FN39" s="118"/>
      <c r="FO39" s="118"/>
      <c r="FP39" s="118"/>
      <c r="FQ39" s="118"/>
      <c r="FR39" s="118"/>
      <c r="FS39" s="118"/>
      <c r="FT39" s="118"/>
      <c r="FU39" s="118"/>
      <c r="FV39" s="118"/>
      <c r="FW39" s="118"/>
      <c r="FX39" s="118"/>
      <c r="FY39" s="118"/>
      <c r="FZ39" s="118"/>
      <c r="GA39" s="118"/>
      <c r="GB39" s="118"/>
      <c r="GC39" s="118"/>
      <c r="GD39" s="118"/>
      <c r="GE39" s="118"/>
      <c r="GF39" s="118"/>
      <c r="GG39" s="118"/>
      <c r="GH39" s="118"/>
      <c r="GI39" s="118"/>
      <c r="GJ39" s="118"/>
      <c r="GK39" s="118"/>
      <c r="GL39" s="118"/>
      <c r="GM39" s="118"/>
      <c r="GN39" s="118"/>
      <c r="GO39" s="118"/>
      <c r="GP39" s="118"/>
      <c r="GQ39" s="118"/>
      <c r="GR39" s="118"/>
      <c r="GS39" s="118"/>
      <c r="GT39" s="118"/>
      <c r="GU39" s="118"/>
      <c r="GV39" s="118"/>
      <c r="GW39" s="118"/>
      <c r="GX39" s="118"/>
      <c r="GY39" s="118"/>
      <c r="GZ39" s="118"/>
      <c r="HA39" s="118"/>
      <c r="HB39" s="118"/>
      <c r="HC39" s="118"/>
      <c r="HD39" s="118"/>
      <c r="HE39" s="118"/>
      <c r="HF39" s="118"/>
      <c r="HG39" s="118"/>
      <c r="HH39" s="118"/>
      <c r="HI39" s="118"/>
      <c r="HJ39" s="118"/>
      <c r="HK39" s="118"/>
      <c r="HL39" s="118"/>
      <c r="HM39" s="118"/>
      <c r="HN39" s="118"/>
      <c r="HO39" s="118"/>
      <c r="HP39" s="118"/>
      <c r="HQ39" s="118"/>
      <c r="HR39" s="118"/>
    </row>
    <row r="40" spans="1:226" s="118" customFormat="1" ht="13.5" thickBot="1">
      <c r="A40" s="124">
        <v>2</v>
      </c>
      <c r="B40" s="125">
        <v>900</v>
      </c>
      <c r="C40" s="126">
        <f>BACIAS!G6</f>
        <v>0.17380799999999999</v>
      </c>
      <c r="D40" s="126">
        <v>15</v>
      </c>
      <c r="E40" s="126">
        <v>13.157999999999999</v>
      </c>
      <c r="F40" s="127">
        <f>(D40-E40)/(B40/1000)</f>
        <v>2.0466666666666673</v>
      </c>
      <c r="G40" s="128">
        <v>25</v>
      </c>
      <c r="H40" s="129">
        <f>57*(((B40/1000)^2/(F40))^0.385)</f>
        <v>39.892242290557796</v>
      </c>
      <c r="I40" s="126">
        <f>(3445.7*G40^0.138)/(H40+26)^1.012</f>
        <v>77.541265748726843</v>
      </c>
      <c r="J40" s="130">
        <v>0.25</v>
      </c>
      <c r="K40" s="131">
        <f>(J40*I40*C40)/3.6</f>
        <v>0.935923077587133</v>
      </c>
    </row>
    <row r="41" spans="1:226" s="118" customFormat="1" ht="6" customHeight="1" thickBot="1">
      <c r="A41" s="132"/>
      <c r="B41" s="133"/>
      <c r="C41" s="133"/>
      <c r="D41" s="133"/>
      <c r="E41" s="133"/>
      <c r="F41" s="134"/>
      <c r="G41" s="135"/>
      <c r="H41" s="136"/>
      <c r="I41" s="137"/>
      <c r="J41" s="134"/>
      <c r="K41" s="138"/>
    </row>
    <row r="42" spans="1:226" s="118" customFormat="1" ht="13.5" thickBot="1">
      <c r="A42" s="700" t="s">
        <v>202</v>
      </c>
      <c r="B42" s="701"/>
      <c r="C42" s="701"/>
      <c r="D42" s="701"/>
      <c r="E42" s="701"/>
      <c r="F42" s="701"/>
      <c r="G42" s="701"/>
      <c r="H42" s="701"/>
      <c r="I42" s="701"/>
      <c r="J42" s="701"/>
      <c r="K42" s="702"/>
    </row>
    <row r="43" spans="1:226" s="118" customFormat="1" ht="12.75" customHeight="1">
      <c r="A43" s="703" t="s">
        <v>203</v>
      </c>
      <c r="B43" s="696"/>
      <c r="C43" s="696"/>
      <c r="D43" s="139" t="s">
        <v>193</v>
      </c>
      <c r="E43" s="696" t="s">
        <v>195</v>
      </c>
      <c r="F43" s="696"/>
      <c r="G43" s="696" t="s">
        <v>196</v>
      </c>
      <c r="H43" s="696"/>
      <c r="I43" s="696" t="s">
        <v>204</v>
      </c>
      <c r="J43" s="696"/>
      <c r="K43" s="140" t="s">
        <v>205</v>
      </c>
    </row>
    <row r="44" spans="1:226" s="118" customFormat="1" ht="13.5" thickBot="1">
      <c r="A44" s="124">
        <v>50</v>
      </c>
      <c r="B44" s="128" t="s">
        <v>48</v>
      </c>
      <c r="C44" s="129">
        <v>0</v>
      </c>
      <c r="D44" s="129">
        <v>13</v>
      </c>
      <c r="E44" s="694">
        <f>E40</f>
        <v>13.157999999999999</v>
      </c>
      <c r="F44" s="694"/>
      <c r="G44" s="694">
        <v>12.898</v>
      </c>
      <c r="H44" s="694"/>
      <c r="I44" s="695">
        <f>(E44-G44)/D44</f>
        <v>1.9999999999999983E-2</v>
      </c>
      <c r="J44" s="695"/>
      <c r="K44" s="141" t="s">
        <v>303</v>
      </c>
      <c r="M44" s="142"/>
    </row>
    <row r="45" spans="1:226" s="118" customFormat="1">
      <c r="A45" s="149"/>
      <c r="B45" s="150"/>
      <c r="C45" s="150"/>
      <c r="D45" s="150"/>
      <c r="E45" s="150"/>
      <c r="F45" s="151"/>
      <c r="G45" s="152"/>
      <c r="H45" s="153"/>
      <c r="I45" s="154"/>
      <c r="J45" s="151"/>
      <c r="K45" s="148" t="s">
        <v>206</v>
      </c>
      <c r="N45" s="143"/>
    </row>
    <row r="46" spans="1:226" s="118" customFormat="1" ht="12.75" customHeight="1">
      <c r="A46" s="149"/>
      <c r="B46" s="150"/>
      <c r="C46" s="150"/>
      <c r="D46" s="150"/>
      <c r="E46" s="150"/>
      <c r="F46" s="151"/>
      <c r="G46" s="152"/>
      <c r="H46" s="153"/>
      <c r="I46" s="154"/>
      <c r="J46" s="151"/>
      <c r="K46" s="159"/>
    </row>
    <row r="47" spans="1:226" s="118" customFormat="1">
      <c r="A47" s="149"/>
      <c r="B47" s="150"/>
      <c r="C47" s="150"/>
      <c r="D47" s="150"/>
      <c r="E47" s="150"/>
      <c r="F47" s="151"/>
      <c r="G47" s="152"/>
      <c r="H47" s="153"/>
      <c r="I47" s="154"/>
      <c r="J47" s="151"/>
      <c r="K47" s="155"/>
    </row>
    <row r="48" spans="1:226" s="118" customFormat="1">
      <c r="A48" s="149"/>
      <c r="B48" s="150"/>
      <c r="C48" s="150"/>
      <c r="D48" s="150"/>
      <c r="E48" s="150"/>
      <c r="F48" s="151"/>
      <c r="G48" s="152"/>
      <c r="H48" s="153"/>
      <c r="I48" s="154"/>
      <c r="J48" s="151"/>
      <c r="K48" s="155"/>
    </row>
    <row r="49" spans="1:11" s="118" customFormat="1">
      <c r="A49" s="149"/>
      <c r="B49" s="150"/>
      <c r="C49" s="150"/>
      <c r="D49" s="150"/>
      <c r="E49" s="150"/>
      <c r="F49" s="151"/>
      <c r="G49" s="152"/>
      <c r="H49" s="153"/>
      <c r="I49" s="154"/>
      <c r="J49" s="151"/>
      <c r="K49" s="155"/>
    </row>
    <row r="50" spans="1:11" s="118" customFormat="1">
      <c r="A50" s="149"/>
      <c r="B50" s="150"/>
      <c r="C50" s="150"/>
      <c r="D50" s="150"/>
      <c r="E50" s="150"/>
      <c r="F50" s="151"/>
      <c r="G50" s="152"/>
      <c r="H50" s="153"/>
      <c r="I50" s="154"/>
      <c r="J50" s="151"/>
      <c r="K50" s="155"/>
    </row>
    <row r="51" spans="1:11" s="118" customFormat="1">
      <c r="A51" s="149"/>
      <c r="B51" s="150"/>
      <c r="C51" s="150"/>
      <c r="D51" s="150"/>
      <c r="E51" s="150"/>
      <c r="F51" s="151"/>
      <c r="G51" s="152"/>
      <c r="H51" s="153"/>
      <c r="I51" s="154"/>
      <c r="J51" s="151"/>
      <c r="K51" s="155"/>
    </row>
    <row r="52" spans="1:11" s="118" customFormat="1">
      <c r="A52" s="149"/>
      <c r="B52" s="150"/>
      <c r="C52" s="150"/>
      <c r="D52" s="150"/>
      <c r="E52" s="150"/>
      <c r="F52" s="151"/>
      <c r="G52" s="152"/>
      <c r="H52" s="153"/>
      <c r="I52" s="154"/>
      <c r="J52" s="151"/>
      <c r="K52" s="155"/>
    </row>
    <row r="53" spans="1:11" s="118" customFormat="1">
      <c r="A53" s="149"/>
      <c r="B53" s="150"/>
      <c r="C53" s="150"/>
      <c r="D53" s="150"/>
      <c r="E53" s="150"/>
      <c r="F53" s="151"/>
      <c r="G53" s="152"/>
      <c r="H53" s="153"/>
      <c r="I53" s="154"/>
      <c r="J53" s="151"/>
      <c r="K53" s="155"/>
    </row>
    <row r="54" spans="1:11" s="118" customFormat="1">
      <c r="A54" s="149"/>
      <c r="B54" s="150"/>
      <c r="C54" s="150"/>
      <c r="D54" s="150"/>
      <c r="E54" s="150"/>
      <c r="F54" s="151"/>
      <c r="G54" s="152"/>
      <c r="H54" s="153"/>
      <c r="I54" s="154"/>
      <c r="J54" s="151"/>
      <c r="K54" s="155"/>
    </row>
    <row r="55" spans="1:11" s="118" customFormat="1">
      <c r="A55" s="149"/>
      <c r="B55" s="150"/>
      <c r="C55" s="150"/>
      <c r="D55" s="150"/>
      <c r="E55" s="150"/>
      <c r="F55" s="151"/>
      <c r="G55" s="152"/>
      <c r="H55" s="153"/>
      <c r="I55" s="154"/>
      <c r="J55" s="151"/>
      <c r="K55" s="155"/>
    </row>
    <row r="56" spans="1:11" s="118" customFormat="1">
      <c r="A56" s="149"/>
      <c r="B56" s="150"/>
      <c r="C56" s="150"/>
      <c r="D56" s="150"/>
      <c r="E56" s="150"/>
      <c r="F56" s="151"/>
      <c r="G56" s="152"/>
      <c r="H56" s="153"/>
      <c r="I56" s="154"/>
      <c r="J56" s="151"/>
      <c r="K56" s="155"/>
    </row>
    <row r="57" spans="1:11" s="118" customFormat="1">
      <c r="A57" s="149"/>
      <c r="B57" s="150"/>
      <c r="C57" s="150"/>
      <c r="D57" s="150"/>
      <c r="E57" s="150"/>
      <c r="F57" s="151"/>
      <c r="G57" s="152"/>
      <c r="H57" s="153"/>
      <c r="I57" s="154"/>
      <c r="J57" s="151"/>
      <c r="K57" s="155"/>
    </row>
    <row r="58" spans="1:11" s="118" customFormat="1">
      <c r="A58" s="149"/>
      <c r="B58" s="150"/>
      <c r="C58" s="150"/>
      <c r="D58" s="150"/>
      <c r="E58" s="150"/>
      <c r="F58" s="151"/>
      <c r="G58" s="152"/>
      <c r="H58" s="153"/>
      <c r="I58" s="154"/>
      <c r="J58" s="151"/>
      <c r="K58" s="155"/>
    </row>
    <row r="59" spans="1:11" s="118" customFormat="1">
      <c r="A59" s="149"/>
      <c r="B59" s="150"/>
      <c r="C59" s="150"/>
      <c r="D59" s="150"/>
      <c r="E59" s="150"/>
      <c r="F59" s="151"/>
      <c r="G59" s="152"/>
      <c r="H59" s="153"/>
      <c r="I59" s="154"/>
      <c r="J59" s="151"/>
      <c r="K59" s="155"/>
    </row>
    <row r="60" spans="1:11" s="118" customFormat="1">
      <c r="A60" s="149"/>
      <c r="B60" s="150"/>
      <c r="C60" s="150"/>
      <c r="D60" s="150"/>
      <c r="E60" s="150"/>
      <c r="F60" s="151"/>
      <c r="G60" s="152"/>
      <c r="H60" s="153"/>
      <c r="I60" s="154"/>
      <c r="J60" s="151"/>
      <c r="K60" s="155"/>
    </row>
    <row r="61" spans="1:11" s="118" customFormat="1">
      <c r="A61" s="149"/>
      <c r="B61" s="150"/>
      <c r="C61" s="150"/>
      <c r="D61" s="150"/>
      <c r="E61" s="150"/>
      <c r="F61" s="151"/>
      <c r="G61" s="152"/>
      <c r="H61" s="153"/>
      <c r="I61" s="154"/>
      <c r="J61" s="151"/>
      <c r="K61" s="155"/>
    </row>
    <row r="62" spans="1:11" s="118" customFormat="1">
      <c r="A62" s="149"/>
      <c r="B62" s="150"/>
      <c r="C62" s="150"/>
      <c r="D62" s="150"/>
      <c r="E62" s="150"/>
      <c r="F62" s="151"/>
      <c r="G62" s="152"/>
      <c r="H62" s="153"/>
      <c r="I62" s="154"/>
      <c r="J62" s="151"/>
      <c r="K62" s="155"/>
    </row>
    <row r="63" spans="1:11" s="118" customFormat="1">
      <c r="A63" s="149"/>
      <c r="B63" s="150"/>
      <c r="C63" s="150"/>
      <c r="D63" s="150"/>
      <c r="E63" s="150"/>
      <c r="F63" s="151"/>
      <c r="G63" s="152"/>
      <c r="H63" s="153"/>
      <c r="I63" s="154"/>
      <c r="J63" s="151"/>
      <c r="K63" s="155"/>
    </row>
    <row r="64" spans="1:11" s="118" customFormat="1">
      <c r="A64" s="149"/>
      <c r="B64" s="150"/>
      <c r="C64" s="150"/>
      <c r="D64" s="150"/>
      <c r="E64" s="150"/>
      <c r="F64" s="151"/>
      <c r="G64" s="152"/>
      <c r="H64" s="153"/>
      <c r="I64" s="154"/>
      <c r="J64" s="151"/>
      <c r="K64" s="155"/>
    </row>
    <row r="65" spans="1:11" s="118" customFormat="1">
      <c r="A65" s="149"/>
      <c r="B65" s="150"/>
      <c r="C65" s="150"/>
      <c r="D65" s="150"/>
      <c r="E65" s="150"/>
      <c r="F65" s="151"/>
      <c r="G65" s="152"/>
      <c r="H65" s="153"/>
      <c r="I65" s="154"/>
      <c r="J65" s="151"/>
      <c r="K65" s="155"/>
    </row>
    <row r="66" spans="1:11" s="118" customFormat="1">
      <c r="A66" s="149"/>
      <c r="B66" s="150"/>
      <c r="C66" s="150"/>
      <c r="D66" s="150"/>
      <c r="E66" s="150"/>
      <c r="F66" s="151"/>
      <c r="G66" s="152"/>
      <c r="H66" s="153"/>
      <c r="I66" s="154"/>
      <c r="J66" s="151"/>
      <c r="K66" s="155"/>
    </row>
    <row r="67" spans="1:11" s="118" customFormat="1" ht="13.5" thickBot="1">
      <c r="A67" s="110"/>
      <c r="B67" s="111"/>
      <c r="C67" s="111"/>
      <c r="D67" s="111"/>
      <c r="E67" s="111"/>
      <c r="F67" s="156"/>
      <c r="G67" s="156"/>
      <c r="H67" s="156"/>
      <c r="I67" s="156"/>
      <c r="J67" s="157"/>
      <c r="K67" s="158"/>
    </row>
  </sheetData>
  <mergeCells count="26">
    <mergeCell ref="A6:D6"/>
    <mergeCell ref="E6:G6"/>
    <mergeCell ref="H6:J6"/>
    <mergeCell ref="A8:K8"/>
    <mergeCell ref="A12:K12"/>
    <mergeCell ref="C2:K2"/>
    <mergeCell ref="C3:K3"/>
    <mergeCell ref="A5:D5"/>
    <mergeCell ref="E5:G5"/>
    <mergeCell ref="H5:K5"/>
    <mergeCell ref="E44:F44"/>
    <mergeCell ref="G44:H44"/>
    <mergeCell ref="I44:J44"/>
    <mergeCell ref="G13:H13"/>
    <mergeCell ref="I13:J13"/>
    <mergeCell ref="G14:H14"/>
    <mergeCell ref="I14:J14"/>
    <mergeCell ref="E43:F43"/>
    <mergeCell ref="G43:H43"/>
    <mergeCell ref="I43:J43"/>
    <mergeCell ref="A38:K38"/>
    <mergeCell ref="A42:K42"/>
    <mergeCell ref="A43:C43"/>
    <mergeCell ref="E14:F14"/>
    <mergeCell ref="A13:C13"/>
    <mergeCell ref="E13:F13"/>
  </mergeCells>
  <printOptions horizontalCentered="1"/>
  <pageMargins left="0.59055118110236227" right="0.59055118110236227" top="0.78740157480314965" bottom="0.59055118110236227" header="0" footer="0"/>
  <pageSetup paperSize="9" scale="89" orientation="portrait" r:id="rId1"/>
  <headerFooter alignWithMargins="0">
    <oddFooter>&amp;CDarcio Pagani Vieira
Engenheiro Agrimensor
Crea/SC - 077.222-9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D4:G14"/>
  <sheetViews>
    <sheetView showGridLines="0" zoomScale="130" zoomScaleNormal="130" workbookViewId="0">
      <selection activeCell="G15" sqref="G15"/>
    </sheetView>
  </sheetViews>
  <sheetFormatPr defaultRowHeight="12.75"/>
  <cols>
    <col min="1" max="1" width="6.5703125" style="107" bestFit="1" customWidth="1"/>
    <col min="2" max="2" width="19.42578125" style="107" bestFit="1" customWidth="1"/>
    <col min="3" max="3" width="9.140625" style="107"/>
    <col min="4" max="4" width="5.5703125" style="163" bestFit="1" customWidth="1"/>
    <col min="5" max="5" width="23.7109375" style="163" bestFit="1" customWidth="1"/>
    <col min="6" max="6" width="23.5703125" style="107" hidden="1" customWidth="1"/>
    <col min="7" max="7" width="24.7109375" style="107" customWidth="1"/>
    <col min="8" max="8" width="22" style="107" bestFit="1" customWidth="1"/>
    <col min="9" max="256" width="9.140625" style="107"/>
    <col min="257" max="257" width="6.5703125" style="107" bestFit="1" customWidth="1"/>
    <col min="258" max="258" width="19.42578125" style="107" bestFit="1" customWidth="1"/>
    <col min="259" max="259" width="9.140625" style="107"/>
    <col min="260" max="260" width="5.5703125" style="107" bestFit="1" customWidth="1"/>
    <col min="261" max="261" width="23.7109375" style="107" bestFit="1" customWidth="1"/>
    <col min="262" max="262" width="0" style="107" hidden="1" customWidth="1"/>
    <col min="263" max="263" width="23.5703125" style="107" customWidth="1"/>
    <col min="264" max="264" width="22" style="107" bestFit="1" customWidth="1"/>
    <col min="265" max="512" width="9.140625" style="107"/>
    <col min="513" max="513" width="6.5703125" style="107" bestFit="1" customWidth="1"/>
    <col min="514" max="514" width="19.42578125" style="107" bestFit="1" customWidth="1"/>
    <col min="515" max="515" width="9.140625" style="107"/>
    <col min="516" max="516" width="5.5703125" style="107" bestFit="1" customWidth="1"/>
    <col min="517" max="517" width="23.7109375" style="107" bestFit="1" customWidth="1"/>
    <col min="518" max="518" width="0" style="107" hidden="1" customWidth="1"/>
    <col min="519" max="519" width="23.5703125" style="107" customWidth="1"/>
    <col min="520" max="520" width="22" style="107" bestFit="1" customWidth="1"/>
    <col min="521" max="768" width="9.140625" style="107"/>
    <col min="769" max="769" width="6.5703125" style="107" bestFit="1" customWidth="1"/>
    <col min="770" max="770" width="19.42578125" style="107" bestFit="1" customWidth="1"/>
    <col min="771" max="771" width="9.140625" style="107"/>
    <col min="772" max="772" width="5.5703125" style="107" bestFit="1" customWidth="1"/>
    <col min="773" max="773" width="23.7109375" style="107" bestFit="1" customWidth="1"/>
    <col min="774" max="774" width="0" style="107" hidden="1" customWidth="1"/>
    <col min="775" max="775" width="23.5703125" style="107" customWidth="1"/>
    <col min="776" max="776" width="22" style="107" bestFit="1" customWidth="1"/>
    <col min="777" max="1024" width="9.140625" style="107"/>
    <col min="1025" max="1025" width="6.5703125" style="107" bestFit="1" customWidth="1"/>
    <col min="1026" max="1026" width="19.42578125" style="107" bestFit="1" customWidth="1"/>
    <col min="1027" max="1027" width="9.140625" style="107"/>
    <col min="1028" max="1028" width="5.5703125" style="107" bestFit="1" customWidth="1"/>
    <col min="1029" max="1029" width="23.7109375" style="107" bestFit="1" customWidth="1"/>
    <col min="1030" max="1030" width="0" style="107" hidden="1" customWidth="1"/>
    <col min="1031" max="1031" width="23.5703125" style="107" customWidth="1"/>
    <col min="1032" max="1032" width="22" style="107" bestFit="1" customWidth="1"/>
    <col min="1033" max="1280" width="9.140625" style="107"/>
    <col min="1281" max="1281" width="6.5703125" style="107" bestFit="1" customWidth="1"/>
    <col min="1282" max="1282" width="19.42578125" style="107" bestFit="1" customWidth="1"/>
    <col min="1283" max="1283" width="9.140625" style="107"/>
    <col min="1284" max="1284" width="5.5703125" style="107" bestFit="1" customWidth="1"/>
    <col min="1285" max="1285" width="23.7109375" style="107" bestFit="1" customWidth="1"/>
    <col min="1286" max="1286" width="0" style="107" hidden="1" customWidth="1"/>
    <col min="1287" max="1287" width="23.5703125" style="107" customWidth="1"/>
    <col min="1288" max="1288" width="22" style="107" bestFit="1" customWidth="1"/>
    <col min="1289" max="1536" width="9.140625" style="107"/>
    <col min="1537" max="1537" width="6.5703125" style="107" bestFit="1" customWidth="1"/>
    <col min="1538" max="1538" width="19.42578125" style="107" bestFit="1" customWidth="1"/>
    <col min="1539" max="1539" width="9.140625" style="107"/>
    <col min="1540" max="1540" width="5.5703125" style="107" bestFit="1" customWidth="1"/>
    <col min="1541" max="1541" width="23.7109375" style="107" bestFit="1" customWidth="1"/>
    <col min="1542" max="1542" width="0" style="107" hidden="1" customWidth="1"/>
    <col min="1543" max="1543" width="23.5703125" style="107" customWidth="1"/>
    <col min="1544" max="1544" width="22" style="107" bestFit="1" customWidth="1"/>
    <col min="1545" max="1792" width="9.140625" style="107"/>
    <col min="1793" max="1793" width="6.5703125" style="107" bestFit="1" customWidth="1"/>
    <col min="1794" max="1794" width="19.42578125" style="107" bestFit="1" customWidth="1"/>
    <col min="1795" max="1795" width="9.140625" style="107"/>
    <col min="1796" max="1796" width="5.5703125" style="107" bestFit="1" customWidth="1"/>
    <col min="1797" max="1797" width="23.7109375" style="107" bestFit="1" customWidth="1"/>
    <col min="1798" max="1798" width="0" style="107" hidden="1" customWidth="1"/>
    <col min="1799" max="1799" width="23.5703125" style="107" customWidth="1"/>
    <col min="1800" max="1800" width="22" style="107" bestFit="1" customWidth="1"/>
    <col min="1801" max="2048" width="9.140625" style="107"/>
    <col min="2049" max="2049" width="6.5703125" style="107" bestFit="1" customWidth="1"/>
    <col min="2050" max="2050" width="19.42578125" style="107" bestFit="1" customWidth="1"/>
    <col min="2051" max="2051" width="9.140625" style="107"/>
    <col min="2052" max="2052" width="5.5703125" style="107" bestFit="1" customWidth="1"/>
    <col min="2053" max="2053" width="23.7109375" style="107" bestFit="1" customWidth="1"/>
    <col min="2054" max="2054" width="0" style="107" hidden="1" customWidth="1"/>
    <col min="2055" max="2055" width="23.5703125" style="107" customWidth="1"/>
    <col min="2056" max="2056" width="22" style="107" bestFit="1" customWidth="1"/>
    <col min="2057" max="2304" width="9.140625" style="107"/>
    <col min="2305" max="2305" width="6.5703125" style="107" bestFit="1" customWidth="1"/>
    <col min="2306" max="2306" width="19.42578125" style="107" bestFit="1" customWidth="1"/>
    <col min="2307" max="2307" width="9.140625" style="107"/>
    <col min="2308" max="2308" width="5.5703125" style="107" bestFit="1" customWidth="1"/>
    <col min="2309" max="2309" width="23.7109375" style="107" bestFit="1" customWidth="1"/>
    <col min="2310" max="2310" width="0" style="107" hidden="1" customWidth="1"/>
    <col min="2311" max="2311" width="23.5703125" style="107" customWidth="1"/>
    <col min="2312" max="2312" width="22" style="107" bestFit="1" customWidth="1"/>
    <col min="2313" max="2560" width="9.140625" style="107"/>
    <col min="2561" max="2561" width="6.5703125" style="107" bestFit="1" customWidth="1"/>
    <col min="2562" max="2562" width="19.42578125" style="107" bestFit="1" customWidth="1"/>
    <col min="2563" max="2563" width="9.140625" style="107"/>
    <col min="2564" max="2564" width="5.5703125" style="107" bestFit="1" customWidth="1"/>
    <col min="2565" max="2565" width="23.7109375" style="107" bestFit="1" customWidth="1"/>
    <col min="2566" max="2566" width="0" style="107" hidden="1" customWidth="1"/>
    <col min="2567" max="2567" width="23.5703125" style="107" customWidth="1"/>
    <col min="2568" max="2568" width="22" style="107" bestFit="1" customWidth="1"/>
    <col min="2569" max="2816" width="9.140625" style="107"/>
    <col min="2817" max="2817" width="6.5703125" style="107" bestFit="1" customWidth="1"/>
    <col min="2818" max="2818" width="19.42578125" style="107" bestFit="1" customWidth="1"/>
    <col min="2819" max="2819" width="9.140625" style="107"/>
    <col min="2820" max="2820" width="5.5703125" style="107" bestFit="1" customWidth="1"/>
    <col min="2821" max="2821" width="23.7109375" style="107" bestFit="1" customWidth="1"/>
    <col min="2822" max="2822" width="0" style="107" hidden="1" customWidth="1"/>
    <col min="2823" max="2823" width="23.5703125" style="107" customWidth="1"/>
    <col min="2824" max="2824" width="22" style="107" bestFit="1" customWidth="1"/>
    <col min="2825" max="3072" width="9.140625" style="107"/>
    <col min="3073" max="3073" width="6.5703125" style="107" bestFit="1" customWidth="1"/>
    <col min="3074" max="3074" width="19.42578125" style="107" bestFit="1" customWidth="1"/>
    <col min="3075" max="3075" width="9.140625" style="107"/>
    <col min="3076" max="3076" width="5.5703125" style="107" bestFit="1" customWidth="1"/>
    <col min="3077" max="3077" width="23.7109375" style="107" bestFit="1" customWidth="1"/>
    <col min="3078" max="3078" width="0" style="107" hidden="1" customWidth="1"/>
    <col min="3079" max="3079" width="23.5703125" style="107" customWidth="1"/>
    <col min="3080" max="3080" width="22" style="107" bestFit="1" customWidth="1"/>
    <col min="3081" max="3328" width="9.140625" style="107"/>
    <col min="3329" max="3329" width="6.5703125" style="107" bestFit="1" customWidth="1"/>
    <col min="3330" max="3330" width="19.42578125" style="107" bestFit="1" customWidth="1"/>
    <col min="3331" max="3331" width="9.140625" style="107"/>
    <col min="3332" max="3332" width="5.5703125" style="107" bestFit="1" customWidth="1"/>
    <col min="3333" max="3333" width="23.7109375" style="107" bestFit="1" customWidth="1"/>
    <col min="3334" max="3334" width="0" style="107" hidden="1" customWidth="1"/>
    <col min="3335" max="3335" width="23.5703125" style="107" customWidth="1"/>
    <col min="3336" max="3336" width="22" style="107" bestFit="1" customWidth="1"/>
    <col min="3337" max="3584" width="9.140625" style="107"/>
    <col min="3585" max="3585" width="6.5703125" style="107" bestFit="1" customWidth="1"/>
    <col min="3586" max="3586" width="19.42578125" style="107" bestFit="1" customWidth="1"/>
    <col min="3587" max="3587" width="9.140625" style="107"/>
    <col min="3588" max="3588" width="5.5703125" style="107" bestFit="1" customWidth="1"/>
    <col min="3589" max="3589" width="23.7109375" style="107" bestFit="1" customWidth="1"/>
    <col min="3590" max="3590" width="0" style="107" hidden="1" customWidth="1"/>
    <col min="3591" max="3591" width="23.5703125" style="107" customWidth="1"/>
    <col min="3592" max="3592" width="22" style="107" bestFit="1" customWidth="1"/>
    <col min="3593" max="3840" width="9.140625" style="107"/>
    <col min="3841" max="3841" width="6.5703125" style="107" bestFit="1" customWidth="1"/>
    <col min="3842" max="3842" width="19.42578125" style="107" bestFit="1" customWidth="1"/>
    <col min="3843" max="3843" width="9.140625" style="107"/>
    <col min="3844" max="3844" width="5.5703125" style="107" bestFit="1" customWidth="1"/>
    <col min="3845" max="3845" width="23.7109375" style="107" bestFit="1" customWidth="1"/>
    <col min="3846" max="3846" width="0" style="107" hidden="1" customWidth="1"/>
    <col min="3847" max="3847" width="23.5703125" style="107" customWidth="1"/>
    <col min="3848" max="3848" width="22" style="107" bestFit="1" customWidth="1"/>
    <col min="3849" max="4096" width="9.140625" style="107"/>
    <col min="4097" max="4097" width="6.5703125" style="107" bestFit="1" customWidth="1"/>
    <col min="4098" max="4098" width="19.42578125" style="107" bestFit="1" customWidth="1"/>
    <col min="4099" max="4099" width="9.140625" style="107"/>
    <col min="4100" max="4100" width="5.5703125" style="107" bestFit="1" customWidth="1"/>
    <col min="4101" max="4101" width="23.7109375" style="107" bestFit="1" customWidth="1"/>
    <col min="4102" max="4102" width="0" style="107" hidden="1" customWidth="1"/>
    <col min="4103" max="4103" width="23.5703125" style="107" customWidth="1"/>
    <col min="4104" max="4104" width="22" style="107" bestFit="1" customWidth="1"/>
    <col min="4105" max="4352" width="9.140625" style="107"/>
    <col min="4353" max="4353" width="6.5703125" style="107" bestFit="1" customWidth="1"/>
    <col min="4354" max="4354" width="19.42578125" style="107" bestFit="1" customWidth="1"/>
    <col min="4355" max="4355" width="9.140625" style="107"/>
    <col min="4356" max="4356" width="5.5703125" style="107" bestFit="1" customWidth="1"/>
    <col min="4357" max="4357" width="23.7109375" style="107" bestFit="1" customWidth="1"/>
    <col min="4358" max="4358" width="0" style="107" hidden="1" customWidth="1"/>
    <col min="4359" max="4359" width="23.5703125" style="107" customWidth="1"/>
    <col min="4360" max="4360" width="22" style="107" bestFit="1" customWidth="1"/>
    <col min="4361" max="4608" width="9.140625" style="107"/>
    <col min="4609" max="4609" width="6.5703125" style="107" bestFit="1" customWidth="1"/>
    <col min="4610" max="4610" width="19.42578125" style="107" bestFit="1" customWidth="1"/>
    <col min="4611" max="4611" width="9.140625" style="107"/>
    <col min="4612" max="4612" width="5.5703125" style="107" bestFit="1" customWidth="1"/>
    <col min="4613" max="4613" width="23.7109375" style="107" bestFit="1" customWidth="1"/>
    <col min="4614" max="4614" width="0" style="107" hidden="1" customWidth="1"/>
    <col min="4615" max="4615" width="23.5703125" style="107" customWidth="1"/>
    <col min="4616" max="4616" width="22" style="107" bestFit="1" customWidth="1"/>
    <col min="4617" max="4864" width="9.140625" style="107"/>
    <col min="4865" max="4865" width="6.5703125" style="107" bestFit="1" customWidth="1"/>
    <col min="4866" max="4866" width="19.42578125" style="107" bestFit="1" customWidth="1"/>
    <col min="4867" max="4867" width="9.140625" style="107"/>
    <col min="4868" max="4868" width="5.5703125" style="107" bestFit="1" customWidth="1"/>
    <col min="4869" max="4869" width="23.7109375" style="107" bestFit="1" customWidth="1"/>
    <col min="4870" max="4870" width="0" style="107" hidden="1" customWidth="1"/>
    <col min="4871" max="4871" width="23.5703125" style="107" customWidth="1"/>
    <col min="4872" max="4872" width="22" style="107" bestFit="1" customWidth="1"/>
    <col min="4873" max="5120" width="9.140625" style="107"/>
    <col min="5121" max="5121" width="6.5703125" style="107" bestFit="1" customWidth="1"/>
    <col min="5122" max="5122" width="19.42578125" style="107" bestFit="1" customWidth="1"/>
    <col min="5123" max="5123" width="9.140625" style="107"/>
    <col min="5124" max="5124" width="5.5703125" style="107" bestFit="1" customWidth="1"/>
    <col min="5125" max="5125" width="23.7109375" style="107" bestFit="1" customWidth="1"/>
    <col min="5126" max="5126" width="0" style="107" hidden="1" customWidth="1"/>
    <col min="5127" max="5127" width="23.5703125" style="107" customWidth="1"/>
    <col min="5128" max="5128" width="22" style="107" bestFit="1" customWidth="1"/>
    <col min="5129" max="5376" width="9.140625" style="107"/>
    <col min="5377" max="5377" width="6.5703125" style="107" bestFit="1" customWidth="1"/>
    <col min="5378" max="5378" width="19.42578125" style="107" bestFit="1" customWidth="1"/>
    <col min="5379" max="5379" width="9.140625" style="107"/>
    <col min="5380" max="5380" width="5.5703125" style="107" bestFit="1" customWidth="1"/>
    <col min="5381" max="5381" width="23.7109375" style="107" bestFit="1" customWidth="1"/>
    <col min="5382" max="5382" width="0" style="107" hidden="1" customWidth="1"/>
    <col min="5383" max="5383" width="23.5703125" style="107" customWidth="1"/>
    <col min="5384" max="5384" width="22" style="107" bestFit="1" customWidth="1"/>
    <col min="5385" max="5632" width="9.140625" style="107"/>
    <col min="5633" max="5633" width="6.5703125" style="107" bestFit="1" customWidth="1"/>
    <col min="5634" max="5634" width="19.42578125" style="107" bestFit="1" customWidth="1"/>
    <col min="5635" max="5635" width="9.140625" style="107"/>
    <col min="5636" max="5636" width="5.5703125" style="107" bestFit="1" customWidth="1"/>
    <col min="5637" max="5637" width="23.7109375" style="107" bestFit="1" customWidth="1"/>
    <col min="5638" max="5638" width="0" style="107" hidden="1" customWidth="1"/>
    <col min="5639" max="5639" width="23.5703125" style="107" customWidth="1"/>
    <col min="5640" max="5640" width="22" style="107" bestFit="1" customWidth="1"/>
    <col min="5641" max="5888" width="9.140625" style="107"/>
    <col min="5889" max="5889" width="6.5703125" style="107" bestFit="1" customWidth="1"/>
    <col min="5890" max="5890" width="19.42578125" style="107" bestFit="1" customWidth="1"/>
    <col min="5891" max="5891" width="9.140625" style="107"/>
    <col min="5892" max="5892" width="5.5703125" style="107" bestFit="1" customWidth="1"/>
    <col min="5893" max="5893" width="23.7109375" style="107" bestFit="1" customWidth="1"/>
    <col min="5894" max="5894" width="0" style="107" hidden="1" customWidth="1"/>
    <col min="5895" max="5895" width="23.5703125" style="107" customWidth="1"/>
    <col min="5896" max="5896" width="22" style="107" bestFit="1" customWidth="1"/>
    <col min="5897" max="6144" width="9.140625" style="107"/>
    <col min="6145" max="6145" width="6.5703125" style="107" bestFit="1" customWidth="1"/>
    <col min="6146" max="6146" width="19.42578125" style="107" bestFit="1" customWidth="1"/>
    <col min="6147" max="6147" width="9.140625" style="107"/>
    <col min="6148" max="6148" width="5.5703125" style="107" bestFit="1" customWidth="1"/>
    <col min="6149" max="6149" width="23.7109375" style="107" bestFit="1" customWidth="1"/>
    <col min="6150" max="6150" width="0" style="107" hidden="1" customWidth="1"/>
    <col min="6151" max="6151" width="23.5703125" style="107" customWidth="1"/>
    <col min="6152" max="6152" width="22" style="107" bestFit="1" customWidth="1"/>
    <col min="6153" max="6400" width="9.140625" style="107"/>
    <col min="6401" max="6401" width="6.5703125" style="107" bestFit="1" customWidth="1"/>
    <col min="6402" max="6402" width="19.42578125" style="107" bestFit="1" customWidth="1"/>
    <col min="6403" max="6403" width="9.140625" style="107"/>
    <col min="6404" max="6404" width="5.5703125" style="107" bestFit="1" customWidth="1"/>
    <col min="6405" max="6405" width="23.7109375" style="107" bestFit="1" customWidth="1"/>
    <col min="6406" max="6406" width="0" style="107" hidden="1" customWidth="1"/>
    <col min="6407" max="6407" width="23.5703125" style="107" customWidth="1"/>
    <col min="6408" max="6408" width="22" style="107" bestFit="1" customWidth="1"/>
    <col min="6409" max="6656" width="9.140625" style="107"/>
    <col min="6657" max="6657" width="6.5703125" style="107" bestFit="1" customWidth="1"/>
    <col min="6658" max="6658" width="19.42578125" style="107" bestFit="1" customWidth="1"/>
    <col min="6659" max="6659" width="9.140625" style="107"/>
    <col min="6660" max="6660" width="5.5703125" style="107" bestFit="1" customWidth="1"/>
    <col min="6661" max="6661" width="23.7109375" style="107" bestFit="1" customWidth="1"/>
    <col min="6662" max="6662" width="0" style="107" hidden="1" customWidth="1"/>
    <col min="6663" max="6663" width="23.5703125" style="107" customWidth="1"/>
    <col min="6664" max="6664" width="22" style="107" bestFit="1" customWidth="1"/>
    <col min="6665" max="6912" width="9.140625" style="107"/>
    <col min="6913" max="6913" width="6.5703125" style="107" bestFit="1" customWidth="1"/>
    <col min="6914" max="6914" width="19.42578125" style="107" bestFit="1" customWidth="1"/>
    <col min="6915" max="6915" width="9.140625" style="107"/>
    <col min="6916" max="6916" width="5.5703125" style="107" bestFit="1" customWidth="1"/>
    <col min="6917" max="6917" width="23.7109375" style="107" bestFit="1" customWidth="1"/>
    <col min="6918" max="6918" width="0" style="107" hidden="1" customWidth="1"/>
    <col min="6919" max="6919" width="23.5703125" style="107" customWidth="1"/>
    <col min="6920" max="6920" width="22" style="107" bestFit="1" customWidth="1"/>
    <col min="6921" max="7168" width="9.140625" style="107"/>
    <col min="7169" max="7169" width="6.5703125" style="107" bestFit="1" customWidth="1"/>
    <col min="7170" max="7170" width="19.42578125" style="107" bestFit="1" customWidth="1"/>
    <col min="7171" max="7171" width="9.140625" style="107"/>
    <col min="7172" max="7172" width="5.5703125" style="107" bestFit="1" customWidth="1"/>
    <col min="7173" max="7173" width="23.7109375" style="107" bestFit="1" customWidth="1"/>
    <col min="7174" max="7174" width="0" style="107" hidden="1" customWidth="1"/>
    <col min="7175" max="7175" width="23.5703125" style="107" customWidth="1"/>
    <col min="7176" max="7176" width="22" style="107" bestFit="1" customWidth="1"/>
    <col min="7177" max="7424" width="9.140625" style="107"/>
    <col min="7425" max="7425" width="6.5703125" style="107" bestFit="1" customWidth="1"/>
    <col min="7426" max="7426" width="19.42578125" style="107" bestFit="1" customWidth="1"/>
    <col min="7427" max="7427" width="9.140625" style="107"/>
    <col min="7428" max="7428" width="5.5703125" style="107" bestFit="1" customWidth="1"/>
    <col min="7429" max="7429" width="23.7109375" style="107" bestFit="1" customWidth="1"/>
    <col min="7430" max="7430" width="0" style="107" hidden="1" customWidth="1"/>
    <col min="7431" max="7431" width="23.5703125" style="107" customWidth="1"/>
    <col min="7432" max="7432" width="22" style="107" bestFit="1" customWidth="1"/>
    <col min="7433" max="7680" width="9.140625" style="107"/>
    <col min="7681" max="7681" width="6.5703125" style="107" bestFit="1" customWidth="1"/>
    <col min="7682" max="7682" width="19.42578125" style="107" bestFit="1" customWidth="1"/>
    <col min="7683" max="7683" width="9.140625" style="107"/>
    <col min="7684" max="7684" width="5.5703125" style="107" bestFit="1" customWidth="1"/>
    <col min="7685" max="7685" width="23.7109375" style="107" bestFit="1" customWidth="1"/>
    <col min="7686" max="7686" width="0" style="107" hidden="1" customWidth="1"/>
    <col min="7687" max="7687" width="23.5703125" style="107" customWidth="1"/>
    <col min="7688" max="7688" width="22" style="107" bestFit="1" customWidth="1"/>
    <col min="7689" max="7936" width="9.140625" style="107"/>
    <col min="7937" max="7937" width="6.5703125" style="107" bestFit="1" customWidth="1"/>
    <col min="7938" max="7938" width="19.42578125" style="107" bestFit="1" customWidth="1"/>
    <col min="7939" max="7939" width="9.140625" style="107"/>
    <col min="7940" max="7940" width="5.5703125" style="107" bestFit="1" customWidth="1"/>
    <col min="7941" max="7941" width="23.7109375" style="107" bestFit="1" customWidth="1"/>
    <col min="7942" max="7942" width="0" style="107" hidden="1" customWidth="1"/>
    <col min="7943" max="7943" width="23.5703125" style="107" customWidth="1"/>
    <col min="7944" max="7944" width="22" style="107" bestFit="1" customWidth="1"/>
    <col min="7945" max="8192" width="9.140625" style="107"/>
    <col min="8193" max="8193" width="6.5703125" style="107" bestFit="1" customWidth="1"/>
    <col min="8194" max="8194" width="19.42578125" style="107" bestFit="1" customWidth="1"/>
    <col min="8195" max="8195" width="9.140625" style="107"/>
    <col min="8196" max="8196" width="5.5703125" style="107" bestFit="1" customWidth="1"/>
    <col min="8197" max="8197" width="23.7109375" style="107" bestFit="1" customWidth="1"/>
    <col min="8198" max="8198" width="0" style="107" hidden="1" customWidth="1"/>
    <col min="8199" max="8199" width="23.5703125" style="107" customWidth="1"/>
    <col min="8200" max="8200" width="22" style="107" bestFit="1" customWidth="1"/>
    <col min="8201" max="8448" width="9.140625" style="107"/>
    <col min="8449" max="8449" width="6.5703125" style="107" bestFit="1" customWidth="1"/>
    <col min="8450" max="8450" width="19.42578125" style="107" bestFit="1" customWidth="1"/>
    <col min="8451" max="8451" width="9.140625" style="107"/>
    <col min="8452" max="8452" width="5.5703125" style="107" bestFit="1" customWidth="1"/>
    <col min="8453" max="8453" width="23.7109375" style="107" bestFit="1" customWidth="1"/>
    <col min="8454" max="8454" width="0" style="107" hidden="1" customWidth="1"/>
    <col min="8455" max="8455" width="23.5703125" style="107" customWidth="1"/>
    <col min="8456" max="8456" width="22" style="107" bestFit="1" customWidth="1"/>
    <col min="8457" max="8704" width="9.140625" style="107"/>
    <col min="8705" max="8705" width="6.5703125" style="107" bestFit="1" customWidth="1"/>
    <col min="8706" max="8706" width="19.42578125" style="107" bestFit="1" customWidth="1"/>
    <col min="8707" max="8707" width="9.140625" style="107"/>
    <col min="8708" max="8708" width="5.5703125" style="107" bestFit="1" customWidth="1"/>
    <col min="8709" max="8709" width="23.7109375" style="107" bestFit="1" customWidth="1"/>
    <col min="8710" max="8710" width="0" style="107" hidden="1" customWidth="1"/>
    <col min="8711" max="8711" width="23.5703125" style="107" customWidth="1"/>
    <col min="8712" max="8712" width="22" style="107" bestFit="1" customWidth="1"/>
    <col min="8713" max="8960" width="9.140625" style="107"/>
    <col min="8961" max="8961" width="6.5703125" style="107" bestFit="1" customWidth="1"/>
    <col min="8962" max="8962" width="19.42578125" style="107" bestFit="1" customWidth="1"/>
    <col min="8963" max="8963" width="9.140625" style="107"/>
    <col min="8964" max="8964" width="5.5703125" style="107" bestFit="1" customWidth="1"/>
    <col min="8965" max="8965" width="23.7109375" style="107" bestFit="1" customWidth="1"/>
    <col min="8966" max="8966" width="0" style="107" hidden="1" customWidth="1"/>
    <col min="8967" max="8967" width="23.5703125" style="107" customWidth="1"/>
    <col min="8968" max="8968" width="22" style="107" bestFit="1" customWidth="1"/>
    <col min="8969" max="9216" width="9.140625" style="107"/>
    <col min="9217" max="9217" width="6.5703125" style="107" bestFit="1" customWidth="1"/>
    <col min="9218" max="9218" width="19.42578125" style="107" bestFit="1" customWidth="1"/>
    <col min="9219" max="9219" width="9.140625" style="107"/>
    <col min="9220" max="9220" width="5.5703125" style="107" bestFit="1" customWidth="1"/>
    <col min="9221" max="9221" width="23.7109375" style="107" bestFit="1" customWidth="1"/>
    <col min="9222" max="9222" width="0" style="107" hidden="1" customWidth="1"/>
    <col min="9223" max="9223" width="23.5703125" style="107" customWidth="1"/>
    <col min="9224" max="9224" width="22" style="107" bestFit="1" customWidth="1"/>
    <col min="9225" max="9472" width="9.140625" style="107"/>
    <col min="9473" max="9473" width="6.5703125" style="107" bestFit="1" customWidth="1"/>
    <col min="9474" max="9474" width="19.42578125" style="107" bestFit="1" customWidth="1"/>
    <col min="9475" max="9475" width="9.140625" style="107"/>
    <col min="9476" max="9476" width="5.5703125" style="107" bestFit="1" customWidth="1"/>
    <col min="9477" max="9477" width="23.7109375" style="107" bestFit="1" customWidth="1"/>
    <col min="9478" max="9478" width="0" style="107" hidden="1" customWidth="1"/>
    <col min="9479" max="9479" width="23.5703125" style="107" customWidth="1"/>
    <col min="9480" max="9480" width="22" style="107" bestFit="1" customWidth="1"/>
    <col min="9481" max="9728" width="9.140625" style="107"/>
    <col min="9729" max="9729" width="6.5703125" style="107" bestFit="1" customWidth="1"/>
    <col min="9730" max="9730" width="19.42578125" style="107" bestFit="1" customWidth="1"/>
    <col min="9731" max="9731" width="9.140625" style="107"/>
    <col min="9732" max="9732" width="5.5703125" style="107" bestFit="1" customWidth="1"/>
    <col min="9733" max="9733" width="23.7109375" style="107" bestFit="1" customWidth="1"/>
    <col min="9734" max="9734" width="0" style="107" hidden="1" customWidth="1"/>
    <col min="9735" max="9735" width="23.5703125" style="107" customWidth="1"/>
    <col min="9736" max="9736" width="22" style="107" bestFit="1" customWidth="1"/>
    <col min="9737" max="9984" width="9.140625" style="107"/>
    <col min="9985" max="9985" width="6.5703125" style="107" bestFit="1" customWidth="1"/>
    <col min="9986" max="9986" width="19.42578125" style="107" bestFit="1" customWidth="1"/>
    <col min="9987" max="9987" width="9.140625" style="107"/>
    <col min="9988" max="9988" width="5.5703125" style="107" bestFit="1" customWidth="1"/>
    <col min="9989" max="9989" width="23.7109375" style="107" bestFit="1" customWidth="1"/>
    <col min="9990" max="9990" width="0" style="107" hidden="1" customWidth="1"/>
    <col min="9991" max="9991" width="23.5703125" style="107" customWidth="1"/>
    <col min="9992" max="9992" width="22" style="107" bestFit="1" customWidth="1"/>
    <col min="9993" max="10240" width="9.140625" style="107"/>
    <col min="10241" max="10241" width="6.5703125" style="107" bestFit="1" customWidth="1"/>
    <col min="10242" max="10242" width="19.42578125" style="107" bestFit="1" customWidth="1"/>
    <col min="10243" max="10243" width="9.140625" style="107"/>
    <col min="10244" max="10244" width="5.5703125" style="107" bestFit="1" customWidth="1"/>
    <col min="10245" max="10245" width="23.7109375" style="107" bestFit="1" customWidth="1"/>
    <col min="10246" max="10246" width="0" style="107" hidden="1" customWidth="1"/>
    <col min="10247" max="10247" width="23.5703125" style="107" customWidth="1"/>
    <col min="10248" max="10248" width="22" style="107" bestFit="1" customWidth="1"/>
    <col min="10249" max="10496" width="9.140625" style="107"/>
    <col min="10497" max="10497" width="6.5703125" style="107" bestFit="1" customWidth="1"/>
    <col min="10498" max="10498" width="19.42578125" style="107" bestFit="1" customWidth="1"/>
    <col min="10499" max="10499" width="9.140625" style="107"/>
    <col min="10500" max="10500" width="5.5703125" style="107" bestFit="1" customWidth="1"/>
    <col min="10501" max="10501" width="23.7109375" style="107" bestFit="1" customWidth="1"/>
    <col min="10502" max="10502" width="0" style="107" hidden="1" customWidth="1"/>
    <col min="10503" max="10503" width="23.5703125" style="107" customWidth="1"/>
    <col min="10504" max="10504" width="22" style="107" bestFit="1" customWidth="1"/>
    <col min="10505" max="10752" width="9.140625" style="107"/>
    <col min="10753" max="10753" width="6.5703125" style="107" bestFit="1" customWidth="1"/>
    <col min="10754" max="10754" width="19.42578125" style="107" bestFit="1" customWidth="1"/>
    <col min="10755" max="10755" width="9.140625" style="107"/>
    <col min="10756" max="10756" width="5.5703125" style="107" bestFit="1" customWidth="1"/>
    <col min="10757" max="10757" width="23.7109375" style="107" bestFit="1" customWidth="1"/>
    <col min="10758" max="10758" width="0" style="107" hidden="1" customWidth="1"/>
    <col min="10759" max="10759" width="23.5703125" style="107" customWidth="1"/>
    <col min="10760" max="10760" width="22" style="107" bestFit="1" customWidth="1"/>
    <col min="10761" max="11008" width="9.140625" style="107"/>
    <col min="11009" max="11009" width="6.5703125" style="107" bestFit="1" customWidth="1"/>
    <col min="11010" max="11010" width="19.42578125" style="107" bestFit="1" customWidth="1"/>
    <col min="11011" max="11011" width="9.140625" style="107"/>
    <col min="11012" max="11012" width="5.5703125" style="107" bestFit="1" customWidth="1"/>
    <col min="11013" max="11013" width="23.7109375" style="107" bestFit="1" customWidth="1"/>
    <col min="11014" max="11014" width="0" style="107" hidden="1" customWidth="1"/>
    <col min="11015" max="11015" width="23.5703125" style="107" customWidth="1"/>
    <col min="11016" max="11016" width="22" style="107" bestFit="1" customWidth="1"/>
    <col min="11017" max="11264" width="9.140625" style="107"/>
    <col min="11265" max="11265" width="6.5703125" style="107" bestFit="1" customWidth="1"/>
    <col min="11266" max="11266" width="19.42578125" style="107" bestFit="1" customWidth="1"/>
    <col min="11267" max="11267" width="9.140625" style="107"/>
    <col min="11268" max="11268" width="5.5703125" style="107" bestFit="1" customWidth="1"/>
    <col min="11269" max="11269" width="23.7109375" style="107" bestFit="1" customWidth="1"/>
    <col min="11270" max="11270" width="0" style="107" hidden="1" customWidth="1"/>
    <col min="11271" max="11271" width="23.5703125" style="107" customWidth="1"/>
    <col min="11272" max="11272" width="22" style="107" bestFit="1" customWidth="1"/>
    <col min="11273" max="11520" width="9.140625" style="107"/>
    <col min="11521" max="11521" width="6.5703125" style="107" bestFit="1" customWidth="1"/>
    <col min="11522" max="11522" width="19.42578125" style="107" bestFit="1" customWidth="1"/>
    <col min="11523" max="11523" width="9.140625" style="107"/>
    <col min="11524" max="11524" width="5.5703125" style="107" bestFit="1" customWidth="1"/>
    <col min="11525" max="11525" width="23.7109375" style="107" bestFit="1" customWidth="1"/>
    <col min="11526" max="11526" width="0" style="107" hidden="1" customWidth="1"/>
    <col min="11527" max="11527" width="23.5703125" style="107" customWidth="1"/>
    <col min="11528" max="11528" width="22" style="107" bestFit="1" customWidth="1"/>
    <col min="11529" max="11776" width="9.140625" style="107"/>
    <col min="11777" max="11777" width="6.5703125" style="107" bestFit="1" customWidth="1"/>
    <col min="11778" max="11778" width="19.42578125" style="107" bestFit="1" customWidth="1"/>
    <col min="11779" max="11779" width="9.140625" style="107"/>
    <col min="11780" max="11780" width="5.5703125" style="107" bestFit="1" customWidth="1"/>
    <col min="11781" max="11781" width="23.7109375" style="107" bestFit="1" customWidth="1"/>
    <col min="11782" max="11782" width="0" style="107" hidden="1" customWidth="1"/>
    <col min="11783" max="11783" width="23.5703125" style="107" customWidth="1"/>
    <col min="11784" max="11784" width="22" style="107" bestFit="1" customWidth="1"/>
    <col min="11785" max="12032" width="9.140625" style="107"/>
    <col min="12033" max="12033" width="6.5703125" style="107" bestFit="1" customWidth="1"/>
    <col min="12034" max="12034" width="19.42578125" style="107" bestFit="1" customWidth="1"/>
    <col min="12035" max="12035" width="9.140625" style="107"/>
    <col min="12036" max="12036" width="5.5703125" style="107" bestFit="1" customWidth="1"/>
    <col min="12037" max="12037" width="23.7109375" style="107" bestFit="1" customWidth="1"/>
    <col min="12038" max="12038" width="0" style="107" hidden="1" customWidth="1"/>
    <col min="12039" max="12039" width="23.5703125" style="107" customWidth="1"/>
    <col min="12040" max="12040" width="22" style="107" bestFit="1" customWidth="1"/>
    <col min="12041" max="12288" width="9.140625" style="107"/>
    <col min="12289" max="12289" width="6.5703125" style="107" bestFit="1" customWidth="1"/>
    <col min="12290" max="12290" width="19.42578125" style="107" bestFit="1" customWidth="1"/>
    <col min="12291" max="12291" width="9.140625" style="107"/>
    <col min="12292" max="12292" width="5.5703125" style="107" bestFit="1" customWidth="1"/>
    <col min="12293" max="12293" width="23.7109375" style="107" bestFit="1" customWidth="1"/>
    <col min="12294" max="12294" width="0" style="107" hidden="1" customWidth="1"/>
    <col min="12295" max="12295" width="23.5703125" style="107" customWidth="1"/>
    <col min="12296" max="12296" width="22" style="107" bestFit="1" customWidth="1"/>
    <col min="12297" max="12544" width="9.140625" style="107"/>
    <col min="12545" max="12545" width="6.5703125" style="107" bestFit="1" customWidth="1"/>
    <col min="12546" max="12546" width="19.42578125" style="107" bestFit="1" customWidth="1"/>
    <col min="12547" max="12547" width="9.140625" style="107"/>
    <col min="12548" max="12548" width="5.5703125" style="107" bestFit="1" customWidth="1"/>
    <col min="12549" max="12549" width="23.7109375" style="107" bestFit="1" customWidth="1"/>
    <col min="12550" max="12550" width="0" style="107" hidden="1" customWidth="1"/>
    <col min="12551" max="12551" width="23.5703125" style="107" customWidth="1"/>
    <col min="12552" max="12552" width="22" style="107" bestFit="1" customWidth="1"/>
    <col min="12553" max="12800" width="9.140625" style="107"/>
    <col min="12801" max="12801" width="6.5703125" style="107" bestFit="1" customWidth="1"/>
    <col min="12802" max="12802" width="19.42578125" style="107" bestFit="1" customWidth="1"/>
    <col min="12803" max="12803" width="9.140625" style="107"/>
    <col min="12804" max="12804" width="5.5703125" style="107" bestFit="1" customWidth="1"/>
    <col min="12805" max="12805" width="23.7109375" style="107" bestFit="1" customWidth="1"/>
    <col min="12806" max="12806" width="0" style="107" hidden="1" customWidth="1"/>
    <col min="12807" max="12807" width="23.5703125" style="107" customWidth="1"/>
    <col min="12808" max="12808" width="22" style="107" bestFit="1" customWidth="1"/>
    <col min="12809" max="13056" width="9.140625" style="107"/>
    <col min="13057" max="13057" width="6.5703125" style="107" bestFit="1" customWidth="1"/>
    <col min="13058" max="13058" width="19.42578125" style="107" bestFit="1" customWidth="1"/>
    <col min="13059" max="13059" width="9.140625" style="107"/>
    <col min="13060" max="13060" width="5.5703125" style="107" bestFit="1" customWidth="1"/>
    <col min="13061" max="13061" width="23.7109375" style="107" bestFit="1" customWidth="1"/>
    <col min="13062" max="13062" width="0" style="107" hidden="1" customWidth="1"/>
    <col min="13063" max="13063" width="23.5703125" style="107" customWidth="1"/>
    <col min="13064" max="13064" width="22" style="107" bestFit="1" customWidth="1"/>
    <col min="13065" max="13312" width="9.140625" style="107"/>
    <col min="13313" max="13313" width="6.5703125" style="107" bestFit="1" customWidth="1"/>
    <col min="13314" max="13314" width="19.42578125" style="107" bestFit="1" customWidth="1"/>
    <col min="13315" max="13315" width="9.140625" style="107"/>
    <col min="13316" max="13316" width="5.5703125" style="107" bestFit="1" customWidth="1"/>
    <col min="13317" max="13317" width="23.7109375" style="107" bestFit="1" customWidth="1"/>
    <col min="13318" max="13318" width="0" style="107" hidden="1" customWidth="1"/>
    <col min="13319" max="13319" width="23.5703125" style="107" customWidth="1"/>
    <col min="13320" max="13320" width="22" style="107" bestFit="1" customWidth="1"/>
    <col min="13321" max="13568" width="9.140625" style="107"/>
    <col min="13569" max="13569" width="6.5703125" style="107" bestFit="1" customWidth="1"/>
    <col min="13570" max="13570" width="19.42578125" style="107" bestFit="1" customWidth="1"/>
    <col min="13571" max="13571" width="9.140625" style="107"/>
    <col min="13572" max="13572" width="5.5703125" style="107" bestFit="1" customWidth="1"/>
    <col min="13573" max="13573" width="23.7109375" style="107" bestFit="1" customWidth="1"/>
    <col min="13574" max="13574" width="0" style="107" hidden="1" customWidth="1"/>
    <col min="13575" max="13575" width="23.5703125" style="107" customWidth="1"/>
    <col min="13576" max="13576" width="22" style="107" bestFit="1" customWidth="1"/>
    <col min="13577" max="13824" width="9.140625" style="107"/>
    <col min="13825" max="13825" width="6.5703125" style="107" bestFit="1" customWidth="1"/>
    <col min="13826" max="13826" width="19.42578125" style="107" bestFit="1" customWidth="1"/>
    <col min="13827" max="13827" width="9.140625" style="107"/>
    <col min="13828" max="13828" width="5.5703125" style="107" bestFit="1" customWidth="1"/>
    <col min="13829" max="13829" width="23.7109375" style="107" bestFit="1" customWidth="1"/>
    <col min="13830" max="13830" width="0" style="107" hidden="1" customWidth="1"/>
    <col min="13831" max="13831" width="23.5703125" style="107" customWidth="1"/>
    <col min="13832" max="13832" width="22" style="107" bestFit="1" customWidth="1"/>
    <col min="13833" max="14080" width="9.140625" style="107"/>
    <col min="14081" max="14081" width="6.5703125" style="107" bestFit="1" customWidth="1"/>
    <col min="14082" max="14082" width="19.42578125" style="107" bestFit="1" customWidth="1"/>
    <col min="14083" max="14083" width="9.140625" style="107"/>
    <col min="14084" max="14084" width="5.5703125" style="107" bestFit="1" customWidth="1"/>
    <col min="14085" max="14085" width="23.7109375" style="107" bestFit="1" customWidth="1"/>
    <col min="14086" max="14086" width="0" style="107" hidden="1" customWidth="1"/>
    <col min="14087" max="14087" width="23.5703125" style="107" customWidth="1"/>
    <col min="14088" max="14088" width="22" style="107" bestFit="1" customWidth="1"/>
    <col min="14089" max="14336" width="9.140625" style="107"/>
    <col min="14337" max="14337" width="6.5703125" style="107" bestFit="1" customWidth="1"/>
    <col min="14338" max="14338" width="19.42578125" style="107" bestFit="1" customWidth="1"/>
    <col min="14339" max="14339" width="9.140625" style="107"/>
    <col min="14340" max="14340" width="5.5703125" style="107" bestFit="1" customWidth="1"/>
    <col min="14341" max="14341" width="23.7109375" style="107" bestFit="1" customWidth="1"/>
    <col min="14342" max="14342" width="0" style="107" hidden="1" customWidth="1"/>
    <col min="14343" max="14343" width="23.5703125" style="107" customWidth="1"/>
    <col min="14344" max="14344" width="22" style="107" bestFit="1" customWidth="1"/>
    <col min="14345" max="14592" width="9.140625" style="107"/>
    <col min="14593" max="14593" width="6.5703125" style="107" bestFit="1" customWidth="1"/>
    <col min="14594" max="14594" width="19.42578125" style="107" bestFit="1" customWidth="1"/>
    <col min="14595" max="14595" width="9.140625" style="107"/>
    <col min="14596" max="14596" width="5.5703125" style="107" bestFit="1" customWidth="1"/>
    <col min="14597" max="14597" width="23.7109375" style="107" bestFit="1" customWidth="1"/>
    <col min="14598" max="14598" width="0" style="107" hidden="1" customWidth="1"/>
    <col min="14599" max="14599" width="23.5703125" style="107" customWidth="1"/>
    <col min="14600" max="14600" width="22" style="107" bestFit="1" customWidth="1"/>
    <col min="14601" max="14848" width="9.140625" style="107"/>
    <col min="14849" max="14849" width="6.5703125" style="107" bestFit="1" customWidth="1"/>
    <col min="14850" max="14850" width="19.42578125" style="107" bestFit="1" customWidth="1"/>
    <col min="14851" max="14851" width="9.140625" style="107"/>
    <col min="14852" max="14852" width="5.5703125" style="107" bestFit="1" customWidth="1"/>
    <col min="14853" max="14853" width="23.7109375" style="107" bestFit="1" customWidth="1"/>
    <col min="14854" max="14854" width="0" style="107" hidden="1" customWidth="1"/>
    <col min="14855" max="14855" width="23.5703125" style="107" customWidth="1"/>
    <col min="14856" max="14856" width="22" style="107" bestFit="1" customWidth="1"/>
    <col min="14857" max="15104" width="9.140625" style="107"/>
    <col min="15105" max="15105" width="6.5703125" style="107" bestFit="1" customWidth="1"/>
    <col min="15106" max="15106" width="19.42578125" style="107" bestFit="1" customWidth="1"/>
    <col min="15107" max="15107" width="9.140625" style="107"/>
    <col min="15108" max="15108" width="5.5703125" style="107" bestFit="1" customWidth="1"/>
    <col min="15109" max="15109" width="23.7109375" style="107" bestFit="1" customWidth="1"/>
    <col min="15110" max="15110" width="0" style="107" hidden="1" customWidth="1"/>
    <col min="15111" max="15111" width="23.5703125" style="107" customWidth="1"/>
    <col min="15112" max="15112" width="22" style="107" bestFit="1" customWidth="1"/>
    <col min="15113" max="15360" width="9.140625" style="107"/>
    <col min="15361" max="15361" width="6.5703125" style="107" bestFit="1" customWidth="1"/>
    <col min="15362" max="15362" width="19.42578125" style="107" bestFit="1" customWidth="1"/>
    <col min="15363" max="15363" width="9.140625" style="107"/>
    <col min="15364" max="15364" width="5.5703125" style="107" bestFit="1" customWidth="1"/>
    <col min="15365" max="15365" width="23.7109375" style="107" bestFit="1" customWidth="1"/>
    <col min="15366" max="15366" width="0" style="107" hidden="1" customWidth="1"/>
    <col min="15367" max="15367" width="23.5703125" style="107" customWidth="1"/>
    <col min="15368" max="15368" width="22" style="107" bestFit="1" customWidth="1"/>
    <col min="15369" max="15616" width="9.140625" style="107"/>
    <col min="15617" max="15617" width="6.5703125" style="107" bestFit="1" customWidth="1"/>
    <col min="15618" max="15618" width="19.42578125" style="107" bestFit="1" customWidth="1"/>
    <col min="15619" max="15619" width="9.140625" style="107"/>
    <col min="15620" max="15620" width="5.5703125" style="107" bestFit="1" customWidth="1"/>
    <col min="15621" max="15621" width="23.7109375" style="107" bestFit="1" customWidth="1"/>
    <col min="15622" max="15622" width="0" style="107" hidden="1" customWidth="1"/>
    <col min="15623" max="15623" width="23.5703125" style="107" customWidth="1"/>
    <col min="15624" max="15624" width="22" style="107" bestFit="1" customWidth="1"/>
    <col min="15625" max="15872" width="9.140625" style="107"/>
    <col min="15873" max="15873" width="6.5703125" style="107" bestFit="1" customWidth="1"/>
    <col min="15874" max="15874" width="19.42578125" style="107" bestFit="1" customWidth="1"/>
    <col min="15875" max="15875" width="9.140625" style="107"/>
    <col min="15876" max="15876" width="5.5703125" style="107" bestFit="1" customWidth="1"/>
    <col min="15877" max="15877" width="23.7109375" style="107" bestFit="1" customWidth="1"/>
    <col min="15878" max="15878" width="0" style="107" hidden="1" customWidth="1"/>
    <col min="15879" max="15879" width="23.5703125" style="107" customWidth="1"/>
    <col min="15880" max="15880" width="22" style="107" bestFit="1" customWidth="1"/>
    <col min="15881" max="16128" width="9.140625" style="107"/>
    <col min="16129" max="16129" width="6.5703125" style="107" bestFit="1" customWidth="1"/>
    <col min="16130" max="16130" width="19.42578125" style="107" bestFit="1" customWidth="1"/>
    <col min="16131" max="16131" width="9.140625" style="107"/>
    <col min="16132" max="16132" width="5.5703125" style="107" bestFit="1" customWidth="1"/>
    <col min="16133" max="16133" width="23.7109375" style="107" bestFit="1" customWidth="1"/>
    <col min="16134" max="16134" width="0" style="107" hidden="1" customWidth="1"/>
    <col min="16135" max="16135" width="23.5703125" style="107" customWidth="1"/>
    <col min="16136" max="16136" width="22" style="107" bestFit="1" customWidth="1"/>
    <col min="16137" max="16384" width="9.140625" style="107"/>
  </cols>
  <sheetData>
    <row r="4" spans="4:7">
      <c r="D4" s="160" t="s">
        <v>192</v>
      </c>
      <c r="E4" s="160" t="s">
        <v>207</v>
      </c>
      <c r="F4" s="160" t="s">
        <v>208</v>
      </c>
      <c r="G4" s="160" t="s">
        <v>209</v>
      </c>
    </row>
    <row r="5" spans="4:7">
      <c r="D5" s="160">
        <v>1</v>
      </c>
      <c r="E5" s="161">
        <v>264293</v>
      </c>
      <c r="F5" s="161">
        <f>E5/10000</f>
        <v>26.429300000000001</v>
      </c>
      <c r="G5" s="162">
        <f>E5/(1000*1000)</f>
        <v>0.264293</v>
      </c>
    </row>
    <row r="6" spans="4:7">
      <c r="D6" s="160">
        <v>2</v>
      </c>
      <c r="E6" s="161">
        <v>173808</v>
      </c>
      <c r="F6" s="161">
        <f>E6/10000</f>
        <v>17.380800000000001</v>
      </c>
      <c r="G6" s="162">
        <f>E6/(1000*1000)</f>
        <v>0.17380799999999999</v>
      </c>
    </row>
    <row r="11" spans="4:7">
      <c r="G11" s="107">
        <f>1232*7.5</f>
        <v>9240</v>
      </c>
    </row>
    <row r="12" spans="4:7">
      <c r="G12" s="107">
        <f>G11-G13</f>
        <v>2700</v>
      </c>
    </row>
    <row r="13" spans="4:7">
      <c r="G13" s="107">
        <v>6540</v>
      </c>
    </row>
    <row r="14" spans="4:7">
      <c r="G14" s="107">
        <f>G12/1232</f>
        <v>2.1915584415584415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6"/>
  <sheetViews>
    <sheetView showGridLines="0" view="pageBreakPreview" zoomScale="85" zoomScaleNormal="85" zoomScaleSheetLayoutView="85" workbookViewId="0">
      <pane ySplit="5" topLeftCell="A6" activePane="bottomLeft" state="frozen"/>
      <selection activeCell="A10" sqref="A10:M10"/>
      <selection pane="bottomLeft" activeCell="A10" sqref="A10:M10"/>
    </sheetView>
  </sheetViews>
  <sheetFormatPr defaultColWidth="11.42578125" defaultRowHeight="15.75"/>
  <cols>
    <col min="1" max="2" width="2.7109375" style="254" customWidth="1"/>
    <col min="3" max="3" width="4.85546875" style="254" bestFit="1" customWidth="1"/>
    <col min="4" max="5" width="2.7109375" style="254" customWidth="1"/>
    <col min="6" max="6" width="6" style="254" customWidth="1"/>
    <col min="7" max="7" width="7.42578125" style="254" bestFit="1" customWidth="1"/>
    <col min="8" max="8" width="7.85546875" style="254" bestFit="1" customWidth="1"/>
    <col min="9" max="9" width="7" style="254" customWidth="1"/>
    <col min="10" max="10" width="7.140625" style="254" bestFit="1" customWidth="1"/>
    <col min="11" max="11" width="4.85546875" style="254" bestFit="1" customWidth="1"/>
    <col min="12" max="12" width="6.5703125" style="254" bestFit="1" customWidth="1"/>
    <col min="13" max="13" width="9.28515625" style="254" customWidth="1"/>
    <col min="14" max="14" width="7.28515625" style="254" customWidth="1"/>
    <col min="15" max="15" width="9.42578125" style="254" bestFit="1" customWidth="1"/>
    <col min="16" max="16" width="7.140625" style="254" bestFit="1" customWidth="1"/>
    <col min="17" max="17" width="9" style="254" customWidth="1"/>
    <col min="18" max="18" width="7.7109375" style="254" bestFit="1" customWidth="1"/>
    <col min="19" max="19" width="9.7109375" style="254" customWidth="1"/>
    <col min="20" max="20" width="8.85546875" style="254" customWidth="1"/>
    <col min="21" max="21" width="8.5703125" style="254" customWidth="1"/>
    <col min="22" max="22" width="6.7109375" style="254" customWidth="1"/>
    <col min="23" max="23" width="9.140625" style="254" bestFit="1" customWidth="1"/>
    <col min="24" max="24" width="8.5703125" style="254" bestFit="1" customWidth="1"/>
    <col min="25" max="25" width="8.140625" style="254" bestFit="1" customWidth="1"/>
    <col min="26" max="26" width="8.42578125" style="254" customWidth="1"/>
    <col min="27" max="27" width="7.28515625" style="254" customWidth="1"/>
    <col min="28" max="28" width="6" style="254" customWidth="1"/>
    <col min="29" max="29" width="6.85546875" style="254" customWidth="1"/>
    <col min="30" max="30" width="7.5703125" style="254" bestFit="1" customWidth="1"/>
    <col min="31" max="32" width="7.42578125" style="254" customWidth="1"/>
    <col min="33" max="33" width="3.28515625" style="254" bestFit="1" customWidth="1"/>
    <col min="34" max="34" width="5.85546875" style="254" bestFit="1" customWidth="1"/>
    <col min="35" max="36" width="11.42578125" style="254"/>
    <col min="37" max="37" width="19" style="254" customWidth="1"/>
    <col min="38" max="250" width="11.42578125" style="254"/>
    <col min="251" max="252" width="2.7109375" style="254" customWidth="1"/>
    <col min="253" max="253" width="4.85546875" style="254" bestFit="1" customWidth="1"/>
    <col min="254" max="255" width="2.7109375" style="254" customWidth="1"/>
    <col min="256" max="256" width="4.85546875" style="254" bestFit="1" customWidth="1"/>
    <col min="257" max="257" width="7.42578125" style="254" bestFit="1" customWidth="1"/>
    <col min="258" max="258" width="7.85546875" style="254" bestFit="1" customWidth="1"/>
    <col min="259" max="259" width="5.28515625" style="254" bestFit="1" customWidth="1"/>
    <col min="260" max="260" width="6.5703125" style="254" bestFit="1" customWidth="1"/>
    <col min="261" max="261" width="4.85546875" style="254" bestFit="1" customWidth="1"/>
    <col min="262" max="262" width="6.5703125" style="254" bestFit="1" customWidth="1"/>
    <col min="263" max="263" width="9.28515625" style="254" customWidth="1"/>
    <col min="264" max="264" width="7.28515625" style="254" customWidth="1"/>
    <col min="265" max="265" width="9.42578125" style="254" bestFit="1" customWidth="1"/>
    <col min="266" max="266" width="7.140625" style="254" bestFit="1" customWidth="1"/>
    <col min="267" max="267" width="11.28515625" style="254" bestFit="1" customWidth="1"/>
    <col min="268" max="268" width="7.7109375" style="254" bestFit="1" customWidth="1"/>
    <col min="269" max="269" width="10" style="254" bestFit="1" customWidth="1"/>
    <col min="270" max="270" width="8.85546875" style="254" customWidth="1"/>
    <col min="271" max="271" width="8.5703125" style="254" customWidth="1"/>
    <col min="272" max="272" width="6.7109375" style="254" customWidth="1"/>
    <col min="273" max="273" width="9.140625" style="254" bestFit="1" customWidth="1"/>
    <col min="274" max="274" width="8.5703125" style="254" bestFit="1" customWidth="1"/>
    <col min="275" max="275" width="8.140625" style="254" bestFit="1" customWidth="1"/>
    <col min="276" max="276" width="8.42578125" style="254" customWidth="1"/>
    <col min="277" max="277" width="7.28515625" style="254" customWidth="1"/>
    <col min="278" max="278" width="6" style="254" customWidth="1"/>
    <col min="279" max="279" width="6.85546875" style="254" customWidth="1"/>
    <col min="280" max="280" width="7.5703125" style="254" bestFit="1" customWidth="1"/>
    <col min="281" max="281" width="7.42578125" style="254" customWidth="1"/>
    <col min="282" max="282" width="8" style="254" customWidth="1"/>
    <col min="283" max="283" width="22.42578125" style="254" customWidth="1"/>
    <col min="284" max="284" width="26" style="254" bestFit="1" customWidth="1"/>
    <col min="285" max="285" width="11.7109375" style="254" bestFit="1" customWidth="1"/>
    <col min="286" max="286" width="3.28515625" style="254" bestFit="1" customWidth="1"/>
    <col min="287" max="287" width="4.7109375" style="254" bestFit="1" customWidth="1"/>
    <col min="288" max="288" width="16.140625" style="254" bestFit="1" customWidth="1"/>
    <col min="289" max="289" width="3.28515625" style="254" bestFit="1" customWidth="1"/>
    <col min="290" max="290" width="5.85546875" style="254" bestFit="1" customWidth="1"/>
    <col min="291" max="292" width="11.42578125" style="254"/>
    <col min="293" max="293" width="19" style="254" customWidth="1"/>
    <col min="294" max="506" width="11.42578125" style="254"/>
    <col min="507" max="508" width="2.7109375" style="254" customWidth="1"/>
    <col min="509" max="509" width="4.85546875" style="254" bestFit="1" customWidth="1"/>
    <col min="510" max="511" width="2.7109375" style="254" customWidth="1"/>
    <col min="512" max="512" width="4.85546875" style="254" bestFit="1" customWidth="1"/>
    <col min="513" max="513" width="7.42578125" style="254" bestFit="1" customWidth="1"/>
    <col min="514" max="514" width="7.85546875" style="254" bestFit="1" customWidth="1"/>
    <col min="515" max="515" width="5.28515625" style="254" bestFit="1" customWidth="1"/>
    <col min="516" max="516" width="6.5703125" style="254" bestFit="1" customWidth="1"/>
    <col min="517" max="517" width="4.85546875" style="254" bestFit="1" customWidth="1"/>
    <col min="518" max="518" width="6.5703125" style="254" bestFit="1" customWidth="1"/>
    <col min="519" max="519" width="9.28515625" style="254" customWidth="1"/>
    <col min="520" max="520" width="7.28515625" style="254" customWidth="1"/>
    <col min="521" max="521" width="9.42578125" style="254" bestFit="1" customWidth="1"/>
    <col min="522" max="522" width="7.140625" style="254" bestFit="1" customWidth="1"/>
    <col min="523" max="523" width="11.28515625" style="254" bestFit="1" customWidth="1"/>
    <col min="524" max="524" width="7.7109375" style="254" bestFit="1" customWidth="1"/>
    <col min="525" max="525" width="10" style="254" bestFit="1" customWidth="1"/>
    <col min="526" max="526" width="8.85546875" style="254" customWidth="1"/>
    <col min="527" max="527" width="8.5703125" style="254" customWidth="1"/>
    <col min="528" max="528" width="6.7109375" style="254" customWidth="1"/>
    <col min="529" max="529" width="9.140625" style="254" bestFit="1" customWidth="1"/>
    <col min="530" max="530" width="8.5703125" style="254" bestFit="1" customWidth="1"/>
    <col min="531" max="531" width="8.140625" style="254" bestFit="1" customWidth="1"/>
    <col min="532" max="532" width="8.42578125" style="254" customWidth="1"/>
    <col min="533" max="533" width="7.28515625" style="254" customWidth="1"/>
    <col min="534" max="534" width="6" style="254" customWidth="1"/>
    <col min="535" max="535" width="6.85546875" style="254" customWidth="1"/>
    <col min="536" max="536" width="7.5703125" style="254" bestFit="1" customWidth="1"/>
    <col min="537" max="537" width="7.42578125" style="254" customWidth="1"/>
    <col min="538" max="538" width="8" style="254" customWidth="1"/>
    <col min="539" max="539" width="22.42578125" style="254" customWidth="1"/>
    <col min="540" max="540" width="26" style="254" bestFit="1" customWidth="1"/>
    <col min="541" max="541" width="11.7109375" style="254" bestFit="1" customWidth="1"/>
    <col min="542" max="542" width="3.28515625" style="254" bestFit="1" customWidth="1"/>
    <col min="543" max="543" width="4.7109375" style="254" bestFit="1" customWidth="1"/>
    <col min="544" max="544" width="16.140625" style="254" bestFit="1" customWidth="1"/>
    <col min="545" max="545" width="3.28515625" style="254" bestFit="1" customWidth="1"/>
    <col min="546" max="546" width="5.85546875" style="254" bestFit="1" customWidth="1"/>
    <col min="547" max="548" width="11.42578125" style="254"/>
    <col min="549" max="549" width="19" style="254" customWidth="1"/>
    <col min="550" max="762" width="11.42578125" style="254"/>
    <col min="763" max="764" width="2.7109375" style="254" customWidth="1"/>
    <col min="765" max="765" width="4.85546875" style="254" bestFit="1" customWidth="1"/>
    <col min="766" max="767" width="2.7109375" style="254" customWidth="1"/>
    <col min="768" max="768" width="4.85546875" style="254" bestFit="1" customWidth="1"/>
    <col min="769" max="769" width="7.42578125" style="254" bestFit="1" customWidth="1"/>
    <col min="770" max="770" width="7.85546875" style="254" bestFit="1" customWidth="1"/>
    <col min="771" max="771" width="5.28515625" style="254" bestFit="1" customWidth="1"/>
    <col min="772" max="772" width="6.5703125" style="254" bestFit="1" customWidth="1"/>
    <col min="773" max="773" width="4.85546875" style="254" bestFit="1" customWidth="1"/>
    <col min="774" max="774" width="6.5703125" style="254" bestFit="1" customWidth="1"/>
    <col min="775" max="775" width="9.28515625" style="254" customWidth="1"/>
    <col min="776" max="776" width="7.28515625" style="254" customWidth="1"/>
    <col min="777" max="777" width="9.42578125" style="254" bestFit="1" customWidth="1"/>
    <col min="778" max="778" width="7.140625" style="254" bestFit="1" customWidth="1"/>
    <col min="779" max="779" width="11.28515625" style="254" bestFit="1" customWidth="1"/>
    <col min="780" max="780" width="7.7109375" style="254" bestFit="1" customWidth="1"/>
    <col min="781" max="781" width="10" style="254" bestFit="1" customWidth="1"/>
    <col min="782" max="782" width="8.85546875" style="254" customWidth="1"/>
    <col min="783" max="783" width="8.5703125" style="254" customWidth="1"/>
    <col min="784" max="784" width="6.7109375" style="254" customWidth="1"/>
    <col min="785" max="785" width="9.140625" style="254" bestFit="1" customWidth="1"/>
    <col min="786" max="786" width="8.5703125" style="254" bestFit="1" customWidth="1"/>
    <col min="787" max="787" width="8.140625" style="254" bestFit="1" customWidth="1"/>
    <col min="788" max="788" width="8.42578125" style="254" customWidth="1"/>
    <col min="789" max="789" width="7.28515625" style="254" customWidth="1"/>
    <col min="790" max="790" width="6" style="254" customWidth="1"/>
    <col min="791" max="791" width="6.85546875" style="254" customWidth="1"/>
    <col min="792" max="792" width="7.5703125" style="254" bestFit="1" customWidth="1"/>
    <col min="793" max="793" width="7.42578125" style="254" customWidth="1"/>
    <col min="794" max="794" width="8" style="254" customWidth="1"/>
    <col min="795" max="795" width="22.42578125" style="254" customWidth="1"/>
    <col min="796" max="796" width="26" style="254" bestFit="1" customWidth="1"/>
    <col min="797" max="797" width="11.7109375" style="254" bestFit="1" customWidth="1"/>
    <col min="798" max="798" width="3.28515625" style="254" bestFit="1" customWidth="1"/>
    <col min="799" max="799" width="4.7109375" style="254" bestFit="1" customWidth="1"/>
    <col min="800" max="800" width="16.140625" style="254" bestFit="1" customWidth="1"/>
    <col min="801" max="801" width="3.28515625" style="254" bestFit="1" customWidth="1"/>
    <col min="802" max="802" width="5.85546875" style="254" bestFit="1" customWidth="1"/>
    <col min="803" max="804" width="11.42578125" style="254"/>
    <col min="805" max="805" width="19" style="254" customWidth="1"/>
    <col min="806" max="1018" width="11.42578125" style="254"/>
    <col min="1019" max="1020" width="2.7109375" style="254" customWidth="1"/>
    <col min="1021" max="1021" width="4.85546875" style="254" bestFit="1" customWidth="1"/>
    <col min="1022" max="1023" width="2.7109375" style="254" customWidth="1"/>
    <col min="1024" max="1024" width="4.85546875" style="254" bestFit="1" customWidth="1"/>
    <col min="1025" max="1025" width="7.42578125" style="254" bestFit="1" customWidth="1"/>
    <col min="1026" max="1026" width="7.85546875" style="254" bestFit="1" customWidth="1"/>
    <col min="1027" max="1027" width="5.28515625" style="254" bestFit="1" customWidth="1"/>
    <col min="1028" max="1028" width="6.5703125" style="254" bestFit="1" customWidth="1"/>
    <col min="1029" max="1029" width="4.85546875" style="254" bestFit="1" customWidth="1"/>
    <col min="1030" max="1030" width="6.5703125" style="254" bestFit="1" customWidth="1"/>
    <col min="1031" max="1031" width="9.28515625" style="254" customWidth="1"/>
    <col min="1032" max="1032" width="7.28515625" style="254" customWidth="1"/>
    <col min="1033" max="1033" width="9.42578125" style="254" bestFit="1" customWidth="1"/>
    <col min="1034" max="1034" width="7.140625" style="254" bestFit="1" customWidth="1"/>
    <col min="1035" max="1035" width="11.28515625" style="254" bestFit="1" customWidth="1"/>
    <col min="1036" max="1036" width="7.7109375" style="254" bestFit="1" customWidth="1"/>
    <col min="1037" max="1037" width="10" style="254" bestFit="1" customWidth="1"/>
    <col min="1038" max="1038" width="8.85546875" style="254" customWidth="1"/>
    <col min="1039" max="1039" width="8.5703125" style="254" customWidth="1"/>
    <col min="1040" max="1040" width="6.7109375" style="254" customWidth="1"/>
    <col min="1041" max="1041" width="9.140625" style="254" bestFit="1" customWidth="1"/>
    <col min="1042" max="1042" width="8.5703125" style="254" bestFit="1" customWidth="1"/>
    <col min="1043" max="1043" width="8.140625" style="254" bestFit="1" customWidth="1"/>
    <col min="1044" max="1044" width="8.42578125" style="254" customWidth="1"/>
    <col min="1045" max="1045" width="7.28515625" style="254" customWidth="1"/>
    <col min="1046" max="1046" width="6" style="254" customWidth="1"/>
    <col min="1047" max="1047" width="6.85546875" style="254" customWidth="1"/>
    <col min="1048" max="1048" width="7.5703125" style="254" bestFit="1" customWidth="1"/>
    <col min="1049" max="1049" width="7.42578125" style="254" customWidth="1"/>
    <col min="1050" max="1050" width="8" style="254" customWidth="1"/>
    <col min="1051" max="1051" width="22.42578125" style="254" customWidth="1"/>
    <col min="1052" max="1052" width="26" style="254" bestFit="1" customWidth="1"/>
    <col min="1053" max="1053" width="11.7109375" style="254" bestFit="1" customWidth="1"/>
    <col min="1054" max="1054" width="3.28515625" style="254" bestFit="1" customWidth="1"/>
    <col min="1055" max="1055" width="4.7109375" style="254" bestFit="1" customWidth="1"/>
    <col min="1056" max="1056" width="16.140625" style="254" bestFit="1" customWidth="1"/>
    <col min="1057" max="1057" width="3.28515625" style="254" bestFit="1" customWidth="1"/>
    <col min="1058" max="1058" width="5.85546875" style="254" bestFit="1" customWidth="1"/>
    <col min="1059" max="1060" width="11.42578125" style="254"/>
    <col min="1061" max="1061" width="19" style="254" customWidth="1"/>
    <col min="1062" max="1274" width="11.42578125" style="254"/>
    <col min="1275" max="1276" width="2.7109375" style="254" customWidth="1"/>
    <col min="1277" max="1277" width="4.85546875" style="254" bestFit="1" customWidth="1"/>
    <col min="1278" max="1279" width="2.7109375" style="254" customWidth="1"/>
    <col min="1280" max="1280" width="4.85546875" style="254" bestFit="1" customWidth="1"/>
    <col min="1281" max="1281" width="7.42578125" style="254" bestFit="1" customWidth="1"/>
    <col min="1282" max="1282" width="7.85546875" style="254" bestFit="1" customWidth="1"/>
    <col min="1283" max="1283" width="5.28515625" style="254" bestFit="1" customWidth="1"/>
    <col min="1284" max="1284" width="6.5703125" style="254" bestFit="1" customWidth="1"/>
    <col min="1285" max="1285" width="4.85546875" style="254" bestFit="1" customWidth="1"/>
    <col min="1286" max="1286" width="6.5703125" style="254" bestFit="1" customWidth="1"/>
    <col min="1287" max="1287" width="9.28515625" style="254" customWidth="1"/>
    <col min="1288" max="1288" width="7.28515625" style="254" customWidth="1"/>
    <col min="1289" max="1289" width="9.42578125" style="254" bestFit="1" customWidth="1"/>
    <col min="1290" max="1290" width="7.140625" style="254" bestFit="1" customWidth="1"/>
    <col min="1291" max="1291" width="11.28515625" style="254" bestFit="1" customWidth="1"/>
    <col min="1292" max="1292" width="7.7109375" style="254" bestFit="1" customWidth="1"/>
    <col min="1293" max="1293" width="10" style="254" bestFit="1" customWidth="1"/>
    <col min="1294" max="1294" width="8.85546875" style="254" customWidth="1"/>
    <col min="1295" max="1295" width="8.5703125" style="254" customWidth="1"/>
    <col min="1296" max="1296" width="6.7109375" style="254" customWidth="1"/>
    <col min="1297" max="1297" width="9.140625" style="254" bestFit="1" customWidth="1"/>
    <col min="1298" max="1298" width="8.5703125" style="254" bestFit="1" customWidth="1"/>
    <col min="1299" max="1299" width="8.140625" style="254" bestFit="1" customWidth="1"/>
    <col min="1300" max="1300" width="8.42578125" style="254" customWidth="1"/>
    <col min="1301" max="1301" width="7.28515625" style="254" customWidth="1"/>
    <col min="1302" max="1302" width="6" style="254" customWidth="1"/>
    <col min="1303" max="1303" width="6.85546875" style="254" customWidth="1"/>
    <col min="1304" max="1304" width="7.5703125" style="254" bestFit="1" customWidth="1"/>
    <col min="1305" max="1305" width="7.42578125" style="254" customWidth="1"/>
    <col min="1306" max="1306" width="8" style="254" customWidth="1"/>
    <col min="1307" max="1307" width="22.42578125" style="254" customWidth="1"/>
    <col min="1308" max="1308" width="26" style="254" bestFit="1" customWidth="1"/>
    <col min="1309" max="1309" width="11.7109375" style="254" bestFit="1" customWidth="1"/>
    <col min="1310" max="1310" width="3.28515625" style="254" bestFit="1" customWidth="1"/>
    <col min="1311" max="1311" width="4.7109375" style="254" bestFit="1" customWidth="1"/>
    <col min="1312" max="1312" width="16.140625" style="254" bestFit="1" customWidth="1"/>
    <col min="1313" max="1313" width="3.28515625" style="254" bestFit="1" customWidth="1"/>
    <col min="1314" max="1314" width="5.85546875" style="254" bestFit="1" customWidth="1"/>
    <col min="1315" max="1316" width="11.42578125" style="254"/>
    <col min="1317" max="1317" width="19" style="254" customWidth="1"/>
    <col min="1318" max="1530" width="11.42578125" style="254"/>
    <col min="1531" max="1532" width="2.7109375" style="254" customWidth="1"/>
    <col min="1533" max="1533" width="4.85546875" style="254" bestFit="1" customWidth="1"/>
    <col min="1534" max="1535" width="2.7109375" style="254" customWidth="1"/>
    <col min="1536" max="1536" width="4.85546875" style="254" bestFit="1" customWidth="1"/>
    <col min="1537" max="1537" width="7.42578125" style="254" bestFit="1" customWidth="1"/>
    <col min="1538" max="1538" width="7.85546875" style="254" bestFit="1" customWidth="1"/>
    <col min="1539" max="1539" width="5.28515625" style="254" bestFit="1" customWidth="1"/>
    <col min="1540" max="1540" width="6.5703125" style="254" bestFit="1" customWidth="1"/>
    <col min="1541" max="1541" width="4.85546875" style="254" bestFit="1" customWidth="1"/>
    <col min="1542" max="1542" width="6.5703125" style="254" bestFit="1" customWidth="1"/>
    <col min="1543" max="1543" width="9.28515625" style="254" customWidth="1"/>
    <col min="1544" max="1544" width="7.28515625" style="254" customWidth="1"/>
    <col min="1545" max="1545" width="9.42578125" style="254" bestFit="1" customWidth="1"/>
    <col min="1546" max="1546" width="7.140625" style="254" bestFit="1" customWidth="1"/>
    <col min="1547" max="1547" width="11.28515625" style="254" bestFit="1" customWidth="1"/>
    <col min="1548" max="1548" width="7.7109375" style="254" bestFit="1" customWidth="1"/>
    <col min="1549" max="1549" width="10" style="254" bestFit="1" customWidth="1"/>
    <col min="1550" max="1550" width="8.85546875" style="254" customWidth="1"/>
    <col min="1551" max="1551" width="8.5703125" style="254" customWidth="1"/>
    <col min="1552" max="1552" width="6.7109375" style="254" customWidth="1"/>
    <col min="1553" max="1553" width="9.140625" style="254" bestFit="1" customWidth="1"/>
    <col min="1554" max="1554" width="8.5703125" style="254" bestFit="1" customWidth="1"/>
    <col min="1555" max="1555" width="8.140625" style="254" bestFit="1" customWidth="1"/>
    <col min="1556" max="1556" width="8.42578125" style="254" customWidth="1"/>
    <col min="1557" max="1557" width="7.28515625" style="254" customWidth="1"/>
    <col min="1558" max="1558" width="6" style="254" customWidth="1"/>
    <col min="1559" max="1559" width="6.85546875" style="254" customWidth="1"/>
    <col min="1560" max="1560" width="7.5703125" style="254" bestFit="1" customWidth="1"/>
    <col min="1561" max="1561" width="7.42578125" style="254" customWidth="1"/>
    <col min="1562" max="1562" width="8" style="254" customWidth="1"/>
    <col min="1563" max="1563" width="22.42578125" style="254" customWidth="1"/>
    <col min="1564" max="1564" width="26" style="254" bestFit="1" customWidth="1"/>
    <col min="1565" max="1565" width="11.7109375" style="254" bestFit="1" customWidth="1"/>
    <col min="1566" max="1566" width="3.28515625" style="254" bestFit="1" customWidth="1"/>
    <col min="1567" max="1567" width="4.7109375" style="254" bestFit="1" customWidth="1"/>
    <col min="1568" max="1568" width="16.140625" style="254" bestFit="1" customWidth="1"/>
    <col min="1569" max="1569" width="3.28515625" style="254" bestFit="1" customWidth="1"/>
    <col min="1570" max="1570" width="5.85546875" style="254" bestFit="1" customWidth="1"/>
    <col min="1571" max="1572" width="11.42578125" style="254"/>
    <col min="1573" max="1573" width="19" style="254" customWidth="1"/>
    <col min="1574" max="1786" width="11.42578125" style="254"/>
    <col min="1787" max="1788" width="2.7109375" style="254" customWidth="1"/>
    <col min="1789" max="1789" width="4.85546875" style="254" bestFit="1" customWidth="1"/>
    <col min="1790" max="1791" width="2.7109375" style="254" customWidth="1"/>
    <col min="1792" max="1792" width="4.85546875" style="254" bestFit="1" customWidth="1"/>
    <col min="1793" max="1793" width="7.42578125" style="254" bestFit="1" customWidth="1"/>
    <col min="1794" max="1794" width="7.85546875" style="254" bestFit="1" customWidth="1"/>
    <col min="1795" max="1795" width="5.28515625" style="254" bestFit="1" customWidth="1"/>
    <col min="1796" max="1796" width="6.5703125" style="254" bestFit="1" customWidth="1"/>
    <col min="1797" max="1797" width="4.85546875" style="254" bestFit="1" customWidth="1"/>
    <col min="1798" max="1798" width="6.5703125" style="254" bestFit="1" customWidth="1"/>
    <col min="1799" max="1799" width="9.28515625" style="254" customWidth="1"/>
    <col min="1800" max="1800" width="7.28515625" style="254" customWidth="1"/>
    <col min="1801" max="1801" width="9.42578125" style="254" bestFit="1" customWidth="1"/>
    <col min="1802" max="1802" width="7.140625" style="254" bestFit="1" customWidth="1"/>
    <col min="1803" max="1803" width="11.28515625" style="254" bestFit="1" customWidth="1"/>
    <col min="1804" max="1804" width="7.7109375" style="254" bestFit="1" customWidth="1"/>
    <col min="1805" max="1805" width="10" style="254" bestFit="1" customWidth="1"/>
    <col min="1806" max="1806" width="8.85546875" style="254" customWidth="1"/>
    <col min="1807" max="1807" width="8.5703125" style="254" customWidth="1"/>
    <col min="1808" max="1808" width="6.7109375" style="254" customWidth="1"/>
    <col min="1809" max="1809" width="9.140625" style="254" bestFit="1" customWidth="1"/>
    <col min="1810" max="1810" width="8.5703125" style="254" bestFit="1" customWidth="1"/>
    <col min="1811" max="1811" width="8.140625" style="254" bestFit="1" customWidth="1"/>
    <col min="1812" max="1812" width="8.42578125" style="254" customWidth="1"/>
    <col min="1813" max="1813" width="7.28515625" style="254" customWidth="1"/>
    <col min="1814" max="1814" width="6" style="254" customWidth="1"/>
    <col min="1815" max="1815" width="6.85546875" style="254" customWidth="1"/>
    <col min="1816" max="1816" width="7.5703125" style="254" bestFit="1" customWidth="1"/>
    <col min="1817" max="1817" width="7.42578125" style="254" customWidth="1"/>
    <col min="1818" max="1818" width="8" style="254" customWidth="1"/>
    <col min="1819" max="1819" width="22.42578125" style="254" customWidth="1"/>
    <col min="1820" max="1820" width="26" style="254" bestFit="1" customWidth="1"/>
    <col min="1821" max="1821" width="11.7109375" style="254" bestFit="1" customWidth="1"/>
    <col min="1822" max="1822" width="3.28515625" style="254" bestFit="1" customWidth="1"/>
    <col min="1823" max="1823" width="4.7109375" style="254" bestFit="1" customWidth="1"/>
    <col min="1824" max="1824" width="16.140625" style="254" bestFit="1" customWidth="1"/>
    <col min="1825" max="1825" width="3.28515625" style="254" bestFit="1" customWidth="1"/>
    <col min="1826" max="1826" width="5.85546875" style="254" bestFit="1" customWidth="1"/>
    <col min="1827" max="1828" width="11.42578125" style="254"/>
    <col min="1829" max="1829" width="19" style="254" customWidth="1"/>
    <col min="1830" max="2042" width="11.42578125" style="254"/>
    <col min="2043" max="2044" width="2.7109375" style="254" customWidth="1"/>
    <col min="2045" max="2045" width="4.85546875" style="254" bestFit="1" customWidth="1"/>
    <col min="2046" max="2047" width="2.7109375" style="254" customWidth="1"/>
    <col min="2048" max="2048" width="4.85546875" style="254" bestFit="1" customWidth="1"/>
    <col min="2049" max="2049" width="7.42578125" style="254" bestFit="1" customWidth="1"/>
    <col min="2050" max="2050" width="7.85546875" style="254" bestFit="1" customWidth="1"/>
    <col min="2051" max="2051" width="5.28515625" style="254" bestFit="1" customWidth="1"/>
    <col min="2052" max="2052" width="6.5703125" style="254" bestFit="1" customWidth="1"/>
    <col min="2053" max="2053" width="4.85546875" style="254" bestFit="1" customWidth="1"/>
    <col min="2054" max="2054" width="6.5703125" style="254" bestFit="1" customWidth="1"/>
    <col min="2055" max="2055" width="9.28515625" style="254" customWidth="1"/>
    <col min="2056" max="2056" width="7.28515625" style="254" customWidth="1"/>
    <col min="2057" max="2057" width="9.42578125" style="254" bestFit="1" customWidth="1"/>
    <col min="2058" max="2058" width="7.140625" style="254" bestFit="1" customWidth="1"/>
    <col min="2059" max="2059" width="11.28515625" style="254" bestFit="1" customWidth="1"/>
    <col min="2060" max="2060" width="7.7109375" style="254" bestFit="1" customWidth="1"/>
    <col min="2061" max="2061" width="10" style="254" bestFit="1" customWidth="1"/>
    <col min="2062" max="2062" width="8.85546875" style="254" customWidth="1"/>
    <col min="2063" max="2063" width="8.5703125" style="254" customWidth="1"/>
    <col min="2064" max="2064" width="6.7109375" style="254" customWidth="1"/>
    <col min="2065" max="2065" width="9.140625" style="254" bestFit="1" customWidth="1"/>
    <col min="2066" max="2066" width="8.5703125" style="254" bestFit="1" customWidth="1"/>
    <col min="2067" max="2067" width="8.140625" style="254" bestFit="1" customWidth="1"/>
    <col min="2068" max="2068" width="8.42578125" style="254" customWidth="1"/>
    <col min="2069" max="2069" width="7.28515625" style="254" customWidth="1"/>
    <col min="2070" max="2070" width="6" style="254" customWidth="1"/>
    <col min="2071" max="2071" width="6.85546875" style="254" customWidth="1"/>
    <col min="2072" max="2072" width="7.5703125" style="254" bestFit="1" customWidth="1"/>
    <col min="2073" max="2073" width="7.42578125" style="254" customWidth="1"/>
    <col min="2074" max="2074" width="8" style="254" customWidth="1"/>
    <col min="2075" max="2075" width="22.42578125" style="254" customWidth="1"/>
    <col min="2076" max="2076" width="26" style="254" bestFit="1" customWidth="1"/>
    <col min="2077" max="2077" width="11.7109375" style="254" bestFit="1" customWidth="1"/>
    <col min="2078" max="2078" width="3.28515625" style="254" bestFit="1" customWidth="1"/>
    <col min="2079" max="2079" width="4.7109375" style="254" bestFit="1" customWidth="1"/>
    <col min="2080" max="2080" width="16.140625" style="254" bestFit="1" customWidth="1"/>
    <col min="2081" max="2081" width="3.28515625" style="254" bestFit="1" customWidth="1"/>
    <col min="2082" max="2082" width="5.85546875" style="254" bestFit="1" customWidth="1"/>
    <col min="2083" max="2084" width="11.42578125" style="254"/>
    <col min="2085" max="2085" width="19" style="254" customWidth="1"/>
    <col min="2086" max="2298" width="11.42578125" style="254"/>
    <col min="2299" max="2300" width="2.7109375" style="254" customWidth="1"/>
    <col min="2301" max="2301" width="4.85546875" style="254" bestFit="1" customWidth="1"/>
    <col min="2302" max="2303" width="2.7109375" style="254" customWidth="1"/>
    <col min="2304" max="2304" width="4.85546875" style="254" bestFit="1" customWidth="1"/>
    <col min="2305" max="2305" width="7.42578125" style="254" bestFit="1" customWidth="1"/>
    <col min="2306" max="2306" width="7.85546875" style="254" bestFit="1" customWidth="1"/>
    <col min="2307" max="2307" width="5.28515625" style="254" bestFit="1" customWidth="1"/>
    <col min="2308" max="2308" width="6.5703125" style="254" bestFit="1" customWidth="1"/>
    <col min="2309" max="2309" width="4.85546875" style="254" bestFit="1" customWidth="1"/>
    <col min="2310" max="2310" width="6.5703125" style="254" bestFit="1" customWidth="1"/>
    <col min="2311" max="2311" width="9.28515625" style="254" customWidth="1"/>
    <col min="2312" max="2312" width="7.28515625" style="254" customWidth="1"/>
    <col min="2313" max="2313" width="9.42578125" style="254" bestFit="1" customWidth="1"/>
    <col min="2314" max="2314" width="7.140625" style="254" bestFit="1" customWidth="1"/>
    <col min="2315" max="2315" width="11.28515625" style="254" bestFit="1" customWidth="1"/>
    <col min="2316" max="2316" width="7.7109375" style="254" bestFit="1" customWidth="1"/>
    <col min="2317" max="2317" width="10" style="254" bestFit="1" customWidth="1"/>
    <col min="2318" max="2318" width="8.85546875" style="254" customWidth="1"/>
    <col min="2319" max="2319" width="8.5703125" style="254" customWidth="1"/>
    <col min="2320" max="2320" width="6.7109375" style="254" customWidth="1"/>
    <col min="2321" max="2321" width="9.140625" style="254" bestFit="1" customWidth="1"/>
    <col min="2322" max="2322" width="8.5703125" style="254" bestFit="1" customWidth="1"/>
    <col min="2323" max="2323" width="8.140625" style="254" bestFit="1" customWidth="1"/>
    <col min="2324" max="2324" width="8.42578125" style="254" customWidth="1"/>
    <col min="2325" max="2325" width="7.28515625" style="254" customWidth="1"/>
    <col min="2326" max="2326" width="6" style="254" customWidth="1"/>
    <col min="2327" max="2327" width="6.85546875" style="254" customWidth="1"/>
    <col min="2328" max="2328" width="7.5703125" style="254" bestFit="1" customWidth="1"/>
    <col min="2329" max="2329" width="7.42578125" style="254" customWidth="1"/>
    <col min="2330" max="2330" width="8" style="254" customWidth="1"/>
    <col min="2331" max="2331" width="22.42578125" style="254" customWidth="1"/>
    <col min="2332" max="2332" width="26" style="254" bestFit="1" customWidth="1"/>
    <col min="2333" max="2333" width="11.7109375" style="254" bestFit="1" customWidth="1"/>
    <col min="2334" max="2334" width="3.28515625" style="254" bestFit="1" customWidth="1"/>
    <col min="2335" max="2335" width="4.7109375" style="254" bestFit="1" customWidth="1"/>
    <col min="2336" max="2336" width="16.140625" style="254" bestFit="1" customWidth="1"/>
    <col min="2337" max="2337" width="3.28515625" style="254" bestFit="1" customWidth="1"/>
    <col min="2338" max="2338" width="5.85546875" style="254" bestFit="1" customWidth="1"/>
    <col min="2339" max="2340" width="11.42578125" style="254"/>
    <col min="2341" max="2341" width="19" style="254" customWidth="1"/>
    <col min="2342" max="2554" width="11.42578125" style="254"/>
    <col min="2555" max="2556" width="2.7109375" style="254" customWidth="1"/>
    <col min="2557" max="2557" width="4.85546875" style="254" bestFit="1" customWidth="1"/>
    <col min="2558" max="2559" width="2.7109375" style="254" customWidth="1"/>
    <col min="2560" max="2560" width="4.85546875" style="254" bestFit="1" customWidth="1"/>
    <col min="2561" max="2561" width="7.42578125" style="254" bestFit="1" customWidth="1"/>
    <col min="2562" max="2562" width="7.85546875" style="254" bestFit="1" customWidth="1"/>
    <col min="2563" max="2563" width="5.28515625" style="254" bestFit="1" customWidth="1"/>
    <col min="2564" max="2564" width="6.5703125" style="254" bestFit="1" customWidth="1"/>
    <col min="2565" max="2565" width="4.85546875" style="254" bestFit="1" customWidth="1"/>
    <col min="2566" max="2566" width="6.5703125" style="254" bestFit="1" customWidth="1"/>
    <col min="2567" max="2567" width="9.28515625" style="254" customWidth="1"/>
    <col min="2568" max="2568" width="7.28515625" style="254" customWidth="1"/>
    <col min="2569" max="2569" width="9.42578125" style="254" bestFit="1" customWidth="1"/>
    <col min="2570" max="2570" width="7.140625" style="254" bestFit="1" customWidth="1"/>
    <col min="2571" max="2571" width="11.28515625" style="254" bestFit="1" customWidth="1"/>
    <col min="2572" max="2572" width="7.7109375" style="254" bestFit="1" customWidth="1"/>
    <col min="2573" max="2573" width="10" style="254" bestFit="1" customWidth="1"/>
    <col min="2574" max="2574" width="8.85546875" style="254" customWidth="1"/>
    <col min="2575" max="2575" width="8.5703125" style="254" customWidth="1"/>
    <col min="2576" max="2576" width="6.7109375" style="254" customWidth="1"/>
    <col min="2577" max="2577" width="9.140625" style="254" bestFit="1" customWidth="1"/>
    <col min="2578" max="2578" width="8.5703125" style="254" bestFit="1" customWidth="1"/>
    <col min="2579" max="2579" width="8.140625" style="254" bestFit="1" customWidth="1"/>
    <col min="2580" max="2580" width="8.42578125" style="254" customWidth="1"/>
    <col min="2581" max="2581" width="7.28515625" style="254" customWidth="1"/>
    <col min="2582" max="2582" width="6" style="254" customWidth="1"/>
    <col min="2583" max="2583" width="6.85546875" style="254" customWidth="1"/>
    <col min="2584" max="2584" width="7.5703125" style="254" bestFit="1" customWidth="1"/>
    <col min="2585" max="2585" width="7.42578125" style="254" customWidth="1"/>
    <col min="2586" max="2586" width="8" style="254" customWidth="1"/>
    <col min="2587" max="2587" width="22.42578125" style="254" customWidth="1"/>
    <col min="2588" max="2588" width="26" style="254" bestFit="1" customWidth="1"/>
    <col min="2589" max="2589" width="11.7109375" style="254" bestFit="1" customWidth="1"/>
    <col min="2590" max="2590" width="3.28515625" style="254" bestFit="1" customWidth="1"/>
    <col min="2591" max="2591" width="4.7109375" style="254" bestFit="1" customWidth="1"/>
    <col min="2592" max="2592" width="16.140625" style="254" bestFit="1" customWidth="1"/>
    <col min="2593" max="2593" width="3.28515625" style="254" bestFit="1" customWidth="1"/>
    <col min="2594" max="2594" width="5.85546875" style="254" bestFit="1" customWidth="1"/>
    <col min="2595" max="2596" width="11.42578125" style="254"/>
    <col min="2597" max="2597" width="19" style="254" customWidth="1"/>
    <col min="2598" max="2810" width="11.42578125" style="254"/>
    <col min="2811" max="2812" width="2.7109375" style="254" customWidth="1"/>
    <col min="2813" max="2813" width="4.85546875" style="254" bestFit="1" customWidth="1"/>
    <col min="2814" max="2815" width="2.7109375" style="254" customWidth="1"/>
    <col min="2816" max="2816" width="4.85546875" style="254" bestFit="1" customWidth="1"/>
    <col min="2817" max="2817" width="7.42578125" style="254" bestFit="1" customWidth="1"/>
    <col min="2818" max="2818" width="7.85546875" style="254" bestFit="1" customWidth="1"/>
    <col min="2819" max="2819" width="5.28515625" style="254" bestFit="1" customWidth="1"/>
    <col min="2820" max="2820" width="6.5703125" style="254" bestFit="1" customWidth="1"/>
    <col min="2821" max="2821" width="4.85546875" style="254" bestFit="1" customWidth="1"/>
    <col min="2822" max="2822" width="6.5703125" style="254" bestFit="1" customWidth="1"/>
    <col min="2823" max="2823" width="9.28515625" style="254" customWidth="1"/>
    <col min="2824" max="2824" width="7.28515625" style="254" customWidth="1"/>
    <col min="2825" max="2825" width="9.42578125" style="254" bestFit="1" customWidth="1"/>
    <col min="2826" max="2826" width="7.140625" style="254" bestFit="1" customWidth="1"/>
    <col min="2827" max="2827" width="11.28515625" style="254" bestFit="1" customWidth="1"/>
    <col min="2828" max="2828" width="7.7109375" style="254" bestFit="1" customWidth="1"/>
    <col min="2829" max="2829" width="10" style="254" bestFit="1" customWidth="1"/>
    <col min="2830" max="2830" width="8.85546875" style="254" customWidth="1"/>
    <col min="2831" max="2831" width="8.5703125" style="254" customWidth="1"/>
    <col min="2832" max="2832" width="6.7109375" style="254" customWidth="1"/>
    <col min="2833" max="2833" width="9.140625" style="254" bestFit="1" customWidth="1"/>
    <col min="2834" max="2834" width="8.5703125" style="254" bestFit="1" customWidth="1"/>
    <col min="2835" max="2835" width="8.140625" style="254" bestFit="1" customWidth="1"/>
    <col min="2836" max="2836" width="8.42578125" style="254" customWidth="1"/>
    <col min="2837" max="2837" width="7.28515625" style="254" customWidth="1"/>
    <col min="2838" max="2838" width="6" style="254" customWidth="1"/>
    <col min="2839" max="2839" width="6.85546875" style="254" customWidth="1"/>
    <col min="2840" max="2840" width="7.5703125" style="254" bestFit="1" customWidth="1"/>
    <col min="2841" max="2841" width="7.42578125" style="254" customWidth="1"/>
    <col min="2842" max="2842" width="8" style="254" customWidth="1"/>
    <col min="2843" max="2843" width="22.42578125" style="254" customWidth="1"/>
    <col min="2844" max="2844" width="26" style="254" bestFit="1" customWidth="1"/>
    <col min="2845" max="2845" width="11.7109375" style="254" bestFit="1" customWidth="1"/>
    <col min="2846" max="2846" width="3.28515625" style="254" bestFit="1" customWidth="1"/>
    <col min="2847" max="2847" width="4.7109375" style="254" bestFit="1" customWidth="1"/>
    <col min="2848" max="2848" width="16.140625" style="254" bestFit="1" customWidth="1"/>
    <col min="2849" max="2849" width="3.28515625" style="254" bestFit="1" customWidth="1"/>
    <col min="2850" max="2850" width="5.85546875" style="254" bestFit="1" customWidth="1"/>
    <col min="2851" max="2852" width="11.42578125" style="254"/>
    <col min="2853" max="2853" width="19" style="254" customWidth="1"/>
    <col min="2854" max="3066" width="11.42578125" style="254"/>
    <col min="3067" max="3068" width="2.7109375" style="254" customWidth="1"/>
    <col min="3069" max="3069" width="4.85546875" style="254" bestFit="1" customWidth="1"/>
    <col min="3070" max="3071" width="2.7109375" style="254" customWidth="1"/>
    <col min="3072" max="3072" width="4.85546875" style="254" bestFit="1" customWidth="1"/>
    <col min="3073" max="3073" width="7.42578125" style="254" bestFit="1" customWidth="1"/>
    <col min="3074" max="3074" width="7.85546875" style="254" bestFit="1" customWidth="1"/>
    <col min="3075" max="3075" width="5.28515625" style="254" bestFit="1" customWidth="1"/>
    <col min="3076" max="3076" width="6.5703125" style="254" bestFit="1" customWidth="1"/>
    <col min="3077" max="3077" width="4.85546875" style="254" bestFit="1" customWidth="1"/>
    <col min="3078" max="3078" width="6.5703125" style="254" bestFit="1" customWidth="1"/>
    <col min="3079" max="3079" width="9.28515625" style="254" customWidth="1"/>
    <col min="3080" max="3080" width="7.28515625" style="254" customWidth="1"/>
    <col min="3081" max="3081" width="9.42578125" style="254" bestFit="1" customWidth="1"/>
    <col min="3082" max="3082" width="7.140625" style="254" bestFit="1" customWidth="1"/>
    <col min="3083" max="3083" width="11.28515625" style="254" bestFit="1" customWidth="1"/>
    <col min="3084" max="3084" width="7.7109375" style="254" bestFit="1" customWidth="1"/>
    <col min="3085" max="3085" width="10" style="254" bestFit="1" customWidth="1"/>
    <col min="3086" max="3086" width="8.85546875" style="254" customWidth="1"/>
    <col min="3087" max="3087" width="8.5703125" style="254" customWidth="1"/>
    <col min="3088" max="3088" width="6.7109375" style="254" customWidth="1"/>
    <col min="3089" max="3089" width="9.140625" style="254" bestFit="1" customWidth="1"/>
    <col min="3090" max="3090" width="8.5703125" style="254" bestFit="1" customWidth="1"/>
    <col min="3091" max="3091" width="8.140625" style="254" bestFit="1" customWidth="1"/>
    <col min="3092" max="3092" width="8.42578125" style="254" customWidth="1"/>
    <col min="3093" max="3093" width="7.28515625" style="254" customWidth="1"/>
    <col min="3094" max="3094" width="6" style="254" customWidth="1"/>
    <col min="3095" max="3095" width="6.85546875" style="254" customWidth="1"/>
    <col min="3096" max="3096" width="7.5703125" style="254" bestFit="1" customWidth="1"/>
    <col min="3097" max="3097" width="7.42578125" style="254" customWidth="1"/>
    <col min="3098" max="3098" width="8" style="254" customWidth="1"/>
    <col min="3099" max="3099" width="22.42578125" style="254" customWidth="1"/>
    <col min="3100" max="3100" width="26" style="254" bestFit="1" customWidth="1"/>
    <col min="3101" max="3101" width="11.7109375" style="254" bestFit="1" customWidth="1"/>
    <col min="3102" max="3102" width="3.28515625" style="254" bestFit="1" customWidth="1"/>
    <col min="3103" max="3103" width="4.7109375" style="254" bestFit="1" customWidth="1"/>
    <col min="3104" max="3104" width="16.140625" style="254" bestFit="1" customWidth="1"/>
    <col min="3105" max="3105" width="3.28515625" style="254" bestFit="1" customWidth="1"/>
    <col min="3106" max="3106" width="5.85546875" style="254" bestFit="1" customWidth="1"/>
    <col min="3107" max="3108" width="11.42578125" style="254"/>
    <col min="3109" max="3109" width="19" style="254" customWidth="1"/>
    <col min="3110" max="3322" width="11.42578125" style="254"/>
    <col min="3323" max="3324" width="2.7109375" style="254" customWidth="1"/>
    <col min="3325" max="3325" width="4.85546875" style="254" bestFit="1" customWidth="1"/>
    <col min="3326" max="3327" width="2.7109375" style="254" customWidth="1"/>
    <col min="3328" max="3328" width="4.85546875" style="254" bestFit="1" customWidth="1"/>
    <col min="3329" max="3329" width="7.42578125" style="254" bestFit="1" customWidth="1"/>
    <col min="3330" max="3330" width="7.85546875" style="254" bestFit="1" customWidth="1"/>
    <col min="3331" max="3331" width="5.28515625" style="254" bestFit="1" customWidth="1"/>
    <col min="3332" max="3332" width="6.5703125" style="254" bestFit="1" customWidth="1"/>
    <col min="3333" max="3333" width="4.85546875" style="254" bestFit="1" customWidth="1"/>
    <col min="3334" max="3334" width="6.5703125" style="254" bestFit="1" customWidth="1"/>
    <col min="3335" max="3335" width="9.28515625" style="254" customWidth="1"/>
    <col min="3336" max="3336" width="7.28515625" style="254" customWidth="1"/>
    <col min="3337" max="3337" width="9.42578125" style="254" bestFit="1" customWidth="1"/>
    <col min="3338" max="3338" width="7.140625" style="254" bestFit="1" customWidth="1"/>
    <col min="3339" max="3339" width="11.28515625" style="254" bestFit="1" customWidth="1"/>
    <col min="3340" max="3340" width="7.7109375" style="254" bestFit="1" customWidth="1"/>
    <col min="3341" max="3341" width="10" style="254" bestFit="1" customWidth="1"/>
    <col min="3342" max="3342" width="8.85546875" style="254" customWidth="1"/>
    <col min="3343" max="3343" width="8.5703125" style="254" customWidth="1"/>
    <col min="3344" max="3344" width="6.7109375" style="254" customWidth="1"/>
    <col min="3345" max="3345" width="9.140625" style="254" bestFit="1" customWidth="1"/>
    <col min="3346" max="3346" width="8.5703125" style="254" bestFit="1" customWidth="1"/>
    <col min="3347" max="3347" width="8.140625" style="254" bestFit="1" customWidth="1"/>
    <col min="3348" max="3348" width="8.42578125" style="254" customWidth="1"/>
    <col min="3349" max="3349" width="7.28515625" style="254" customWidth="1"/>
    <col min="3350" max="3350" width="6" style="254" customWidth="1"/>
    <col min="3351" max="3351" width="6.85546875" style="254" customWidth="1"/>
    <col min="3352" max="3352" width="7.5703125" style="254" bestFit="1" customWidth="1"/>
    <col min="3353" max="3353" width="7.42578125" style="254" customWidth="1"/>
    <col min="3354" max="3354" width="8" style="254" customWidth="1"/>
    <col min="3355" max="3355" width="22.42578125" style="254" customWidth="1"/>
    <col min="3356" max="3356" width="26" style="254" bestFit="1" customWidth="1"/>
    <col min="3357" max="3357" width="11.7109375" style="254" bestFit="1" customWidth="1"/>
    <col min="3358" max="3358" width="3.28515625" style="254" bestFit="1" customWidth="1"/>
    <col min="3359" max="3359" width="4.7109375" style="254" bestFit="1" customWidth="1"/>
    <col min="3360" max="3360" width="16.140625" style="254" bestFit="1" customWidth="1"/>
    <col min="3361" max="3361" width="3.28515625" style="254" bestFit="1" customWidth="1"/>
    <col min="3362" max="3362" width="5.85546875" style="254" bestFit="1" customWidth="1"/>
    <col min="3363" max="3364" width="11.42578125" style="254"/>
    <col min="3365" max="3365" width="19" style="254" customWidth="1"/>
    <col min="3366" max="3578" width="11.42578125" style="254"/>
    <col min="3579" max="3580" width="2.7109375" style="254" customWidth="1"/>
    <col min="3581" max="3581" width="4.85546875" style="254" bestFit="1" customWidth="1"/>
    <col min="3582" max="3583" width="2.7109375" style="254" customWidth="1"/>
    <col min="3584" max="3584" width="4.85546875" style="254" bestFit="1" customWidth="1"/>
    <col min="3585" max="3585" width="7.42578125" style="254" bestFit="1" customWidth="1"/>
    <col min="3586" max="3586" width="7.85546875" style="254" bestFit="1" customWidth="1"/>
    <col min="3587" max="3587" width="5.28515625" style="254" bestFit="1" customWidth="1"/>
    <col min="3588" max="3588" width="6.5703125" style="254" bestFit="1" customWidth="1"/>
    <col min="3589" max="3589" width="4.85546875" style="254" bestFit="1" customWidth="1"/>
    <col min="3590" max="3590" width="6.5703125" style="254" bestFit="1" customWidth="1"/>
    <col min="3591" max="3591" width="9.28515625" style="254" customWidth="1"/>
    <col min="3592" max="3592" width="7.28515625" style="254" customWidth="1"/>
    <col min="3593" max="3593" width="9.42578125" style="254" bestFit="1" customWidth="1"/>
    <col min="3594" max="3594" width="7.140625" style="254" bestFit="1" customWidth="1"/>
    <col min="3595" max="3595" width="11.28515625" style="254" bestFit="1" customWidth="1"/>
    <col min="3596" max="3596" width="7.7109375" style="254" bestFit="1" customWidth="1"/>
    <col min="3597" max="3597" width="10" style="254" bestFit="1" customWidth="1"/>
    <col min="3598" max="3598" width="8.85546875" style="254" customWidth="1"/>
    <col min="3599" max="3599" width="8.5703125" style="254" customWidth="1"/>
    <col min="3600" max="3600" width="6.7109375" style="254" customWidth="1"/>
    <col min="3601" max="3601" width="9.140625" style="254" bestFit="1" customWidth="1"/>
    <col min="3602" max="3602" width="8.5703125" style="254" bestFit="1" customWidth="1"/>
    <col min="3603" max="3603" width="8.140625" style="254" bestFit="1" customWidth="1"/>
    <col min="3604" max="3604" width="8.42578125" style="254" customWidth="1"/>
    <col min="3605" max="3605" width="7.28515625" style="254" customWidth="1"/>
    <col min="3606" max="3606" width="6" style="254" customWidth="1"/>
    <col min="3607" max="3607" width="6.85546875" style="254" customWidth="1"/>
    <col min="3608" max="3608" width="7.5703125" style="254" bestFit="1" customWidth="1"/>
    <col min="3609" max="3609" width="7.42578125" style="254" customWidth="1"/>
    <col min="3610" max="3610" width="8" style="254" customWidth="1"/>
    <col min="3611" max="3611" width="22.42578125" style="254" customWidth="1"/>
    <col min="3612" max="3612" width="26" style="254" bestFit="1" customWidth="1"/>
    <col min="3613" max="3613" width="11.7109375" style="254" bestFit="1" customWidth="1"/>
    <col min="3614" max="3614" width="3.28515625" style="254" bestFit="1" customWidth="1"/>
    <col min="3615" max="3615" width="4.7109375" style="254" bestFit="1" customWidth="1"/>
    <col min="3616" max="3616" width="16.140625" style="254" bestFit="1" customWidth="1"/>
    <col min="3617" max="3617" width="3.28515625" style="254" bestFit="1" customWidth="1"/>
    <col min="3618" max="3618" width="5.85546875" style="254" bestFit="1" customWidth="1"/>
    <col min="3619" max="3620" width="11.42578125" style="254"/>
    <col min="3621" max="3621" width="19" style="254" customWidth="1"/>
    <col min="3622" max="3834" width="11.42578125" style="254"/>
    <col min="3835" max="3836" width="2.7109375" style="254" customWidth="1"/>
    <col min="3837" max="3837" width="4.85546875" style="254" bestFit="1" customWidth="1"/>
    <col min="3838" max="3839" width="2.7109375" style="254" customWidth="1"/>
    <col min="3840" max="3840" width="4.85546875" style="254" bestFit="1" customWidth="1"/>
    <col min="3841" max="3841" width="7.42578125" style="254" bestFit="1" customWidth="1"/>
    <col min="3842" max="3842" width="7.85546875" style="254" bestFit="1" customWidth="1"/>
    <col min="3843" max="3843" width="5.28515625" style="254" bestFit="1" customWidth="1"/>
    <col min="3844" max="3844" width="6.5703125" style="254" bestFit="1" customWidth="1"/>
    <col min="3845" max="3845" width="4.85546875" style="254" bestFit="1" customWidth="1"/>
    <col min="3846" max="3846" width="6.5703125" style="254" bestFit="1" customWidth="1"/>
    <col min="3847" max="3847" width="9.28515625" style="254" customWidth="1"/>
    <col min="3848" max="3848" width="7.28515625" style="254" customWidth="1"/>
    <col min="3849" max="3849" width="9.42578125" style="254" bestFit="1" customWidth="1"/>
    <col min="3850" max="3850" width="7.140625" style="254" bestFit="1" customWidth="1"/>
    <col min="3851" max="3851" width="11.28515625" style="254" bestFit="1" customWidth="1"/>
    <col min="3852" max="3852" width="7.7109375" style="254" bestFit="1" customWidth="1"/>
    <col min="3853" max="3853" width="10" style="254" bestFit="1" customWidth="1"/>
    <col min="3854" max="3854" width="8.85546875" style="254" customWidth="1"/>
    <col min="3855" max="3855" width="8.5703125" style="254" customWidth="1"/>
    <col min="3856" max="3856" width="6.7109375" style="254" customWidth="1"/>
    <col min="3857" max="3857" width="9.140625" style="254" bestFit="1" customWidth="1"/>
    <col min="3858" max="3858" width="8.5703125" style="254" bestFit="1" customWidth="1"/>
    <col min="3859" max="3859" width="8.140625" style="254" bestFit="1" customWidth="1"/>
    <col min="3860" max="3860" width="8.42578125" style="254" customWidth="1"/>
    <col min="3861" max="3861" width="7.28515625" style="254" customWidth="1"/>
    <col min="3862" max="3862" width="6" style="254" customWidth="1"/>
    <col min="3863" max="3863" width="6.85546875" style="254" customWidth="1"/>
    <col min="3864" max="3864" width="7.5703125" style="254" bestFit="1" customWidth="1"/>
    <col min="3865" max="3865" width="7.42578125" style="254" customWidth="1"/>
    <col min="3866" max="3866" width="8" style="254" customWidth="1"/>
    <col min="3867" max="3867" width="22.42578125" style="254" customWidth="1"/>
    <col min="3868" max="3868" width="26" style="254" bestFit="1" customWidth="1"/>
    <col min="3869" max="3869" width="11.7109375" style="254" bestFit="1" customWidth="1"/>
    <col min="3870" max="3870" width="3.28515625" style="254" bestFit="1" customWidth="1"/>
    <col min="3871" max="3871" width="4.7109375" style="254" bestFit="1" customWidth="1"/>
    <col min="3872" max="3872" width="16.140625" style="254" bestFit="1" customWidth="1"/>
    <col min="3873" max="3873" width="3.28515625" style="254" bestFit="1" customWidth="1"/>
    <col min="3874" max="3874" width="5.85546875" style="254" bestFit="1" customWidth="1"/>
    <col min="3875" max="3876" width="11.42578125" style="254"/>
    <col min="3877" max="3877" width="19" style="254" customWidth="1"/>
    <col min="3878" max="4090" width="11.42578125" style="254"/>
    <col min="4091" max="4092" width="2.7109375" style="254" customWidth="1"/>
    <col min="4093" max="4093" width="4.85546875" style="254" bestFit="1" customWidth="1"/>
    <col min="4094" max="4095" width="2.7109375" style="254" customWidth="1"/>
    <col min="4096" max="4096" width="4.85546875" style="254" bestFit="1" customWidth="1"/>
    <col min="4097" max="4097" width="7.42578125" style="254" bestFit="1" customWidth="1"/>
    <col min="4098" max="4098" width="7.85546875" style="254" bestFit="1" customWidth="1"/>
    <col min="4099" max="4099" width="5.28515625" style="254" bestFit="1" customWidth="1"/>
    <col min="4100" max="4100" width="6.5703125" style="254" bestFit="1" customWidth="1"/>
    <col min="4101" max="4101" width="4.85546875" style="254" bestFit="1" customWidth="1"/>
    <col min="4102" max="4102" width="6.5703125" style="254" bestFit="1" customWidth="1"/>
    <col min="4103" max="4103" width="9.28515625" style="254" customWidth="1"/>
    <col min="4104" max="4104" width="7.28515625" style="254" customWidth="1"/>
    <col min="4105" max="4105" width="9.42578125" style="254" bestFit="1" customWidth="1"/>
    <col min="4106" max="4106" width="7.140625" style="254" bestFit="1" customWidth="1"/>
    <col min="4107" max="4107" width="11.28515625" style="254" bestFit="1" customWidth="1"/>
    <col min="4108" max="4108" width="7.7109375" style="254" bestFit="1" customWidth="1"/>
    <col min="4109" max="4109" width="10" style="254" bestFit="1" customWidth="1"/>
    <col min="4110" max="4110" width="8.85546875" style="254" customWidth="1"/>
    <col min="4111" max="4111" width="8.5703125" style="254" customWidth="1"/>
    <col min="4112" max="4112" width="6.7109375" style="254" customWidth="1"/>
    <col min="4113" max="4113" width="9.140625" style="254" bestFit="1" customWidth="1"/>
    <col min="4114" max="4114" width="8.5703125" style="254" bestFit="1" customWidth="1"/>
    <col min="4115" max="4115" width="8.140625" style="254" bestFit="1" customWidth="1"/>
    <col min="4116" max="4116" width="8.42578125" style="254" customWidth="1"/>
    <col min="4117" max="4117" width="7.28515625" style="254" customWidth="1"/>
    <col min="4118" max="4118" width="6" style="254" customWidth="1"/>
    <col min="4119" max="4119" width="6.85546875" style="254" customWidth="1"/>
    <col min="4120" max="4120" width="7.5703125" style="254" bestFit="1" customWidth="1"/>
    <col min="4121" max="4121" width="7.42578125" style="254" customWidth="1"/>
    <col min="4122" max="4122" width="8" style="254" customWidth="1"/>
    <col min="4123" max="4123" width="22.42578125" style="254" customWidth="1"/>
    <col min="4124" max="4124" width="26" style="254" bestFit="1" customWidth="1"/>
    <col min="4125" max="4125" width="11.7109375" style="254" bestFit="1" customWidth="1"/>
    <col min="4126" max="4126" width="3.28515625" style="254" bestFit="1" customWidth="1"/>
    <col min="4127" max="4127" width="4.7109375" style="254" bestFit="1" customWidth="1"/>
    <col min="4128" max="4128" width="16.140625" style="254" bestFit="1" customWidth="1"/>
    <col min="4129" max="4129" width="3.28515625" style="254" bestFit="1" customWidth="1"/>
    <col min="4130" max="4130" width="5.85546875" style="254" bestFit="1" customWidth="1"/>
    <col min="4131" max="4132" width="11.42578125" style="254"/>
    <col min="4133" max="4133" width="19" style="254" customWidth="1"/>
    <col min="4134" max="4346" width="11.42578125" style="254"/>
    <col min="4347" max="4348" width="2.7109375" style="254" customWidth="1"/>
    <col min="4349" max="4349" width="4.85546875" style="254" bestFit="1" customWidth="1"/>
    <col min="4350" max="4351" width="2.7109375" style="254" customWidth="1"/>
    <col min="4352" max="4352" width="4.85546875" style="254" bestFit="1" customWidth="1"/>
    <col min="4353" max="4353" width="7.42578125" style="254" bestFit="1" customWidth="1"/>
    <col min="4354" max="4354" width="7.85546875" style="254" bestFit="1" customWidth="1"/>
    <col min="4355" max="4355" width="5.28515625" style="254" bestFit="1" customWidth="1"/>
    <col min="4356" max="4356" width="6.5703125" style="254" bestFit="1" customWidth="1"/>
    <col min="4357" max="4357" width="4.85546875" style="254" bestFit="1" customWidth="1"/>
    <col min="4358" max="4358" width="6.5703125" style="254" bestFit="1" customWidth="1"/>
    <col min="4359" max="4359" width="9.28515625" style="254" customWidth="1"/>
    <col min="4360" max="4360" width="7.28515625" style="254" customWidth="1"/>
    <col min="4361" max="4361" width="9.42578125" style="254" bestFit="1" customWidth="1"/>
    <col min="4362" max="4362" width="7.140625" style="254" bestFit="1" customWidth="1"/>
    <col min="4363" max="4363" width="11.28515625" style="254" bestFit="1" customWidth="1"/>
    <col min="4364" max="4364" width="7.7109375" style="254" bestFit="1" customWidth="1"/>
    <col min="4365" max="4365" width="10" style="254" bestFit="1" customWidth="1"/>
    <col min="4366" max="4366" width="8.85546875" style="254" customWidth="1"/>
    <col min="4367" max="4367" width="8.5703125" style="254" customWidth="1"/>
    <col min="4368" max="4368" width="6.7109375" style="254" customWidth="1"/>
    <col min="4369" max="4369" width="9.140625" style="254" bestFit="1" customWidth="1"/>
    <col min="4370" max="4370" width="8.5703125" style="254" bestFit="1" customWidth="1"/>
    <col min="4371" max="4371" width="8.140625" style="254" bestFit="1" customWidth="1"/>
    <col min="4372" max="4372" width="8.42578125" style="254" customWidth="1"/>
    <col min="4373" max="4373" width="7.28515625" style="254" customWidth="1"/>
    <col min="4374" max="4374" width="6" style="254" customWidth="1"/>
    <col min="4375" max="4375" width="6.85546875" style="254" customWidth="1"/>
    <col min="4376" max="4376" width="7.5703125" style="254" bestFit="1" customWidth="1"/>
    <col min="4377" max="4377" width="7.42578125" style="254" customWidth="1"/>
    <col min="4378" max="4378" width="8" style="254" customWidth="1"/>
    <col min="4379" max="4379" width="22.42578125" style="254" customWidth="1"/>
    <col min="4380" max="4380" width="26" style="254" bestFit="1" customWidth="1"/>
    <col min="4381" max="4381" width="11.7109375" style="254" bestFit="1" customWidth="1"/>
    <col min="4382" max="4382" width="3.28515625" style="254" bestFit="1" customWidth="1"/>
    <col min="4383" max="4383" width="4.7109375" style="254" bestFit="1" customWidth="1"/>
    <col min="4384" max="4384" width="16.140625" style="254" bestFit="1" customWidth="1"/>
    <col min="4385" max="4385" width="3.28515625" style="254" bestFit="1" customWidth="1"/>
    <col min="4386" max="4386" width="5.85546875" style="254" bestFit="1" customWidth="1"/>
    <col min="4387" max="4388" width="11.42578125" style="254"/>
    <col min="4389" max="4389" width="19" style="254" customWidth="1"/>
    <col min="4390" max="4602" width="11.42578125" style="254"/>
    <col min="4603" max="4604" width="2.7109375" style="254" customWidth="1"/>
    <col min="4605" max="4605" width="4.85546875" style="254" bestFit="1" customWidth="1"/>
    <col min="4606" max="4607" width="2.7109375" style="254" customWidth="1"/>
    <col min="4608" max="4608" width="4.85546875" style="254" bestFit="1" customWidth="1"/>
    <col min="4609" max="4609" width="7.42578125" style="254" bestFit="1" customWidth="1"/>
    <col min="4610" max="4610" width="7.85546875" style="254" bestFit="1" customWidth="1"/>
    <col min="4611" max="4611" width="5.28515625" style="254" bestFit="1" customWidth="1"/>
    <col min="4612" max="4612" width="6.5703125" style="254" bestFit="1" customWidth="1"/>
    <col min="4613" max="4613" width="4.85546875" style="254" bestFit="1" customWidth="1"/>
    <col min="4614" max="4614" width="6.5703125" style="254" bestFit="1" customWidth="1"/>
    <col min="4615" max="4615" width="9.28515625" style="254" customWidth="1"/>
    <col min="4616" max="4616" width="7.28515625" style="254" customWidth="1"/>
    <col min="4617" max="4617" width="9.42578125" style="254" bestFit="1" customWidth="1"/>
    <col min="4618" max="4618" width="7.140625" style="254" bestFit="1" customWidth="1"/>
    <col min="4619" max="4619" width="11.28515625" style="254" bestFit="1" customWidth="1"/>
    <col min="4620" max="4620" width="7.7109375" style="254" bestFit="1" customWidth="1"/>
    <col min="4621" max="4621" width="10" style="254" bestFit="1" customWidth="1"/>
    <col min="4622" max="4622" width="8.85546875" style="254" customWidth="1"/>
    <col min="4623" max="4623" width="8.5703125" style="254" customWidth="1"/>
    <col min="4624" max="4624" width="6.7109375" style="254" customWidth="1"/>
    <col min="4625" max="4625" width="9.140625" style="254" bestFit="1" customWidth="1"/>
    <col min="4626" max="4626" width="8.5703125" style="254" bestFit="1" customWidth="1"/>
    <col min="4627" max="4627" width="8.140625" style="254" bestFit="1" customWidth="1"/>
    <col min="4628" max="4628" width="8.42578125" style="254" customWidth="1"/>
    <col min="4629" max="4629" width="7.28515625" style="254" customWidth="1"/>
    <col min="4630" max="4630" width="6" style="254" customWidth="1"/>
    <col min="4631" max="4631" width="6.85546875" style="254" customWidth="1"/>
    <col min="4632" max="4632" width="7.5703125" style="254" bestFit="1" customWidth="1"/>
    <col min="4633" max="4633" width="7.42578125" style="254" customWidth="1"/>
    <col min="4634" max="4634" width="8" style="254" customWidth="1"/>
    <col min="4635" max="4635" width="22.42578125" style="254" customWidth="1"/>
    <col min="4636" max="4636" width="26" style="254" bestFit="1" customWidth="1"/>
    <col min="4637" max="4637" width="11.7109375" style="254" bestFit="1" customWidth="1"/>
    <col min="4638" max="4638" width="3.28515625" style="254" bestFit="1" customWidth="1"/>
    <col min="4639" max="4639" width="4.7109375" style="254" bestFit="1" customWidth="1"/>
    <col min="4640" max="4640" width="16.140625" style="254" bestFit="1" customWidth="1"/>
    <col min="4641" max="4641" width="3.28515625" style="254" bestFit="1" customWidth="1"/>
    <col min="4642" max="4642" width="5.85546875" style="254" bestFit="1" customWidth="1"/>
    <col min="4643" max="4644" width="11.42578125" style="254"/>
    <col min="4645" max="4645" width="19" style="254" customWidth="1"/>
    <col min="4646" max="4858" width="11.42578125" style="254"/>
    <col min="4859" max="4860" width="2.7109375" style="254" customWidth="1"/>
    <col min="4861" max="4861" width="4.85546875" style="254" bestFit="1" customWidth="1"/>
    <col min="4862" max="4863" width="2.7109375" style="254" customWidth="1"/>
    <col min="4864" max="4864" width="4.85546875" style="254" bestFit="1" customWidth="1"/>
    <col min="4865" max="4865" width="7.42578125" style="254" bestFit="1" customWidth="1"/>
    <col min="4866" max="4866" width="7.85546875" style="254" bestFit="1" customWidth="1"/>
    <col min="4867" max="4867" width="5.28515625" style="254" bestFit="1" customWidth="1"/>
    <col min="4868" max="4868" width="6.5703125" style="254" bestFit="1" customWidth="1"/>
    <col min="4869" max="4869" width="4.85546875" style="254" bestFit="1" customWidth="1"/>
    <col min="4870" max="4870" width="6.5703125" style="254" bestFit="1" customWidth="1"/>
    <col min="4871" max="4871" width="9.28515625" style="254" customWidth="1"/>
    <col min="4872" max="4872" width="7.28515625" style="254" customWidth="1"/>
    <col min="4873" max="4873" width="9.42578125" style="254" bestFit="1" customWidth="1"/>
    <col min="4874" max="4874" width="7.140625" style="254" bestFit="1" customWidth="1"/>
    <col min="4875" max="4875" width="11.28515625" style="254" bestFit="1" customWidth="1"/>
    <col min="4876" max="4876" width="7.7109375" style="254" bestFit="1" customWidth="1"/>
    <col min="4877" max="4877" width="10" style="254" bestFit="1" customWidth="1"/>
    <col min="4878" max="4878" width="8.85546875" style="254" customWidth="1"/>
    <col min="4879" max="4879" width="8.5703125" style="254" customWidth="1"/>
    <col min="4880" max="4880" width="6.7109375" style="254" customWidth="1"/>
    <col min="4881" max="4881" width="9.140625" style="254" bestFit="1" customWidth="1"/>
    <col min="4882" max="4882" width="8.5703125" style="254" bestFit="1" customWidth="1"/>
    <col min="4883" max="4883" width="8.140625" style="254" bestFit="1" customWidth="1"/>
    <col min="4884" max="4884" width="8.42578125" style="254" customWidth="1"/>
    <col min="4885" max="4885" width="7.28515625" style="254" customWidth="1"/>
    <col min="4886" max="4886" width="6" style="254" customWidth="1"/>
    <col min="4887" max="4887" width="6.85546875" style="254" customWidth="1"/>
    <col min="4888" max="4888" width="7.5703125" style="254" bestFit="1" customWidth="1"/>
    <col min="4889" max="4889" width="7.42578125" style="254" customWidth="1"/>
    <col min="4890" max="4890" width="8" style="254" customWidth="1"/>
    <col min="4891" max="4891" width="22.42578125" style="254" customWidth="1"/>
    <col min="4892" max="4892" width="26" style="254" bestFit="1" customWidth="1"/>
    <col min="4893" max="4893" width="11.7109375" style="254" bestFit="1" customWidth="1"/>
    <col min="4894" max="4894" width="3.28515625" style="254" bestFit="1" customWidth="1"/>
    <col min="4895" max="4895" width="4.7109375" style="254" bestFit="1" customWidth="1"/>
    <col min="4896" max="4896" width="16.140625" style="254" bestFit="1" customWidth="1"/>
    <col min="4897" max="4897" width="3.28515625" style="254" bestFit="1" customWidth="1"/>
    <col min="4898" max="4898" width="5.85546875" style="254" bestFit="1" customWidth="1"/>
    <col min="4899" max="4900" width="11.42578125" style="254"/>
    <col min="4901" max="4901" width="19" style="254" customWidth="1"/>
    <col min="4902" max="5114" width="11.42578125" style="254"/>
    <col min="5115" max="5116" width="2.7109375" style="254" customWidth="1"/>
    <col min="5117" max="5117" width="4.85546875" style="254" bestFit="1" customWidth="1"/>
    <col min="5118" max="5119" width="2.7109375" style="254" customWidth="1"/>
    <col min="5120" max="5120" width="4.85546875" style="254" bestFit="1" customWidth="1"/>
    <col min="5121" max="5121" width="7.42578125" style="254" bestFit="1" customWidth="1"/>
    <col min="5122" max="5122" width="7.85546875" style="254" bestFit="1" customWidth="1"/>
    <col min="5123" max="5123" width="5.28515625" style="254" bestFit="1" customWidth="1"/>
    <col min="5124" max="5124" width="6.5703125" style="254" bestFit="1" customWidth="1"/>
    <col min="5125" max="5125" width="4.85546875" style="254" bestFit="1" customWidth="1"/>
    <col min="5126" max="5126" width="6.5703125" style="254" bestFit="1" customWidth="1"/>
    <col min="5127" max="5127" width="9.28515625" style="254" customWidth="1"/>
    <col min="5128" max="5128" width="7.28515625" style="254" customWidth="1"/>
    <col min="5129" max="5129" width="9.42578125" style="254" bestFit="1" customWidth="1"/>
    <col min="5130" max="5130" width="7.140625" style="254" bestFit="1" customWidth="1"/>
    <col min="5131" max="5131" width="11.28515625" style="254" bestFit="1" customWidth="1"/>
    <col min="5132" max="5132" width="7.7109375" style="254" bestFit="1" customWidth="1"/>
    <col min="5133" max="5133" width="10" style="254" bestFit="1" customWidth="1"/>
    <col min="5134" max="5134" width="8.85546875" style="254" customWidth="1"/>
    <col min="5135" max="5135" width="8.5703125" style="254" customWidth="1"/>
    <col min="5136" max="5136" width="6.7109375" style="254" customWidth="1"/>
    <col min="5137" max="5137" width="9.140625" style="254" bestFit="1" customWidth="1"/>
    <col min="5138" max="5138" width="8.5703125" style="254" bestFit="1" customWidth="1"/>
    <col min="5139" max="5139" width="8.140625" style="254" bestFit="1" customWidth="1"/>
    <col min="5140" max="5140" width="8.42578125" style="254" customWidth="1"/>
    <col min="5141" max="5141" width="7.28515625" style="254" customWidth="1"/>
    <col min="5142" max="5142" width="6" style="254" customWidth="1"/>
    <col min="5143" max="5143" width="6.85546875" style="254" customWidth="1"/>
    <col min="5144" max="5144" width="7.5703125" style="254" bestFit="1" customWidth="1"/>
    <col min="5145" max="5145" width="7.42578125" style="254" customWidth="1"/>
    <col min="5146" max="5146" width="8" style="254" customWidth="1"/>
    <col min="5147" max="5147" width="22.42578125" style="254" customWidth="1"/>
    <col min="5148" max="5148" width="26" style="254" bestFit="1" customWidth="1"/>
    <col min="5149" max="5149" width="11.7109375" style="254" bestFit="1" customWidth="1"/>
    <col min="5150" max="5150" width="3.28515625" style="254" bestFit="1" customWidth="1"/>
    <col min="5151" max="5151" width="4.7109375" style="254" bestFit="1" customWidth="1"/>
    <col min="5152" max="5152" width="16.140625" style="254" bestFit="1" customWidth="1"/>
    <col min="5153" max="5153" width="3.28515625" style="254" bestFit="1" customWidth="1"/>
    <col min="5154" max="5154" width="5.85546875" style="254" bestFit="1" customWidth="1"/>
    <col min="5155" max="5156" width="11.42578125" style="254"/>
    <col min="5157" max="5157" width="19" style="254" customWidth="1"/>
    <col min="5158" max="5370" width="11.42578125" style="254"/>
    <col min="5371" max="5372" width="2.7109375" style="254" customWidth="1"/>
    <col min="5373" max="5373" width="4.85546875" style="254" bestFit="1" customWidth="1"/>
    <col min="5374" max="5375" width="2.7109375" style="254" customWidth="1"/>
    <col min="5376" max="5376" width="4.85546875" style="254" bestFit="1" customWidth="1"/>
    <col min="5377" max="5377" width="7.42578125" style="254" bestFit="1" customWidth="1"/>
    <col min="5378" max="5378" width="7.85546875" style="254" bestFit="1" customWidth="1"/>
    <col min="5379" max="5379" width="5.28515625" style="254" bestFit="1" customWidth="1"/>
    <col min="5380" max="5380" width="6.5703125" style="254" bestFit="1" customWidth="1"/>
    <col min="5381" max="5381" width="4.85546875" style="254" bestFit="1" customWidth="1"/>
    <col min="5382" max="5382" width="6.5703125" style="254" bestFit="1" customWidth="1"/>
    <col min="5383" max="5383" width="9.28515625" style="254" customWidth="1"/>
    <col min="5384" max="5384" width="7.28515625" style="254" customWidth="1"/>
    <col min="5385" max="5385" width="9.42578125" style="254" bestFit="1" customWidth="1"/>
    <col min="5386" max="5386" width="7.140625" style="254" bestFit="1" customWidth="1"/>
    <col min="5387" max="5387" width="11.28515625" style="254" bestFit="1" customWidth="1"/>
    <col min="5388" max="5388" width="7.7109375" style="254" bestFit="1" customWidth="1"/>
    <col min="5389" max="5389" width="10" style="254" bestFit="1" customWidth="1"/>
    <col min="5390" max="5390" width="8.85546875" style="254" customWidth="1"/>
    <col min="5391" max="5391" width="8.5703125" style="254" customWidth="1"/>
    <col min="5392" max="5392" width="6.7109375" style="254" customWidth="1"/>
    <col min="5393" max="5393" width="9.140625" style="254" bestFit="1" customWidth="1"/>
    <col min="5394" max="5394" width="8.5703125" style="254" bestFit="1" customWidth="1"/>
    <col min="5395" max="5395" width="8.140625" style="254" bestFit="1" customWidth="1"/>
    <col min="5396" max="5396" width="8.42578125" style="254" customWidth="1"/>
    <col min="5397" max="5397" width="7.28515625" style="254" customWidth="1"/>
    <col min="5398" max="5398" width="6" style="254" customWidth="1"/>
    <col min="5399" max="5399" width="6.85546875" style="254" customWidth="1"/>
    <col min="5400" max="5400" width="7.5703125" style="254" bestFit="1" customWidth="1"/>
    <col min="5401" max="5401" width="7.42578125" style="254" customWidth="1"/>
    <col min="5402" max="5402" width="8" style="254" customWidth="1"/>
    <col min="5403" max="5403" width="22.42578125" style="254" customWidth="1"/>
    <col min="5404" max="5404" width="26" style="254" bestFit="1" customWidth="1"/>
    <col min="5405" max="5405" width="11.7109375" style="254" bestFit="1" customWidth="1"/>
    <col min="5406" max="5406" width="3.28515625" style="254" bestFit="1" customWidth="1"/>
    <col min="5407" max="5407" width="4.7109375" style="254" bestFit="1" customWidth="1"/>
    <col min="5408" max="5408" width="16.140625" style="254" bestFit="1" customWidth="1"/>
    <col min="5409" max="5409" width="3.28515625" style="254" bestFit="1" customWidth="1"/>
    <col min="5410" max="5410" width="5.85546875" style="254" bestFit="1" customWidth="1"/>
    <col min="5411" max="5412" width="11.42578125" style="254"/>
    <col min="5413" max="5413" width="19" style="254" customWidth="1"/>
    <col min="5414" max="5626" width="11.42578125" style="254"/>
    <col min="5627" max="5628" width="2.7109375" style="254" customWidth="1"/>
    <col min="5629" max="5629" width="4.85546875" style="254" bestFit="1" customWidth="1"/>
    <col min="5630" max="5631" width="2.7109375" style="254" customWidth="1"/>
    <col min="5632" max="5632" width="4.85546875" style="254" bestFit="1" customWidth="1"/>
    <col min="5633" max="5633" width="7.42578125" style="254" bestFit="1" customWidth="1"/>
    <col min="5634" max="5634" width="7.85546875" style="254" bestFit="1" customWidth="1"/>
    <col min="5635" max="5635" width="5.28515625" style="254" bestFit="1" customWidth="1"/>
    <col min="5636" max="5636" width="6.5703125" style="254" bestFit="1" customWidth="1"/>
    <col min="5637" max="5637" width="4.85546875" style="254" bestFit="1" customWidth="1"/>
    <col min="5638" max="5638" width="6.5703125" style="254" bestFit="1" customWidth="1"/>
    <col min="5639" max="5639" width="9.28515625" style="254" customWidth="1"/>
    <col min="5640" max="5640" width="7.28515625" style="254" customWidth="1"/>
    <col min="5641" max="5641" width="9.42578125" style="254" bestFit="1" customWidth="1"/>
    <col min="5642" max="5642" width="7.140625" style="254" bestFit="1" customWidth="1"/>
    <col min="5643" max="5643" width="11.28515625" style="254" bestFit="1" customWidth="1"/>
    <col min="5644" max="5644" width="7.7109375" style="254" bestFit="1" customWidth="1"/>
    <col min="5645" max="5645" width="10" style="254" bestFit="1" customWidth="1"/>
    <col min="5646" max="5646" width="8.85546875" style="254" customWidth="1"/>
    <col min="5647" max="5647" width="8.5703125" style="254" customWidth="1"/>
    <col min="5648" max="5648" width="6.7109375" style="254" customWidth="1"/>
    <col min="5649" max="5649" width="9.140625" style="254" bestFit="1" customWidth="1"/>
    <col min="5650" max="5650" width="8.5703125" style="254" bestFit="1" customWidth="1"/>
    <col min="5651" max="5651" width="8.140625" style="254" bestFit="1" customWidth="1"/>
    <col min="5652" max="5652" width="8.42578125" style="254" customWidth="1"/>
    <col min="5653" max="5653" width="7.28515625" style="254" customWidth="1"/>
    <col min="5654" max="5654" width="6" style="254" customWidth="1"/>
    <col min="5655" max="5655" width="6.85546875" style="254" customWidth="1"/>
    <col min="5656" max="5656" width="7.5703125" style="254" bestFit="1" customWidth="1"/>
    <col min="5657" max="5657" width="7.42578125" style="254" customWidth="1"/>
    <col min="5658" max="5658" width="8" style="254" customWidth="1"/>
    <col min="5659" max="5659" width="22.42578125" style="254" customWidth="1"/>
    <col min="5660" max="5660" width="26" style="254" bestFit="1" customWidth="1"/>
    <col min="5661" max="5661" width="11.7109375" style="254" bestFit="1" customWidth="1"/>
    <col min="5662" max="5662" width="3.28515625" style="254" bestFit="1" customWidth="1"/>
    <col min="5663" max="5663" width="4.7109375" style="254" bestFit="1" customWidth="1"/>
    <col min="5664" max="5664" width="16.140625" style="254" bestFit="1" customWidth="1"/>
    <col min="5665" max="5665" width="3.28515625" style="254" bestFit="1" customWidth="1"/>
    <col min="5666" max="5666" width="5.85546875" style="254" bestFit="1" customWidth="1"/>
    <col min="5667" max="5668" width="11.42578125" style="254"/>
    <col min="5669" max="5669" width="19" style="254" customWidth="1"/>
    <col min="5670" max="5882" width="11.42578125" style="254"/>
    <col min="5883" max="5884" width="2.7109375" style="254" customWidth="1"/>
    <col min="5885" max="5885" width="4.85546875" style="254" bestFit="1" customWidth="1"/>
    <col min="5886" max="5887" width="2.7109375" style="254" customWidth="1"/>
    <col min="5888" max="5888" width="4.85546875" style="254" bestFit="1" customWidth="1"/>
    <col min="5889" max="5889" width="7.42578125" style="254" bestFit="1" customWidth="1"/>
    <col min="5890" max="5890" width="7.85546875" style="254" bestFit="1" customWidth="1"/>
    <col min="5891" max="5891" width="5.28515625" style="254" bestFit="1" customWidth="1"/>
    <col min="5892" max="5892" width="6.5703125" style="254" bestFit="1" customWidth="1"/>
    <col min="5893" max="5893" width="4.85546875" style="254" bestFit="1" customWidth="1"/>
    <col min="5894" max="5894" width="6.5703125" style="254" bestFit="1" customWidth="1"/>
    <col min="5895" max="5895" width="9.28515625" style="254" customWidth="1"/>
    <col min="5896" max="5896" width="7.28515625" style="254" customWidth="1"/>
    <col min="5897" max="5897" width="9.42578125" style="254" bestFit="1" customWidth="1"/>
    <col min="5898" max="5898" width="7.140625" style="254" bestFit="1" customWidth="1"/>
    <col min="5899" max="5899" width="11.28515625" style="254" bestFit="1" customWidth="1"/>
    <col min="5900" max="5900" width="7.7109375" style="254" bestFit="1" customWidth="1"/>
    <col min="5901" max="5901" width="10" style="254" bestFit="1" customWidth="1"/>
    <col min="5902" max="5902" width="8.85546875" style="254" customWidth="1"/>
    <col min="5903" max="5903" width="8.5703125" style="254" customWidth="1"/>
    <col min="5904" max="5904" width="6.7109375" style="254" customWidth="1"/>
    <col min="5905" max="5905" width="9.140625" style="254" bestFit="1" customWidth="1"/>
    <col min="5906" max="5906" width="8.5703125" style="254" bestFit="1" customWidth="1"/>
    <col min="5907" max="5907" width="8.140625" style="254" bestFit="1" customWidth="1"/>
    <col min="5908" max="5908" width="8.42578125" style="254" customWidth="1"/>
    <col min="5909" max="5909" width="7.28515625" style="254" customWidth="1"/>
    <col min="5910" max="5910" width="6" style="254" customWidth="1"/>
    <col min="5911" max="5911" width="6.85546875" style="254" customWidth="1"/>
    <col min="5912" max="5912" width="7.5703125" style="254" bestFit="1" customWidth="1"/>
    <col min="5913" max="5913" width="7.42578125" style="254" customWidth="1"/>
    <col min="5914" max="5914" width="8" style="254" customWidth="1"/>
    <col min="5915" max="5915" width="22.42578125" style="254" customWidth="1"/>
    <col min="5916" max="5916" width="26" style="254" bestFit="1" customWidth="1"/>
    <col min="5917" max="5917" width="11.7109375" style="254" bestFit="1" customWidth="1"/>
    <col min="5918" max="5918" width="3.28515625" style="254" bestFit="1" customWidth="1"/>
    <col min="5919" max="5919" width="4.7109375" style="254" bestFit="1" customWidth="1"/>
    <col min="5920" max="5920" width="16.140625" style="254" bestFit="1" customWidth="1"/>
    <col min="5921" max="5921" width="3.28515625" style="254" bestFit="1" customWidth="1"/>
    <col min="5922" max="5922" width="5.85546875" style="254" bestFit="1" customWidth="1"/>
    <col min="5923" max="5924" width="11.42578125" style="254"/>
    <col min="5925" max="5925" width="19" style="254" customWidth="1"/>
    <col min="5926" max="6138" width="11.42578125" style="254"/>
    <col min="6139" max="6140" width="2.7109375" style="254" customWidth="1"/>
    <col min="6141" max="6141" width="4.85546875" style="254" bestFit="1" customWidth="1"/>
    <col min="6142" max="6143" width="2.7109375" style="254" customWidth="1"/>
    <col min="6144" max="6144" width="4.85546875" style="254" bestFit="1" customWidth="1"/>
    <col min="6145" max="6145" width="7.42578125" style="254" bestFit="1" customWidth="1"/>
    <col min="6146" max="6146" width="7.85546875" style="254" bestFit="1" customWidth="1"/>
    <col min="6147" max="6147" width="5.28515625" style="254" bestFit="1" customWidth="1"/>
    <col min="6148" max="6148" width="6.5703125" style="254" bestFit="1" customWidth="1"/>
    <col min="6149" max="6149" width="4.85546875" style="254" bestFit="1" customWidth="1"/>
    <col min="6150" max="6150" width="6.5703125" style="254" bestFit="1" customWidth="1"/>
    <col min="6151" max="6151" width="9.28515625" style="254" customWidth="1"/>
    <col min="6152" max="6152" width="7.28515625" style="254" customWidth="1"/>
    <col min="6153" max="6153" width="9.42578125" style="254" bestFit="1" customWidth="1"/>
    <col min="6154" max="6154" width="7.140625" style="254" bestFit="1" customWidth="1"/>
    <col min="6155" max="6155" width="11.28515625" style="254" bestFit="1" customWidth="1"/>
    <col min="6156" max="6156" width="7.7109375" style="254" bestFit="1" customWidth="1"/>
    <col min="6157" max="6157" width="10" style="254" bestFit="1" customWidth="1"/>
    <col min="6158" max="6158" width="8.85546875" style="254" customWidth="1"/>
    <col min="6159" max="6159" width="8.5703125" style="254" customWidth="1"/>
    <col min="6160" max="6160" width="6.7109375" style="254" customWidth="1"/>
    <col min="6161" max="6161" width="9.140625" style="254" bestFit="1" customWidth="1"/>
    <col min="6162" max="6162" width="8.5703125" style="254" bestFit="1" customWidth="1"/>
    <col min="6163" max="6163" width="8.140625" style="254" bestFit="1" customWidth="1"/>
    <col min="6164" max="6164" width="8.42578125" style="254" customWidth="1"/>
    <col min="6165" max="6165" width="7.28515625" style="254" customWidth="1"/>
    <col min="6166" max="6166" width="6" style="254" customWidth="1"/>
    <col min="6167" max="6167" width="6.85546875" style="254" customWidth="1"/>
    <col min="6168" max="6168" width="7.5703125" style="254" bestFit="1" customWidth="1"/>
    <col min="6169" max="6169" width="7.42578125" style="254" customWidth="1"/>
    <col min="6170" max="6170" width="8" style="254" customWidth="1"/>
    <col min="6171" max="6171" width="22.42578125" style="254" customWidth="1"/>
    <col min="6172" max="6172" width="26" style="254" bestFit="1" customWidth="1"/>
    <col min="6173" max="6173" width="11.7109375" style="254" bestFit="1" customWidth="1"/>
    <col min="6174" max="6174" width="3.28515625" style="254" bestFit="1" customWidth="1"/>
    <col min="6175" max="6175" width="4.7109375" style="254" bestFit="1" customWidth="1"/>
    <col min="6176" max="6176" width="16.140625" style="254" bestFit="1" customWidth="1"/>
    <col min="6177" max="6177" width="3.28515625" style="254" bestFit="1" customWidth="1"/>
    <col min="6178" max="6178" width="5.85546875" style="254" bestFit="1" customWidth="1"/>
    <col min="6179" max="6180" width="11.42578125" style="254"/>
    <col min="6181" max="6181" width="19" style="254" customWidth="1"/>
    <col min="6182" max="6394" width="11.42578125" style="254"/>
    <col min="6395" max="6396" width="2.7109375" style="254" customWidth="1"/>
    <col min="6397" max="6397" width="4.85546875" style="254" bestFit="1" customWidth="1"/>
    <col min="6398" max="6399" width="2.7109375" style="254" customWidth="1"/>
    <col min="6400" max="6400" width="4.85546875" style="254" bestFit="1" customWidth="1"/>
    <col min="6401" max="6401" width="7.42578125" style="254" bestFit="1" customWidth="1"/>
    <col min="6402" max="6402" width="7.85546875" style="254" bestFit="1" customWidth="1"/>
    <col min="6403" max="6403" width="5.28515625" style="254" bestFit="1" customWidth="1"/>
    <col min="6404" max="6404" width="6.5703125" style="254" bestFit="1" customWidth="1"/>
    <col min="6405" max="6405" width="4.85546875" style="254" bestFit="1" customWidth="1"/>
    <col min="6406" max="6406" width="6.5703125" style="254" bestFit="1" customWidth="1"/>
    <col min="6407" max="6407" width="9.28515625" style="254" customWidth="1"/>
    <col min="6408" max="6408" width="7.28515625" style="254" customWidth="1"/>
    <col min="6409" max="6409" width="9.42578125" style="254" bestFit="1" customWidth="1"/>
    <col min="6410" max="6410" width="7.140625" style="254" bestFit="1" customWidth="1"/>
    <col min="6411" max="6411" width="11.28515625" style="254" bestFit="1" customWidth="1"/>
    <col min="6412" max="6412" width="7.7109375" style="254" bestFit="1" customWidth="1"/>
    <col min="6413" max="6413" width="10" style="254" bestFit="1" customWidth="1"/>
    <col min="6414" max="6414" width="8.85546875" style="254" customWidth="1"/>
    <col min="6415" max="6415" width="8.5703125" style="254" customWidth="1"/>
    <col min="6416" max="6416" width="6.7109375" style="254" customWidth="1"/>
    <col min="6417" max="6417" width="9.140625" style="254" bestFit="1" customWidth="1"/>
    <col min="6418" max="6418" width="8.5703125" style="254" bestFit="1" customWidth="1"/>
    <col min="6419" max="6419" width="8.140625" style="254" bestFit="1" customWidth="1"/>
    <col min="6420" max="6420" width="8.42578125" style="254" customWidth="1"/>
    <col min="6421" max="6421" width="7.28515625" style="254" customWidth="1"/>
    <col min="6422" max="6422" width="6" style="254" customWidth="1"/>
    <col min="6423" max="6423" width="6.85546875" style="254" customWidth="1"/>
    <col min="6424" max="6424" width="7.5703125" style="254" bestFit="1" customWidth="1"/>
    <col min="6425" max="6425" width="7.42578125" style="254" customWidth="1"/>
    <col min="6426" max="6426" width="8" style="254" customWidth="1"/>
    <col min="6427" max="6427" width="22.42578125" style="254" customWidth="1"/>
    <col min="6428" max="6428" width="26" style="254" bestFit="1" customWidth="1"/>
    <col min="6429" max="6429" width="11.7109375" style="254" bestFit="1" customWidth="1"/>
    <col min="6430" max="6430" width="3.28515625" style="254" bestFit="1" customWidth="1"/>
    <col min="6431" max="6431" width="4.7109375" style="254" bestFit="1" customWidth="1"/>
    <col min="6432" max="6432" width="16.140625" style="254" bestFit="1" customWidth="1"/>
    <col min="6433" max="6433" width="3.28515625" style="254" bestFit="1" customWidth="1"/>
    <col min="6434" max="6434" width="5.85546875" style="254" bestFit="1" customWidth="1"/>
    <col min="6435" max="6436" width="11.42578125" style="254"/>
    <col min="6437" max="6437" width="19" style="254" customWidth="1"/>
    <col min="6438" max="6650" width="11.42578125" style="254"/>
    <col min="6651" max="6652" width="2.7109375" style="254" customWidth="1"/>
    <col min="6653" max="6653" width="4.85546875" style="254" bestFit="1" customWidth="1"/>
    <col min="6654" max="6655" width="2.7109375" style="254" customWidth="1"/>
    <col min="6656" max="6656" width="4.85546875" style="254" bestFit="1" customWidth="1"/>
    <col min="6657" max="6657" width="7.42578125" style="254" bestFit="1" customWidth="1"/>
    <col min="6658" max="6658" width="7.85546875" style="254" bestFit="1" customWidth="1"/>
    <col min="6659" max="6659" width="5.28515625" style="254" bestFit="1" customWidth="1"/>
    <col min="6660" max="6660" width="6.5703125" style="254" bestFit="1" customWidth="1"/>
    <col min="6661" max="6661" width="4.85546875" style="254" bestFit="1" customWidth="1"/>
    <col min="6662" max="6662" width="6.5703125" style="254" bestFit="1" customWidth="1"/>
    <col min="6663" max="6663" width="9.28515625" style="254" customWidth="1"/>
    <col min="6664" max="6664" width="7.28515625" style="254" customWidth="1"/>
    <col min="6665" max="6665" width="9.42578125" style="254" bestFit="1" customWidth="1"/>
    <col min="6666" max="6666" width="7.140625" style="254" bestFit="1" customWidth="1"/>
    <col min="6667" max="6667" width="11.28515625" style="254" bestFit="1" customWidth="1"/>
    <col min="6668" max="6668" width="7.7109375" style="254" bestFit="1" customWidth="1"/>
    <col min="6669" max="6669" width="10" style="254" bestFit="1" customWidth="1"/>
    <col min="6670" max="6670" width="8.85546875" style="254" customWidth="1"/>
    <col min="6671" max="6671" width="8.5703125" style="254" customWidth="1"/>
    <col min="6672" max="6672" width="6.7109375" style="254" customWidth="1"/>
    <col min="6673" max="6673" width="9.140625" style="254" bestFit="1" customWidth="1"/>
    <col min="6674" max="6674" width="8.5703125" style="254" bestFit="1" customWidth="1"/>
    <col min="6675" max="6675" width="8.140625" style="254" bestFit="1" customWidth="1"/>
    <col min="6676" max="6676" width="8.42578125" style="254" customWidth="1"/>
    <col min="6677" max="6677" width="7.28515625" style="254" customWidth="1"/>
    <col min="6678" max="6678" width="6" style="254" customWidth="1"/>
    <col min="6679" max="6679" width="6.85546875" style="254" customWidth="1"/>
    <col min="6680" max="6680" width="7.5703125" style="254" bestFit="1" customWidth="1"/>
    <col min="6681" max="6681" width="7.42578125" style="254" customWidth="1"/>
    <col min="6682" max="6682" width="8" style="254" customWidth="1"/>
    <col min="6683" max="6683" width="22.42578125" style="254" customWidth="1"/>
    <col min="6684" max="6684" width="26" style="254" bestFit="1" customWidth="1"/>
    <col min="6685" max="6685" width="11.7109375" style="254" bestFit="1" customWidth="1"/>
    <col min="6686" max="6686" width="3.28515625" style="254" bestFit="1" customWidth="1"/>
    <col min="6687" max="6687" width="4.7109375" style="254" bestFit="1" customWidth="1"/>
    <col min="6688" max="6688" width="16.140625" style="254" bestFit="1" customWidth="1"/>
    <col min="6689" max="6689" width="3.28515625" style="254" bestFit="1" customWidth="1"/>
    <col min="6690" max="6690" width="5.85546875" style="254" bestFit="1" customWidth="1"/>
    <col min="6691" max="6692" width="11.42578125" style="254"/>
    <col min="6693" max="6693" width="19" style="254" customWidth="1"/>
    <col min="6694" max="6906" width="11.42578125" style="254"/>
    <col min="6907" max="6908" width="2.7109375" style="254" customWidth="1"/>
    <col min="6909" max="6909" width="4.85546875" style="254" bestFit="1" customWidth="1"/>
    <col min="6910" max="6911" width="2.7109375" style="254" customWidth="1"/>
    <col min="6912" max="6912" width="4.85546875" style="254" bestFit="1" customWidth="1"/>
    <col min="6913" max="6913" width="7.42578125" style="254" bestFit="1" customWidth="1"/>
    <col min="6914" max="6914" width="7.85546875" style="254" bestFit="1" customWidth="1"/>
    <col min="6915" max="6915" width="5.28515625" style="254" bestFit="1" customWidth="1"/>
    <col min="6916" max="6916" width="6.5703125" style="254" bestFit="1" customWidth="1"/>
    <col min="6917" max="6917" width="4.85546875" style="254" bestFit="1" customWidth="1"/>
    <col min="6918" max="6918" width="6.5703125" style="254" bestFit="1" customWidth="1"/>
    <col min="6919" max="6919" width="9.28515625" style="254" customWidth="1"/>
    <col min="6920" max="6920" width="7.28515625" style="254" customWidth="1"/>
    <col min="6921" max="6921" width="9.42578125" style="254" bestFit="1" customWidth="1"/>
    <col min="6922" max="6922" width="7.140625" style="254" bestFit="1" customWidth="1"/>
    <col min="6923" max="6923" width="11.28515625" style="254" bestFit="1" customWidth="1"/>
    <col min="6924" max="6924" width="7.7109375" style="254" bestFit="1" customWidth="1"/>
    <col min="6925" max="6925" width="10" style="254" bestFit="1" customWidth="1"/>
    <col min="6926" max="6926" width="8.85546875" style="254" customWidth="1"/>
    <col min="6927" max="6927" width="8.5703125" style="254" customWidth="1"/>
    <col min="6928" max="6928" width="6.7109375" style="254" customWidth="1"/>
    <col min="6929" max="6929" width="9.140625" style="254" bestFit="1" customWidth="1"/>
    <col min="6930" max="6930" width="8.5703125" style="254" bestFit="1" customWidth="1"/>
    <col min="6931" max="6931" width="8.140625" style="254" bestFit="1" customWidth="1"/>
    <col min="6932" max="6932" width="8.42578125" style="254" customWidth="1"/>
    <col min="6933" max="6933" width="7.28515625" style="254" customWidth="1"/>
    <col min="6934" max="6934" width="6" style="254" customWidth="1"/>
    <col min="6935" max="6935" width="6.85546875" style="254" customWidth="1"/>
    <col min="6936" max="6936" width="7.5703125" style="254" bestFit="1" customWidth="1"/>
    <col min="6937" max="6937" width="7.42578125" style="254" customWidth="1"/>
    <col min="6938" max="6938" width="8" style="254" customWidth="1"/>
    <col min="6939" max="6939" width="22.42578125" style="254" customWidth="1"/>
    <col min="6940" max="6940" width="26" style="254" bestFit="1" customWidth="1"/>
    <col min="6941" max="6941" width="11.7109375" style="254" bestFit="1" customWidth="1"/>
    <col min="6942" max="6942" width="3.28515625" style="254" bestFit="1" customWidth="1"/>
    <col min="6943" max="6943" width="4.7109375" style="254" bestFit="1" customWidth="1"/>
    <col min="6944" max="6944" width="16.140625" style="254" bestFit="1" customWidth="1"/>
    <col min="6945" max="6945" width="3.28515625" style="254" bestFit="1" customWidth="1"/>
    <col min="6946" max="6946" width="5.85546875" style="254" bestFit="1" customWidth="1"/>
    <col min="6947" max="6948" width="11.42578125" style="254"/>
    <col min="6949" max="6949" width="19" style="254" customWidth="1"/>
    <col min="6950" max="7162" width="11.42578125" style="254"/>
    <col min="7163" max="7164" width="2.7109375" style="254" customWidth="1"/>
    <col min="7165" max="7165" width="4.85546875" style="254" bestFit="1" customWidth="1"/>
    <col min="7166" max="7167" width="2.7109375" style="254" customWidth="1"/>
    <col min="7168" max="7168" width="4.85546875" style="254" bestFit="1" customWidth="1"/>
    <col min="7169" max="7169" width="7.42578125" style="254" bestFit="1" customWidth="1"/>
    <col min="7170" max="7170" width="7.85546875" style="254" bestFit="1" customWidth="1"/>
    <col min="7171" max="7171" width="5.28515625" style="254" bestFit="1" customWidth="1"/>
    <col min="7172" max="7172" width="6.5703125" style="254" bestFit="1" customWidth="1"/>
    <col min="7173" max="7173" width="4.85546875" style="254" bestFit="1" customWidth="1"/>
    <col min="7174" max="7174" width="6.5703125" style="254" bestFit="1" customWidth="1"/>
    <col min="7175" max="7175" width="9.28515625" style="254" customWidth="1"/>
    <col min="7176" max="7176" width="7.28515625" style="254" customWidth="1"/>
    <col min="7177" max="7177" width="9.42578125" style="254" bestFit="1" customWidth="1"/>
    <col min="7178" max="7178" width="7.140625" style="254" bestFit="1" customWidth="1"/>
    <col min="7179" max="7179" width="11.28515625" style="254" bestFit="1" customWidth="1"/>
    <col min="7180" max="7180" width="7.7109375" style="254" bestFit="1" customWidth="1"/>
    <col min="7181" max="7181" width="10" style="254" bestFit="1" customWidth="1"/>
    <col min="7182" max="7182" width="8.85546875" style="254" customWidth="1"/>
    <col min="7183" max="7183" width="8.5703125" style="254" customWidth="1"/>
    <col min="7184" max="7184" width="6.7109375" style="254" customWidth="1"/>
    <col min="7185" max="7185" width="9.140625" style="254" bestFit="1" customWidth="1"/>
    <col min="7186" max="7186" width="8.5703125" style="254" bestFit="1" customWidth="1"/>
    <col min="7187" max="7187" width="8.140625" style="254" bestFit="1" customWidth="1"/>
    <col min="7188" max="7188" width="8.42578125" style="254" customWidth="1"/>
    <col min="7189" max="7189" width="7.28515625" style="254" customWidth="1"/>
    <col min="7190" max="7190" width="6" style="254" customWidth="1"/>
    <col min="7191" max="7191" width="6.85546875" style="254" customWidth="1"/>
    <col min="7192" max="7192" width="7.5703125" style="254" bestFit="1" customWidth="1"/>
    <col min="7193" max="7193" width="7.42578125" style="254" customWidth="1"/>
    <col min="7194" max="7194" width="8" style="254" customWidth="1"/>
    <col min="7195" max="7195" width="22.42578125" style="254" customWidth="1"/>
    <col min="7196" max="7196" width="26" style="254" bestFit="1" customWidth="1"/>
    <col min="7197" max="7197" width="11.7109375" style="254" bestFit="1" customWidth="1"/>
    <col min="7198" max="7198" width="3.28515625" style="254" bestFit="1" customWidth="1"/>
    <col min="7199" max="7199" width="4.7109375" style="254" bestFit="1" customWidth="1"/>
    <col min="7200" max="7200" width="16.140625" style="254" bestFit="1" customWidth="1"/>
    <col min="7201" max="7201" width="3.28515625" style="254" bestFit="1" customWidth="1"/>
    <col min="7202" max="7202" width="5.85546875" style="254" bestFit="1" customWidth="1"/>
    <col min="7203" max="7204" width="11.42578125" style="254"/>
    <col min="7205" max="7205" width="19" style="254" customWidth="1"/>
    <col min="7206" max="7418" width="11.42578125" style="254"/>
    <col min="7419" max="7420" width="2.7109375" style="254" customWidth="1"/>
    <col min="7421" max="7421" width="4.85546875" style="254" bestFit="1" customWidth="1"/>
    <col min="7422" max="7423" width="2.7109375" style="254" customWidth="1"/>
    <col min="7424" max="7424" width="4.85546875" style="254" bestFit="1" customWidth="1"/>
    <col min="7425" max="7425" width="7.42578125" style="254" bestFit="1" customWidth="1"/>
    <col min="7426" max="7426" width="7.85546875" style="254" bestFit="1" customWidth="1"/>
    <col min="7427" max="7427" width="5.28515625" style="254" bestFit="1" customWidth="1"/>
    <col min="7428" max="7428" width="6.5703125" style="254" bestFit="1" customWidth="1"/>
    <col min="7429" max="7429" width="4.85546875" style="254" bestFit="1" customWidth="1"/>
    <col min="7430" max="7430" width="6.5703125" style="254" bestFit="1" customWidth="1"/>
    <col min="7431" max="7431" width="9.28515625" style="254" customWidth="1"/>
    <col min="7432" max="7432" width="7.28515625" style="254" customWidth="1"/>
    <col min="7433" max="7433" width="9.42578125" style="254" bestFit="1" customWidth="1"/>
    <col min="7434" max="7434" width="7.140625" style="254" bestFit="1" customWidth="1"/>
    <col min="7435" max="7435" width="11.28515625" style="254" bestFit="1" customWidth="1"/>
    <col min="7436" max="7436" width="7.7109375" style="254" bestFit="1" customWidth="1"/>
    <col min="7437" max="7437" width="10" style="254" bestFit="1" customWidth="1"/>
    <col min="7438" max="7438" width="8.85546875" style="254" customWidth="1"/>
    <col min="7439" max="7439" width="8.5703125" style="254" customWidth="1"/>
    <col min="7440" max="7440" width="6.7109375" style="254" customWidth="1"/>
    <col min="7441" max="7441" width="9.140625" style="254" bestFit="1" customWidth="1"/>
    <col min="7442" max="7442" width="8.5703125" style="254" bestFit="1" customWidth="1"/>
    <col min="7443" max="7443" width="8.140625" style="254" bestFit="1" customWidth="1"/>
    <col min="7444" max="7444" width="8.42578125" style="254" customWidth="1"/>
    <col min="7445" max="7445" width="7.28515625" style="254" customWidth="1"/>
    <col min="7446" max="7446" width="6" style="254" customWidth="1"/>
    <col min="7447" max="7447" width="6.85546875" style="254" customWidth="1"/>
    <col min="7448" max="7448" width="7.5703125" style="254" bestFit="1" customWidth="1"/>
    <col min="7449" max="7449" width="7.42578125" style="254" customWidth="1"/>
    <col min="7450" max="7450" width="8" style="254" customWidth="1"/>
    <col min="7451" max="7451" width="22.42578125" style="254" customWidth="1"/>
    <col min="7452" max="7452" width="26" style="254" bestFit="1" customWidth="1"/>
    <col min="7453" max="7453" width="11.7109375" style="254" bestFit="1" customWidth="1"/>
    <col min="7454" max="7454" width="3.28515625" style="254" bestFit="1" customWidth="1"/>
    <col min="7455" max="7455" width="4.7109375" style="254" bestFit="1" customWidth="1"/>
    <col min="7456" max="7456" width="16.140625" style="254" bestFit="1" customWidth="1"/>
    <col min="7457" max="7457" width="3.28515625" style="254" bestFit="1" customWidth="1"/>
    <col min="7458" max="7458" width="5.85546875" style="254" bestFit="1" customWidth="1"/>
    <col min="7459" max="7460" width="11.42578125" style="254"/>
    <col min="7461" max="7461" width="19" style="254" customWidth="1"/>
    <col min="7462" max="7674" width="11.42578125" style="254"/>
    <col min="7675" max="7676" width="2.7109375" style="254" customWidth="1"/>
    <col min="7677" max="7677" width="4.85546875" style="254" bestFit="1" customWidth="1"/>
    <col min="7678" max="7679" width="2.7109375" style="254" customWidth="1"/>
    <col min="7680" max="7680" width="4.85546875" style="254" bestFit="1" customWidth="1"/>
    <col min="7681" max="7681" width="7.42578125" style="254" bestFit="1" customWidth="1"/>
    <col min="7682" max="7682" width="7.85546875" style="254" bestFit="1" customWidth="1"/>
    <col min="7683" max="7683" width="5.28515625" style="254" bestFit="1" customWidth="1"/>
    <col min="7684" max="7684" width="6.5703125" style="254" bestFit="1" customWidth="1"/>
    <col min="7685" max="7685" width="4.85546875" style="254" bestFit="1" customWidth="1"/>
    <col min="7686" max="7686" width="6.5703125" style="254" bestFit="1" customWidth="1"/>
    <col min="7687" max="7687" width="9.28515625" style="254" customWidth="1"/>
    <col min="7688" max="7688" width="7.28515625" style="254" customWidth="1"/>
    <col min="7689" max="7689" width="9.42578125" style="254" bestFit="1" customWidth="1"/>
    <col min="7690" max="7690" width="7.140625" style="254" bestFit="1" customWidth="1"/>
    <col min="7691" max="7691" width="11.28515625" style="254" bestFit="1" customWidth="1"/>
    <col min="7692" max="7692" width="7.7109375" style="254" bestFit="1" customWidth="1"/>
    <col min="7693" max="7693" width="10" style="254" bestFit="1" customWidth="1"/>
    <col min="7694" max="7694" width="8.85546875" style="254" customWidth="1"/>
    <col min="7695" max="7695" width="8.5703125" style="254" customWidth="1"/>
    <col min="7696" max="7696" width="6.7109375" style="254" customWidth="1"/>
    <col min="7697" max="7697" width="9.140625" style="254" bestFit="1" customWidth="1"/>
    <col min="7698" max="7698" width="8.5703125" style="254" bestFit="1" customWidth="1"/>
    <col min="7699" max="7699" width="8.140625" style="254" bestFit="1" customWidth="1"/>
    <col min="7700" max="7700" width="8.42578125" style="254" customWidth="1"/>
    <col min="7701" max="7701" width="7.28515625" style="254" customWidth="1"/>
    <col min="7702" max="7702" width="6" style="254" customWidth="1"/>
    <col min="7703" max="7703" width="6.85546875" style="254" customWidth="1"/>
    <col min="7704" max="7704" width="7.5703125" style="254" bestFit="1" customWidth="1"/>
    <col min="7705" max="7705" width="7.42578125" style="254" customWidth="1"/>
    <col min="7706" max="7706" width="8" style="254" customWidth="1"/>
    <col min="7707" max="7707" width="22.42578125" style="254" customWidth="1"/>
    <col min="7708" max="7708" width="26" style="254" bestFit="1" customWidth="1"/>
    <col min="7709" max="7709" width="11.7109375" style="254" bestFit="1" customWidth="1"/>
    <col min="7710" max="7710" width="3.28515625" style="254" bestFit="1" customWidth="1"/>
    <col min="7711" max="7711" width="4.7109375" style="254" bestFit="1" customWidth="1"/>
    <col min="7712" max="7712" width="16.140625" style="254" bestFit="1" customWidth="1"/>
    <col min="7713" max="7713" width="3.28515625" style="254" bestFit="1" customWidth="1"/>
    <col min="7714" max="7714" width="5.85546875" style="254" bestFit="1" customWidth="1"/>
    <col min="7715" max="7716" width="11.42578125" style="254"/>
    <col min="7717" max="7717" width="19" style="254" customWidth="1"/>
    <col min="7718" max="7930" width="11.42578125" style="254"/>
    <col min="7931" max="7932" width="2.7109375" style="254" customWidth="1"/>
    <col min="7933" max="7933" width="4.85546875" style="254" bestFit="1" customWidth="1"/>
    <col min="7934" max="7935" width="2.7109375" style="254" customWidth="1"/>
    <col min="7936" max="7936" width="4.85546875" style="254" bestFit="1" customWidth="1"/>
    <col min="7937" max="7937" width="7.42578125" style="254" bestFit="1" customWidth="1"/>
    <col min="7938" max="7938" width="7.85546875" style="254" bestFit="1" customWidth="1"/>
    <col min="7939" max="7939" width="5.28515625" style="254" bestFit="1" customWidth="1"/>
    <col min="7940" max="7940" width="6.5703125" style="254" bestFit="1" customWidth="1"/>
    <col min="7941" max="7941" width="4.85546875" style="254" bestFit="1" customWidth="1"/>
    <col min="7942" max="7942" width="6.5703125" style="254" bestFit="1" customWidth="1"/>
    <col min="7943" max="7943" width="9.28515625" style="254" customWidth="1"/>
    <col min="7944" max="7944" width="7.28515625" style="254" customWidth="1"/>
    <col min="7945" max="7945" width="9.42578125" style="254" bestFit="1" customWidth="1"/>
    <col min="7946" max="7946" width="7.140625" style="254" bestFit="1" customWidth="1"/>
    <col min="7947" max="7947" width="11.28515625" style="254" bestFit="1" customWidth="1"/>
    <col min="7948" max="7948" width="7.7109375" style="254" bestFit="1" customWidth="1"/>
    <col min="7949" max="7949" width="10" style="254" bestFit="1" customWidth="1"/>
    <col min="7950" max="7950" width="8.85546875" style="254" customWidth="1"/>
    <col min="7951" max="7951" width="8.5703125" style="254" customWidth="1"/>
    <col min="7952" max="7952" width="6.7109375" style="254" customWidth="1"/>
    <col min="7953" max="7953" width="9.140625" style="254" bestFit="1" customWidth="1"/>
    <col min="7954" max="7954" width="8.5703125" style="254" bestFit="1" customWidth="1"/>
    <col min="7955" max="7955" width="8.140625" style="254" bestFit="1" customWidth="1"/>
    <col min="7956" max="7956" width="8.42578125" style="254" customWidth="1"/>
    <col min="7957" max="7957" width="7.28515625" style="254" customWidth="1"/>
    <col min="7958" max="7958" width="6" style="254" customWidth="1"/>
    <col min="7959" max="7959" width="6.85546875" style="254" customWidth="1"/>
    <col min="7960" max="7960" width="7.5703125" style="254" bestFit="1" customWidth="1"/>
    <col min="7961" max="7961" width="7.42578125" style="254" customWidth="1"/>
    <col min="7962" max="7962" width="8" style="254" customWidth="1"/>
    <col min="7963" max="7963" width="22.42578125" style="254" customWidth="1"/>
    <col min="7964" max="7964" width="26" style="254" bestFit="1" customWidth="1"/>
    <col min="7965" max="7965" width="11.7109375" style="254" bestFit="1" customWidth="1"/>
    <col min="7966" max="7966" width="3.28515625" style="254" bestFit="1" customWidth="1"/>
    <col min="7967" max="7967" width="4.7109375" style="254" bestFit="1" customWidth="1"/>
    <col min="7968" max="7968" width="16.140625" style="254" bestFit="1" customWidth="1"/>
    <col min="7969" max="7969" width="3.28515625" style="254" bestFit="1" customWidth="1"/>
    <col min="7970" max="7970" width="5.85546875" style="254" bestFit="1" customWidth="1"/>
    <col min="7971" max="7972" width="11.42578125" style="254"/>
    <col min="7973" max="7973" width="19" style="254" customWidth="1"/>
    <col min="7974" max="8186" width="11.42578125" style="254"/>
    <col min="8187" max="8188" width="2.7109375" style="254" customWidth="1"/>
    <col min="8189" max="8189" width="4.85546875" style="254" bestFit="1" customWidth="1"/>
    <col min="8190" max="8191" width="2.7109375" style="254" customWidth="1"/>
    <col min="8192" max="8192" width="4.85546875" style="254" bestFit="1" customWidth="1"/>
    <col min="8193" max="8193" width="7.42578125" style="254" bestFit="1" customWidth="1"/>
    <col min="8194" max="8194" width="7.85546875" style="254" bestFit="1" customWidth="1"/>
    <col min="8195" max="8195" width="5.28515625" style="254" bestFit="1" customWidth="1"/>
    <col min="8196" max="8196" width="6.5703125" style="254" bestFit="1" customWidth="1"/>
    <col min="8197" max="8197" width="4.85546875" style="254" bestFit="1" customWidth="1"/>
    <col min="8198" max="8198" width="6.5703125" style="254" bestFit="1" customWidth="1"/>
    <col min="8199" max="8199" width="9.28515625" style="254" customWidth="1"/>
    <col min="8200" max="8200" width="7.28515625" style="254" customWidth="1"/>
    <col min="8201" max="8201" width="9.42578125" style="254" bestFit="1" customWidth="1"/>
    <col min="8202" max="8202" width="7.140625" style="254" bestFit="1" customWidth="1"/>
    <col min="8203" max="8203" width="11.28515625" style="254" bestFit="1" customWidth="1"/>
    <col min="8204" max="8204" width="7.7109375" style="254" bestFit="1" customWidth="1"/>
    <col min="8205" max="8205" width="10" style="254" bestFit="1" customWidth="1"/>
    <col min="8206" max="8206" width="8.85546875" style="254" customWidth="1"/>
    <col min="8207" max="8207" width="8.5703125" style="254" customWidth="1"/>
    <col min="8208" max="8208" width="6.7109375" style="254" customWidth="1"/>
    <col min="8209" max="8209" width="9.140625" style="254" bestFit="1" customWidth="1"/>
    <col min="8210" max="8210" width="8.5703125" style="254" bestFit="1" customWidth="1"/>
    <col min="8211" max="8211" width="8.140625" style="254" bestFit="1" customWidth="1"/>
    <col min="8212" max="8212" width="8.42578125" style="254" customWidth="1"/>
    <col min="8213" max="8213" width="7.28515625" style="254" customWidth="1"/>
    <col min="8214" max="8214" width="6" style="254" customWidth="1"/>
    <col min="8215" max="8215" width="6.85546875" style="254" customWidth="1"/>
    <col min="8216" max="8216" width="7.5703125" style="254" bestFit="1" customWidth="1"/>
    <col min="8217" max="8217" width="7.42578125" style="254" customWidth="1"/>
    <col min="8218" max="8218" width="8" style="254" customWidth="1"/>
    <col min="8219" max="8219" width="22.42578125" style="254" customWidth="1"/>
    <col min="8220" max="8220" width="26" style="254" bestFit="1" customWidth="1"/>
    <col min="8221" max="8221" width="11.7109375" style="254" bestFit="1" customWidth="1"/>
    <col min="8222" max="8222" width="3.28515625" style="254" bestFit="1" customWidth="1"/>
    <col min="8223" max="8223" width="4.7109375" style="254" bestFit="1" customWidth="1"/>
    <col min="8224" max="8224" width="16.140625" style="254" bestFit="1" customWidth="1"/>
    <col min="8225" max="8225" width="3.28515625" style="254" bestFit="1" customWidth="1"/>
    <col min="8226" max="8226" width="5.85546875" style="254" bestFit="1" customWidth="1"/>
    <col min="8227" max="8228" width="11.42578125" style="254"/>
    <col min="8229" max="8229" width="19" style="254" customWidth="1"/>
    <col min="8230" max="8442" width="11.42578125" style="254"/>
    <col min="8443" max="8444" width="2.7109375" style="254" customWidth="1"/>
    <col min="8445" max="8445" width="4.85546875" style="254" bestFit="1" customWidth="1"/>
    <col min="8446" max="8447" width="2.7109375" style="254" customWidth="1"/>
    <col min="8448" max="8448" width="4.85546875" style="254" bestFit="1" customWidth="1"/>
    <col min="8449" max="8449" width="7.42578125" style="254" bestFit="1" customWidth="1"/>
    <col min="8450" max="8450" width="7.85546875" style="254" bestFit="1" customWidth="1"/>
    <col min="8451" max="8451" width="5.28515625" style="254" bestFit="1" customWidth="1"/>
    <col min="8452" max="8452" width="6.5703125" style="254" bestFit="1" customWidth="1"/>
    <col min="8453" max="8453" width="4.85546875" style="254" bestFit="1" customWidth="1"/>
    <col min="8454" max="8454" width="6.5703125" style="254" bestFit="1" customWidth="1"/>
    <col min="8455" max="8455" width="9.28515625" style="254" customWidth="1"/>
    <col min="8456" max="8456" width="7.28515625" style="254" customWidth="1"/>
    <col min="8457" max="8457" width="9.42578125" style="254" bestFit="1" customWidth="1"/>
    <col min="8458" max="8458" width="7.140625" style="254" bestFit="1" customWidth="1"/>
    <col min="8459" max="8459" width="11.28515625" style="254" bestFit="1" customWidth="1"/>
    <col min="8460" max="8460" width="7.7109375" style="254" bestFit="1" customWidth="1"/>
    <col min="8461" max="8461" width="10" style="254" bestFit="1" customWidth="1"/>
    <col min="8462" max="8462" width="8.85546875" style="254" customWidth="1"/>
    <col min="8463" max="8463" width="8.5703125" style="254" customWidth="1"/>
    <col min="8464" max="8464" width="6.7109375" style="254" customWidth="1"/>
    <col min="8465" max="8465" width="9.140625" style="254" bestFit="1" customWidth="1"/>
    <col min="8466" max="8466" width="8.5703125" style="254" bestFit="1" customWidth="1"/>
    <col min="8467" max="8467" width="8.140625" style="254" bestFit="1" customWidth="1"/>
    <col min="8468" max="8468" width="8.42578125" style="254" customWidth="1"/>
    <col min="8469" max="8469" width="7.28515625" style="254" customWidth="1"/>
    <col min="8470" max="8470" width="6" style="254" customWidth="1"/>
    <col min="8471" max="8471" width="6.85546875" style="254" customWidth="1"/>
    <col min="8472" max="8472" width="7.5703125" style="254" bestFit="1" customWidth="1"/>
    <col min="8473" max="8473" width="7.42578125" style="254" customWidth="1"/>
    <col min="8474" max="8474" width="8" style="254" customWidth="1"/>
    <col min="8475" max="8475" width="22.42578125" style="254" customWidth="1"/>
    <col min="8476" max="8476" width="26" style="254" bestFit="1" customWidth="1"/>
    <col min="8477" max="8477" width="11.7109375" style="254" bestFit="1" customWidth="1"/>
    <col min="8478" max="8478" width="3.28515625" style="254" bestFit="1" customWidth="1"/>
    <col min="8479" max="8479" width="4.7109375" style="254" bestFit="1" customWidth="1"/>
    <col min="8480" max="8480" width="16.140625" style="254" bestFit="1" customWidth="1"/>
    <col min="8481" max="8481" width="3.28515625" style="254" bestFit="1" customWidth="1"/>
    <col min="8482" max="8482" width="5.85546875" style="254" bestFit="1" customWidth="1"/>
    <col min="8483" max="8484" width="11.42578125" style="254"/>
    <col min="8485" max="8485" width="19" style="254" customWidth="1"/>
    <col min="8486" max="8698" width="11.42578125" style="254"/>
    <col min="8699" max="8700" width="2.7109375" style="254" customWidth="1"/>
    <col min="8701" max="8701" width="4.85546875" style="254" bestFit="1" customWidth="1"/>
    <col min="8702" max="8703" width="2.7109375" style="254" customWidth="1"/>
    <col min="8704" max="8704" width="4.85546875" style="254" bestFit="1" customWidth="1"/>
    <col min="8705" max="8705" width="7.42578125" style="254" bestFit="1" customWidth="1"/>
    <col min="8706" max="8706" width="7.85546875" style="254" bestFit="1" customWidth="1"/>
    <col min="8707" max="8707" width="5.28515625" style="254" bestFit="1" customWidth="1"/>
    <col min="8708" max="8708" width="6.5703125" style="254" bestFit="1" customWidth="1"/>
    <col min="8709" max="8709" width="4.85546875" style="254" bestFit="1" customWidth="1"/>
    <col min="8710" max="8710" width="6.5703125" style="254" bestFit="1" customWidth="1"/>
    <col min="8711" max="8711" width="9.28515625" style="254" customWidth="1"/>
    <col min="8712" max="8712" width="7.28515625" style="254" customWidth="1"/>
    <col min="8713" max="8713" width="9.42578125" style="254" bestFit="1" customWidth="1"/>
    <col min="8714" max="8714" width="7.140625" style="254" bestFit="1" customWidth="1"/>
    <col min="8715" max="8715" width="11.28515625" style="254" bestFit="1" customWidth="1"/>
    <col min="8716" max="8716" width="7.7109375" style="254" bestFit="1" customWidth="1"/>
    <col min="8717" max="8717" width="10" style="254" bestFit="1" customWidth="1"/>
    <col min="8718" max="8718" width="8.85546875" style="254" customWidth="1"/>
    <col min="8719" max="8719" width="8.5703125" style="254" customWidth="1"/>
    <col min="8720" max="8720" width="6.7109375" style="254" customWidth="1"/>
    <col min="8721" max="8721" width="9.140625" style="254" bestFit="1" customWidth="1"/>
    <col min="8722" max="8722" width="8.5703125" style="254" bestFit="1" customWidth="1"/>
    <col min="8723" max="8723" width="8.140625" style="254" bestFit="1" customWidth="1"/>
    <col min="8724" max="8724" width="8.42578125" style="254" customWidth="1"/>
    <col min="8725" max="8725" width="7.28515625" style="254" customWidth="1"/>
    <col min="8726" max="8726" width="6" style="254" customWidth="1"/>
    <col min="8727" max="8727" width="6.85546875" style="254" customWidth="1"/>
    <col min="8728" max="8728" width="7.5703125" style="254" bestFit="1" customWidth="1"/>
    <col min="8729" max="8729" width="7.42578125" style="254" customWidth="1"/>
    <col min="8730" max="8730" width="8" style="254" customWidth="1"/>
    <col min="8731" max="8731" width="22.42578125" style="254" customWidth="1"/>
    <col min="8732" max="8732" width="26" style="254" bestFit="1" customWidth="1"/>
    <col min="8733" max="8733" width="11.7109375" style="254" bestFit="1" customWidth="1"/>
    <col min="8734" max="8734" width="3.28515625" style="254" bestFit="1" customWidth="1"/>
    <col min="8735" max="8735" width="4.7109375" style="254" bestFit="1" customWidth="1"/>
    <col min="8736" max="8736" width="16.140625" style="254" bestFit="1" customWidth="1"/>
    <col min="8737" max="8737" width="3.28515625" style="254" bestFit="1" customWidth="1"/>
    <col min="8738" max="8738" width="5.85546875" style="254" bestFit="1" customWidth="1"/>
    <col min="8739" max="8740" width="11.42578125" style="254"/>
    <col min="8741" max="8741" width="19" style="254" customWidth="1"/>
    <col min="8742" max="8954" width="11.42578125" style="254"/>
    <col min="8955" max="8956" width="2.7109375" style="254" customWidth="1"/>
    <col min="8957" max="8957" width="4.85546875" style="254" bestFit="1" customWidth="1"/>
    <col min="8958" max="8959" width="2.7109375" style="254" customWidth="1"/>
    <col min="8960" max="8960" width="4.85546875" style="254" bestFit="1" customWidth="1"/>
    <col min="8961" max="8961" width="7.42578125" style="254" bestFit="1" customWidth="1"/>
    <col min="8962" max="8962" width="7.85546875" style="254" bestFit="1" customWidth="1"/>
    <col min="8963" max="8963" width="5.28515625" style="254" bestFit="1" customWidth="1"/>
    <col min="8964" max="8964" width="6.5703125" style="254" bestFit="1" customWidth="1"/>
    <col min="8965" max="8965" width="4.85546875" style="254" bestFit="1" customWidth="1"/>
    <col min="8966" max="8966" width="6.5703125" style="254" bestFit="1" customWidth="1"/>
    <col min="8967" max="8967" width="9.28515625" style="254" customWidth="1"/>
    <col min="8968" max="8968" width="7.28515625" style="254" customWidth="1"/>
    <col min="8969" max="8969" width="9.42578125" style="254" bestFit="1" customWidth="1"/>
    <col min="8970" max="8970" width="7.140625" style="254" bestFit="1" customWidth="1"/>
    <col min="8971" max="8971" width="11.28515625" style="254" bestFit="1" customWidth="1"/>
    <col min="8972" max="8972" width="7.7109375" style="254" bestFit="1" customWidth="1"/>
    <col min="8973" max="8973" width="10" style="254" bestFit="1" customWidth="1"/>
    <col min="8974" max="8974" width="8.85546875" style="254" customWidth="1"/>
    <col min="8975" max="8975" width="8.5703125" style="254" customWidth="1"/>
    <col min="8976" max="8976" width="6.7109375" style="254" customWidth="1"/>
    <col min="8977" max="8977" width="9.140625" style="254" bestFit="1" customWidth="1"/>
    <col min="8978" max="8978" width="8.5703125" style="254" bestFit="1" customWidth="1"/>
    <col min="8979" max="8979" width="8.140625" style="254" bestFit="1" customWidth="1"/>
    <col min="8980" max="8980" width="8.42578125" style="254" customWidth="1"/>
    <col min="8981" max="8981" width="7.28515625" style="254" customWidth="1"/>
    <col min="8982" max="8982" width="6" style="254" customWidth="1"/>
    <col min="8983" max="8983" width="6.85546875" style="254" customWidth="1"/>
    <col min="8984" max="8984" width="7.5703125" style="254" bestFit="1" customWidth="1"/>
    <col min="8985" max="8985" width="7.42578125" style="254" customWidth="1"/>
    <col min="8986" max="8986" width="8" style="254" customWidth="1"/>
    <col min="8987" max="8987" width="22.42578125" style="254" customWidth="1"/>
    <col min="8988" max="8988" width="26" style="254" bestFit="1" customWidth="1"/>
    <col min="8989" max="8989" width="11.7109375" style="254" bestFit="1" customWidth="1"/>
    <col min="8990" max="8990" width="3.28515625" style="254" bestFit="1" customWidth="1"/>
    <col min="8991" max="8991" width="4.7109375" style="254" bestFit="1" customWidth="1"/>
    <col min="8992" max="8992" width="16.140625" style="254" bestFit="1" customWidth="1"/>
    <col min="8993" max="8993" width="3.28515625" style="254" bestFit="1" customWidth="1"/>
    <col min="8994" max="8994" width="5.85546875" style="254" bestFit="1" customWidth="1"/>
    <col min="8995" max="8996" width="11.42578125" style="254"/>
    <col min="8997" max="8997" width="19" style="254" customWidth="1"/>
    <col min="8998" max="9210" width="11.42578125" style="254"/>
    <col min="9211" max="9212" width="2.7109375" style="254" customWidth="1"/>
    <col min="9213" max="9213" width="4.85546875" style="254" bestFit="1" customWidth="1"/>
    <col min="9214" max="9215" width="2.7109375" style="254" customWidth="1"/>
    <col min="9216" max="9216" width="4.85546875" style="254" bestFit="1" customWidth="1"/>
    <col min="9217" max="9217" width="7.42578125" style="254" bestFit="1" customWidth="1"/>
    <col min="9218" max="9218" width="7.85546875" style="254" bestFit="1" customWidth="1"/>
    <col min="9219" max="9219" width="5.28515625" style="254" bestFit="1" customWidth="1"/>
    <col min="9220" max="9220" width="6.5703125" style="254" bestFit="1" customWidth="1"/>
    <col min="9221" max="9221" width="4.85546875" style="254" bestFit="1" customWidth="1"/>
    <col min="9222" max="9222" width="6.5703125" style="254" bestFit="1" customWidth="1"/>
    <col min="9223" max="9223" width="9.28515625" style="254" customWidth="1"/>
    <col min="9224" max="9224" width="7.28515625" style="254" customWidth="1"/>
    <col min="9225" max="9225" width="9.42578125" style="254" bestFit="1" customWidth="1"/>
    <col min="9226" max="9226" width="7.140625" style="254" bestFit="1" customWidth="1"/>
    <col min="9227" max="9227" width="11.28515625" style="254" bestFit="1" customWidth="1"/>
    <col min="9228" max="9228" width="7.7109375" style="254" bestFit="1" customWidth="1"/>
    <col min="9229" max="9229" width="10" style="254" bestFit="1" customWidth="1"/>
    <col min="9230" max="9230" width="8.85546875" style="254" customWidth="1"/>
    <col min="9231" max="9231" width="8.5703125" style="254" customWidth="1"/>
    <col min="9232" max="9232" width="6.7109375" style="254" customWidth="1"/>
    <col min="9233" max="9233" width="9.140625" style="254" bestFit="1" customWidth="1"/>
    <col min="9234" max="9234" width="8.5703125" style="254" bestFit="1" customWidth="1"/>
    <col min="9235" max="9235" width="8.140625" style="254" bestFit="1" customWidth="1"/>
    <col min="9236" max="9236" width="8.42578125" style="254" customWidth="1"/>
    <col min="9237" max="9237" width="7.28515625" style="254" customWidth="1"/>
    <col min="9238" max="9238" width="6" style="254" customWidth="1"/>
    <col min="9239" max="9239" width="6.85546875" style="254" customWidth="1"/>
    <col min="9240" max="9240" width="7.5703125" style="254" bestFit="1" customWidth="1"/>
    <col min="9241" max="9241" width="7.42578125" style="254" customWidth="1"/>
    <col min="9242" max="9242" width="8" style="254" customWidth="1"/>
    <col min="9243" max="9243" width="22.42578125" style="254" customWidth="1"/>
    <col min="9244" max="9244" width="26" style="254" bestFit="1" customWidth="1"/>
    <col min="9245" max="9245" width="11.7109375" style="254" bestFit="1" customWidth="1"/>
    <col min="9246" max="9246" width="3.28515625" style="254" bestFit="1" customWidth="1"/>
    <col min="9247" max="9247" width="4.7109375" style="254" bestFit="1" customWidth="1"/>
    <col min="9248" max="9248" width="16.140625" style="254" bestFit="1" customWidth="1"/>
    <col min="9249" max="9249" width="3.28515625" style="254" bestFit="1" customWidth="1"/>
    <col min="9250" max="9250" width="5.85546875" style="254" bestFit="1" customWidth="1"/>
    <col min="9251" max="9252" width="11.42578125" style="254"/>
    <col min="9253" max="9253" width="19" style="254" customWidth="1"/>
    <col min="9254" max="9466" width="11.42578125" style="254"/>
    <col min="9467" max="9468" width="2.7109375" style="254" customWidth="1"/>
    <col min="9469" max="9469" width="4.85546875" style="254" bestFit="1" customWidth="1"/>
    <col min="9470" max="9471" width="2.7109375" style="254" customWidth="1"/>
    <col min="9472" max="9472" width="4.85546875" style="254" bestFit="1" customWidth="1"/>
    <col min="9473" max="9473" width="7.42578125" style="254" bestFit="1" customWidth="1"/>
    <col min="9474" max="9474" width="7.85546875" style="254" bestFit="1" customWidth="1"/>
    <col min="9475" max="9475" width="5.28515625" style="254" bestFit="1" customWidth="1"/>
    <col min="9476" max="9476" width="6.5703125" style="254" bestFit="1" customWidth="1"/>
    <col min="9477" max="9477" width="4.85546875" style="254" bestFit="1" customWidth="1"/>
    <col min="9478" max="9478" width="6.5703125" style="254" bestFit="1" customWidth="1"/>
    <col min="9479" max="9479" width="9.28515625" style="254" customWidth="1"/>
    <col min="9480" max="9480" width="7.28515625" style="254" customWidth="1"/>
    <col min="9481" max="9481" width="9.42578125" style="254" bestFit="1" customWidth="1"/>
    <col min="9482" max="9482" width="7.140625" style="254" bestFit="1" customWidth="1"/>
    <col min="9483" max="9483" width="11.28515625" style="254" bestFit="1" customWidth="1"/>
    <col min="9484" max="9484" width="7.7109375" style="254" bestFit="1" customWidth="1"/>
    <col min="9485" max="9485" width="10" style="254" bestFit="1" customWidth="1"/>
    <col min="9486" max="9486" width="8.85546875" style="254" customWidth="1"/>
    <col min="9487" max="9487" width="8.5703125" style="254" customWidth="1"/>
    <col min="9488" max="9488" width="6.7109375" style="254" customWidth="1"/>
    <col min="9489" max="9489" width="9.140625" style="254" bestFit="1" customWidth="1"/>
    <col min="9490" max="9490" width="8.5703125" style="254" bestFit="1" customWidth="1"/>
    <col min="9491" max="9491" width="8.140625" style="254" bestFit="1" customWidth="1"/>
    <col min="9492" max="9492" width="8.42578125" style="254" customWidth="1"/>
    <col min="9493" max="9493" width="7.28515625" style="254" customWidth="1"/>
    <col min="9494" max="9494" width="6" style="254" customWidth="1"/>
    <col min="9495" max="9495" width="6.85546875" style="254" customWidth="1"/>
    <col min="9496" max="9496" width="7.5703125" style="254" bestFit="1" customWidth="1"/>
    <col min="9497" max="9497" width="7.42578125" style="254" customWidth="1"/>
    <col min="9498" max="9498" width="8" style="254" customWidth="1"/>
    <col min="9499" max="9499" width="22.42578125" style="254" customWidth="1"/>
    <col min="9500" max="9500" width="26" style="254" bestFit="1" customWidth="1"/>
    <col min="9501" max="9501" width="11.7109375" style="254" bestFit="1" customWidth="1"/>
    <col min="9502" max="9502" width="3.28515625" style="254" bestFit="1" customWidth="1"/>
    <col min="9503" max="9503" width="4.7109375" style="254" bestFit="1" customWidth="1"/>
    <col min="9504" max="9504" width="16.140625" style="254" bestFit="1" customWidth="1"/>
    <col min="9505" max="9505" width="3.28515625" style="254" bestFit="1" customWidth="1"/>
    <col min="9506" max="9506" width="5.85546875" style="254" bestFit="1" customWidth="1"/>
    <col min="9507" max="9508" width="11.42578125" style="254"/>
    <col min="9509" max="9509" width="19" style="254" customWidth="1"/>
    <col min="9510" max="9722" width="11.42578125" style="254"/>
    <col min="9723" max="9724" width="2.7109375" style="254" customWidth="1"/>
    <col min="9725" max="9725" width="4.85546875" style="254" bestFit="1" customWidth="1"/>
    <col min="9726" max="9727" width="2.7109375" style="254" customWidth="1"/>
    <col min="9728" max="9728" width="4.85546875" style="254" bestFit="1" customWidth="1"/>
    <col min="9729" max="9729" width="7.42578125" style="254" bestFit="1" customWidth="1"/>
    <col min="9730" max="9730" width="7.85546875" style="254" bestFit="1" customWidth="1"/>
    <col min="9731" max="9731" width="5.28515625" style="254" bestFit="1" customWidth="1"/>
    <col min="9732" max="9732" width="6.5703125" style="254" bestFit="1" customWidth="1"/>
    <col min="9733" max="9733" width="4.85546875" style="254" bestFit="1" customWidth="1"/>
    <col min="9734" max="9734" width="6.5703125" style="254" bestFit="1" customWidth="1"/>
    <col min="9735" max="9735" width="9.28515625" style="254" customWidth="1"/>
    <col min="9736" max="9736" width="7.28515625" style="254" customWidth="1"/>
    <col min="9737" max="9737" width="9.42578125" style="254" bestFit="1" customWidth="1"/>
    <col min="9738" max="9738" width="7.140625" style="254" bestFit="1" customWidth="1"/>
    <col min="9739" max="9739" width="11.28515625" style="254" bestFit="1" customWidth="1"/>
    <col min="9740" max="9740" width="7.7109375" style="254" bestFit="1" customWidth="1"/>
    <col min="9741" max="9741" width="10" style="254" bestFit="1" customWidth="1"/>
    <col min="9742" max="9742" width="8.85546875" style="254" customWidth="1"/>
    <col min="9743" max="9743" width="8.5703125" style="254" customWidth="1"/>
    <col min="9744" max="9744" width="6.7109375" style="254" customWidth="1"/>
    <col min="9745" max="9745" width="9.140625" style="254" bestFit="1" customWidth="1"/>
    <col min="9746" max="9746" width="8.5703125" style="254" bestFit="1" customWidth="1"/>
    <col min="9747" max="9747" width="8.140625" style="254" bestFit="1" customWidth="1"/>
    <col min="9748" max="9748" width="8.42578125" style="254" customWidth="1"/>
    <col min="9749" max="9749" width="7.28515625" style="254" customWidth="1"/>
    <col min="9750" max="9750" width="6" style="254" customWidth="1"/>
    <col min="9751" max="9751" width="6.85546875" style="254" customWidth="1"/>
    <col min="9752" max="9752" width="7.5703125" style="254" bestFit="1" customWidth="1"/>
    <col min="9753" max="9753" width="7.42578125" style="254" customWidth="1"/>
    <col min="9754" max="9754" width="8" style="254" customWidth="1"/>
    <col min="9755" max="9755" width="22.42578125" style="254" customWidth="1"/>
    <col min="9756" max="9756" width="26" style="254" bestFit="1" customWidth="1"/>
    <col min="9757" max="9757" width="11.7109375" style="254" bestFit="1" customWidth="1"/>
    <col min="9758" max="9758" width="3.28515625" style="254" bestFit="1" customWidth="1"/>
    <col min="9759" max="9759" width="4.7109375" style="254" bestFit="1" customWidth="1"/>
    <col min="9760" max="9760" width="16.140625" style="254" bestFit="1" customWidth="1"/>
    <col min="9761" max="9761" width="3.28515625" style="254" bestFit="1" customWidth="1"/>
    <col min="9762" max="9762" width="5.85546875" style="254" bestFit="1" customWidth="1"/>
    <col min="9763" max="9764" width="11.42578125" style="254"/>
    <col min="9765" max="9765" width="19" style="254" customWidth="1"/>
    <col min="9766" max="9978" width="11.42578125" style="254"/>
    <col min="9979" max="9980" width="2.7109375" style="254" customWidth="1"/>
    <col min="9981" max="9981" width="4.85546875" style="254" bestFit="1" customWidth="1"/>
    <col min="9982" max="9983" width="2.7109375" style="254" customWidth="1"/>
    <col min="9984" max="9984" width="4.85546875" style="254" bestFit="1" customWidth="1"/>
    <col min="9985" max="9985" width="7.42578125" style="254" bestFit="1" customWidth="1"/>
    <col min="9986" max="9986" width="7.85546875" style="254" bestFit="1" customWidth="1"/>
    <col min="9987" max="9987" width="5.28515625" style="254" bestFit="1" customWidth="1"/>
    <col min="9988" max="9988" width="6.5703125" style="254" bestFit="1" customWidth="1"/>
    <col min="9989" max="9989" width="4.85546875" style="254" bestFit="1" customWidth="1"/>
    <col min="9990" max="9990" width="6.5703125" style="254" bestFit="1" customWidth="1"/>
    <col min="9991" max="9991" width="9.28515625" style="254" customWidth="1"/>
    <col min="9992" max="9992" width="7.28515625" style="254" customWidth="1"/>
    <col min="9993" max="9993" width="9.42578125" style="254" bestFit="1" customWidth="1"/>
    <col min="9994" max="9994" width="7.140625" style="254" bestFit="1" customWidth="1"/>
    <col min="9995" max="9995" width="11.28515625" style="254" bestFit="1" customWidth="1"/>
    <col min="9996" max="9996" width="7.7109375" style="254" bestFit="1" customWidth="1"/>
    <col min="9997" max="9997" width="10" style="254" bestFit="1" customWidth="1"/>
    <col min="9998" max="9998" width="8.85546875" style="254" customWidth="1"/>
    <col min="9999" max="9999" width="8.5703125" style="254" customWidth="1"/>
    <col min="10000" max="10000" width="6.7109375" style="254" customWidth="1"/>
    <col min="10001" max="10001" width="9.140625" style="254" bestFit="1" customWidth="1"/>
    <col min="10002" max="10002" width="8.5703125" style="254" bestFit="1" customWidth="1"/>
    <col min="10003" max="10003" width="8.140625" style="254" bestFit="1" customWidth="1"/>
    <col min="10004" max="10004" width="8.42578125" style="254" customWidth="1"/>
    <col min="10005" max="10005" width="7.28515625" style="254" customWidth="1"/>
    <col min="10006" max="10006" width="6" style="254" customWidth="1"/>
    <col min="10007" max="10007" width="6.85546875" style="254" customWidth="1"/>
    <col min="10008" max="10008" width="7.5703125" style="254" bestFit="1" customWidth="1"/>
    <col min="10009" max="10009" width="7.42578125" style="254" customWidth="1"/>
    <col min="10010" max="10010" width="8" style="254" customWidth="1"/>
    <col min="10011" max="10011" width="22.42578125" style="254" customWidth="1"/>
    <col min="10012" max="10012" width="26" style="254" bestFit="1" customWidth="1"/>
    <col min="10013" max="10013" width="11.7109375" style="254" bestFit="1" customWidth="1"/>
    <col min="10014" max="10014" width="3.28515625" style="254" bestFit="1" customWidth="1"/>
    <col min="10015" max="10015" width="4.7109375" style="254" bestFit="1" customWidth="1"/>
    <col min="10016" max="10016" width="16.140625" style="254" bestFit="1" customWidth="1"/>
    <col min="10017" max="10017" width="3.28515625" style="254" bestFit="1" customWidth="1"/>
    <col min="10018" max="10018" width="5.85546875" style="254" bestFit="1" customWidth="1"/>
    <col min="10019" max="10020" width="11.42578125" style="254"/>
    <col min="10021" max="10021" width="19" style="254" customWidth="1"/>
    <col min="10022" max="10234" width="11.42578125" style="254"/>
    <col min="10235" max="10236" width="2.7109375" style="254" customWidth="1"/>
    <col min="10237" max="10237" width="4.85546875" style="254" bestFit="1" customWidth="1"/>
    <col min="10238" max="10239" width="2.7109375" style="254" customWidth="1"/>
    <col min="10240" max="10240" width="4.85546875" style="254" bestFit="1" customWidth="1"/>
    <col min="10241" max="10241" width="7.42578125" style="254" bestFit="1" customWidth="1"/>
    <col min="10242" max="10242" width="7.85546875" style="254" bestFit="1" customWidth="1"/>
    <col min="10243" max="10243" width="5.28515625" style="254" bestFit="1" customWidth="1"/>
    <col min="10244" max="10244" width="6.5703125" style="254" bestFit="1" customWidth="1"/>
    <col min="10245" max="10245" width="4.85546875" style="254" bestFit="1" customWidth="1"/>
    <col min="10246" max="10246" width="6.5703125" style="254" bestFit="1" customWidth="1"/>
    <col min="10247" max="10247" width="9.28515625" style="254" customWidth="1"/>
    <col min="10248" max="10248" width="7.28515625" style="254" customWidth="1"/>
    <col min="10249" max="10249" width="9.42578125" style="254" bestFit="1" customWidth="1"/>
    <col min="10250" max="10250" width="7.140625" style="254" bestFit="1" customWidth="1"/>
    <col min="10251" max="10251" width="11.28515625" style="254" bestFit="1" customWidth="1"/>
    <col min="10252" max="10252" width="7.7109375" style="254" bestFit="1" customWidth="1"/>
    <col min="10253" max="10253" width="10" style="254" bestFit="1" customWidth="1"/>
    <col min="10254" max="10254" width="8.85546875" style="254" customWidth="1"/>
    <col min="10255" max="10255" width="8.5703125" style="254" customWidth="1"/>
    <col min="10256" max="10256" width="6.7109375" style="254" customWidth="1"/>
    <col min="10257" max="10257" width="9.140625" style="254" bestFit="1" customWidth="1"/>
    <col min="10258" max="10258" width="8.5703125" style="254" bestFit="1" customWidth="1"/>
    <col min="10259" max="10259" width="8.140625" style="254" bestFit="1" customWidth="1"/>
    <col min="10260" max="10260" width="8.42578125" style="254" customWidth="1"/>
    <col min="10261" max="10261" width="7.28515625" style="254" customWidth="1"/>
    <col min="10262" max="10262" width="6" style="254" customWidth="1"/>
    <col min="10263" max="10263" width="6.85546875" style="254" customWidth="1"/>
    <col min="10264" max="10264" width="7.5703125" style="254" bestFit="1" customWidth="1"/>
    <col min="10265" max="10265" width="7.42578125" style="254" customWidth="1"/>
    <col min="10266" max="10266" width="8" style="254" customWidth="1"/>
    <col min="10267" max="10267" width="22.42578125" style="254" customWidth="1"/>
    <col min="10268" max="10268" width="26" style="254" bestFit="1" customWidth="1"/>
    <col min="10269" max="10269" width="11.7109375" style="254" bestFit="1" customWidth="1"/>
    <col min="10270" max="10270" width="3.28515625" style="254" bestFit="1" customWidth="1"/>
    <col min="10271" max="10271" width="4.7109375" style="254" bestFit="1" customWidth="1"/>
    <col min="10272" max="10272" width="16.140625" style="254" bestFit="1" customWidth="1"/>
    <col min="10273" max="10273" width="3.28515625" style="254" bestFit="1" customWidth="1"/>
    <col min="10274" max="10274" width="5.85546875" style="254" bestFit="1" customWidth="1"/>
    <col min="10275" max="10276" width="11.42578125" style="254"/>
    <col min="10277" max="10277" width="19" style="254" customWidth="1"/>
    <col min="10278" max="10490" width="11.42578125" style="254"/>
    <col min="10491" max="10492" width="2.7109375" style="254" customWidth="1"/>
    <col min="10493" max="10493" width="4.85546875" style="254" bestFit="1" customWidth="1"/>
    <col min="10494" max="10495" width="2.7109375" style="254" customWidth="1"/>
    <col min="10496" max="10496" width="4.85546875" style="254" bestFit="1" customWidth="1"/>
    <col min="10497" max="10497" width="7.42578125" style="254" bestFit="1" customWidth="1"/>
    <col min="10498" max="10498" width="7.85546875" style="254" bestFit="1" customWidth="1"/>
    <col min="10499" max="10499" width="5.28515625" style="254" bestFit="1" customWidth="1"/>
    <col min="10500" max="10500" width="6.5703125" style="254" bestFit="1" customWidth="1"/>
    <col min="10501" max="10501" width="4.85546875" style="254" bestFit="1" customWidth="1"/>
    <col min="10502" max="10502" width="6.5703125" style="254" bestFit="1" customWidth="1"/>
    <col min="10503" max="10503" width="9.28515625" style="254" customWidth="1"/>
    <col min="10504" max="10504" width="7.28515625" style="254" customWidth="1"/>
    <col min="10505" max="10505" width="9.42578125" style="254" bestFit="1" customWidth="1"/>
    <col min="10506" max="10506" width="7.140625" style="254" bestFit="1" customWidth="1"/>
    <col min="10507" max="10507" width="11.28515625" style="254" bestFit="1" customWidth="1"/>
    <col min="10508" max="10508" width="7.7109375" style="254" bestFit="1" customWidth="1"/>
    <col min="10509" max="10509" width="10" style="254" bestFit="1" customWidth="1"/>
    <col min="10510" max="10510" width="8.85546875" style="254" customWidth="1"/>
    <col min="10511" max="10511" width="8.5703125" style="254" customWidth="1"/>
    <col min="10512" max="10512" width="6.7109375" style="254" customWidth="1"/>
    <col min="10513" max="10513" width="9.140625" style="254" bestFit="1" customWidth="1"/>
    <col min="10514" max="10514" width="8.5703125" style="254" bestFit="1" customWidth="1"/>
    <col min="10515" max="10515" width="8.140625" style="254" bestFit="1" customWidth="1"/>
    <col min="10516" max="10516" width="8.42578125" style="254" customWidth="1"/>
    <col min="10517" max="10517" width="7.28515625" style="254" customWidth="1"/>
    <col min="10518" max="10518" width="6" style="254" customWidth="1"/>
    <col min="10519" max="10519" width="6.85546875" style="254" customWidth="1"/>
    <col min="10520" max="10520" width="7.5703125" style="254" bestFit="1" customWidth="1"/>
    <col min="10521" max="10521" width="7.42578125" style="254" customWidth="1"/>
    <col min="10522" max="10522" width="8" style="254" customWidth="1"/>
    <col min="10523" max="10523" width="22.42578125" style="254" customWidth="1"/>
    <col min="10524" max="10524" width="26" style="254" bestFit="1" customWidth="1"/>
    <col min="10525" max="10525" width="11.7109375" style="254" bestFit="1" customWidth="1"/>
    <col min="10526" max="10526" width="3.28515625" style="254" bestFit="1" customWidth="1"/>
    <col min="10527" max="10527" width="4.7109375" style="254" bestFit="1" customWidth="1"/>
    <col min="10528" max="10528" width="16.140625" style="254" bestFit="1" customWidth="1"/>
    <col min="10529" max="10529" width="3.28515625" style="254" bestFit="1" customWidth="1"/>
    <col min="10530" max="10530" width="5.85546875" style="254" bestFit="1" customWidth="1"/>
    <col min="10531" max="10532" width="11.42578125" style="254"/>
    <col min="10533" max="10533" width="19" style="254" customWidth="1"/>
    <col min="10534" max="10746" width="11.42578125" style="254"/>
    <col min="10747" max="10748" width="2.7109375" style="254" customWidth="1"/>
    <col min="10749" max="10749" width="4.85546875" style="254" bestFit="1" customWidth="1"/>
    <col min="10750" max="10751" width="2.7109375" style="254" customWidth="1"/>
    <col min="10752" max="10752" width="4.85546875" style="254" bestFit="1" customWidth="1"/>
    <col min="10753" max="10753" width="7.42578125" style="254" bestFit="1" customWidth="1"/>
    <col min="10754" max="10754" width="7.85546875" style="254" bestFit="1" customWidth="1"/>
    <col min="10755" max="10755" width="5.28515625" style="254" bestFit="1" customWidth="1"/>
    <col min="10756" max="10756" width="6.5703125" style="254" bestFit="1" customWidth="1"/>
    <col min="10757" max="10757" width="4.85546875" style="254" bestFit="1" customWidth="1"/>
    <col min="10758" max="10758" width="6.5703125" style="254" bestFit="1" customWidth="1"/>
    <col min="10759" max="10759" width="9.28515625" style="254" customWidth="1"/>
    <col min="10760" max="10760" width="7.28515625" style="254" customWidth="1"/>
    <col min="10761" max="10761" width="9.42578125" style="254" bestFit="1" customWidth="1"/>
    <col min="10762" max="10762" width="7.140625" style="254" bestFit="1" customWidth="1"/>
    <col min="10763" max="10763" width="11.28515625" style="254" bestFit="1" customWidth="1"/>
    <col min="10764" max="10764" width="7.7109375" style="254" bestFit="1" customWidth="1"/>
    <col min="10765" max="10765" width="10" style="254" bestFit="1" customWidth="1"/>
    <col min="10766" max="10766" width="8.85546875" style="254" customWidth="1"/>
    <col min="10767" max="10767" width="8.5703125" style="254" customWidth="1"/>
    <col min="10768" max="10768" width="6.7109375" style="254" customWidth="1"/>
    <col min="10769" max="10769" width="9.140625" style="254" bestFit="1" customWidth="1"/>
    <col min="10770" max="10770" width="8.5703125" style="254" bestFit="1" customWidth="1"/>
    <col min="10771" max="10771" width="8.140625" style="254" bestFit="1" customWidth="1"/>
    <col min="10772" max="10772" width="8.42578125" style="254" customWidth="1"/>
    <col min="10773" max="10773" width="7.28515625" style="254" customWidth="1"/>
    <col min="10774" max="10774" width="6" style="254" customWidth="1"/>
    <col min="10775" max="10775" width="6.85546875" style="254" customWidth="1"/>
    <col min="10776" max="10776" width="7.5703125" style="254" bestFit="1" customWidth="1"/>
    <col min="10777" max="10777" width="7.42578125" style="254" customWidth="1"/>
    <col min="10778" max="10778" width="8" style="254" customWidth="1"/>
    <col min="10779" max="10779" width="22.42578125" style="254" customWidth="1"/>
    <col min="10780" max="10780" width="26" style="254" bestFit="1" customWidth="1"/>
    <col min="10781" max="10781" width="11.7109375" style="254" bestFit="1" customWidth="1"/>
    <col min="10782" max="10782" width="3.28515625" style="254" bestFit="1" customWidth="1"/>
    <col min="10783" max="10783" width="4.7109375" style="254" bestFit="1" customWidth="1"/>
    <col min="10784" max="10784" width="16.140625" style="254" bestFit="1" customWidth="1"/>
    <col min="10785" max="10785" width="3.28515625" style="254" bestFit="1" customWidth="1"/>
    <col min="10786" max="10786" width="5.85546875" style="254" bestFit="1" customWidth="1"/>
    <col min="10787" max="10788" width="11.42578125" style="254"/>
    <col min="10789" max="10789" width="19" style="254" customWidth="1"/>
    <col min="10790" max="11002" width="11.42578125" style="254"/>
    <col min="11003" max="11004" width="2.7109375" style="254" customWidth="1"/>
    <col min="11005" max="11005" width="4.85546875" style="254" bestFit="1" customWidth="1"/>
    <col min="11006" max="11007" width="2.7109375" style="254" customWidth="1"/>
    <col min="11008" max="11008" width="4.85546875" style="254" bestFit="1" customWidth="1"/>
    <col min="11009" max="11009" width="7.42578125" style="254" bestFit="1" customWidth="1"/>
    <col min="11010" max="11010" width="7.85546875" style="254" bestFit="1" customWidth="1"/>
    <col min="11011" max="11011" width="5.28515625" style="254" bestFit="1" customWidth="1"/>
    <col min="11012" max="11012" width="6.5703125" style="254" bestFit="1" customWidth="1"/>
    <col min="11013" max="11013" width="4.85546875" style="254" bestFit="1" customWidth="1"/>
    <col min="11014" max="11014" width="6.5703125" style="254" bestFit="1" customWidth="1"/>
    <col min="11015" max="11015" width="9.28515625" style="254" customWidth="1"/>
    <col min="11016" max="11016" width="7.28515625" style="254" customWidth="1"/>
    <col min="11017" max="11017" width="9.42578125" style="254" bestFit="1" customWidth="1"/>
    <col min="11018" max="11018" width="7.140625" style="254" bestFit="1" customWidth="1"/>
    <col min="11019" max="11019" width="11.28515625" style="254" bestFit="1" customWidth="1"/>
    <col min="11020" max="11020" width="7.7109375" style="254" bestFit="1" customWidth="1"/>
    <col min="11021" max="11021" width="10" style="254" bestFit="1" customWidth="1"/>
    <col min="11022" max="11022" width="8.85546875" style="254" customWidth="1"/>
    <col min="11023" max="11023" width="8.5703125" style="254" customWidth="1"/>
    <col min="11024" max="11024" width="6.7109375" style="254" customWidth="1"/>
    <col min="11025" max="11025" width="9.140625" style="254" bestFit="1" customWidth="1"/>
    <col min="11026" max="11026" width="8.5703125" style="254" bestFit="1" customWidth="1"/>
    <col min="11027" max="11027" width="8.140625" style="254" bestFit="1" customWidth="1"/>
    <col min="11028" max="11028" width="8.42578125" style="254" customWidth="1"/>
    <col min="11029" max="11029" width="7.28515625" style="254" customWidth="1"/>
    <col min="11030" max="11030" width="6" style="254" customWidth="1"/>
    <col min="11031" max="11031" width="6.85546875" style="254" customWidth="1"/>
    <col min="11032" max="11032" width="7.5703125" style="254" bestFit="1" customWidth="1"/>
    <col min="11033" max="11033" width="7.42578125" style="254" customWidth="1"/>
    <col min="11034" max="11034" width="8" style="254" customWidth="1"/>
    <col min="11035" max="11035" width="22.42578125" style="254" customWidth="1"/>
    <col min="11036" max="11036" width="26" style="254" bestFit="1" customWidth="1"/>
    <col min="11037" max="11037" width="11.7109375" style="254" bestFit="1" customWidth="1"/>
    <col min="11038" max="11038" width="3.28515625" style="254" bestFit="1" customWidth="1"/>
    <col min="11039" max="11039" width="4.7109375" style="254" bestFit="1" customWidth="1"/>
    <col min="11040" max="11040" width="16.140625" style="254" bestFit="1" customWidth="1"/>
    <col min="11041" max="11041" width="3.28515625" style="254" bestFit="1" customWidth="1"/>
    <col min="11042" max="11042" width="5.85546875" style="254" bestFit="1" customWidth="1"/>
    <col min="11043" max="11044" width="11.42578125" style="254"/>
    <col min="11045" max="11045" width="19" style="254" customWidth="1"/>
    <col min="11046" max="11258" width="11.42578125" style="254"/>
    <col min="11259" max="11260" width="2.7109375" style="254" customWidth="1"/>
    <col min="11261" max="11261" width="4.85546875" style="254" bestFit="1" customWidth="1"/>
    <col min="11262" max="11263" width="2.7109375" style="254" customWidth="1"/>
    <col min="11264" max="11264" width="4.85546875" style="254" bestFit="1" customWidth="1"/>
    <col min="11265" max="11265" width="7.42578125" style="254" bestFit="1" customWidth="1"/>
    <col min="11266" max="11266" width="7.85546875" style="254" bestFit="1" customWidth="1"/>
    <col min="11267" max="11267" width="5.28515625" style="254" bestFit="1" customWidth="1"/>
    <col min="11268" max="11268" width="6.5703125" style="254" bestFit="1" customWidth="1"/>
    <col min="11269" max="11269" width="4.85546875" style="254" bestFit="1" customWidth="1"/>
    <col min="11270" max="11270" width="6.5703125" style="254" bestFit="1" customWidth="1"/>
    <col min="11271" max="11271" width="9.28515625" style="254" customWidth="1"/>
    <col min="11272" max="11272" width="7.28515625" style="254" customWidth="1"/>
    <col min="11273" max="11273" width="9.42578125" style="254" bestFit="1" customWidth="1"/>
    <col min="11274" max="11274" width="7.140625" style="254" bestFit="1" customWidth="1"/>
    <col min="11275" max="11275" width="11.28515625" style="254" bestFit="1" customWidth="1"/>
    <col min="11276" max="11276" width="7.7109375" style="254" bestFit="1" customWidth="1"/>
    <col min="11277" max="11277" width="10" style="254" bestFit="1" customWidth="1"/>
    <col min="11278" max="11278" width="8.85546875" style="254" customWidth="1"/>
    <col min="11279" max="11279" width="8.5703125" style="254" customWidth="1"/>
    <col min="11280" max="11280" width="6.7109375" style="254" customWidth="1"/>
    <col min="11281" max="11281" width="9.140625" style="254" bestFit="1" customWidth="1"/>
    <col min="11282" max="11282" width="8.5703125" style="254" bestFit="1" customWidth="1"/>
    <col min="11283" max="11283" width="8.140625" style="254" bestFit="1" customWidth="1"/>
    <col min="11284" max="11284" width="8.42578125" style="254" customWidth="1"/>
    <col min="11285" max="11285" width="7.28515625" style="254" customWidth="1"/>
    <col min="11286" max="11286" width="6" style="254" customWidth="1"/>
    <col min="11287" max="11287" width="6.85546875" style="254" customWidth="1"/>
    <col min="11288" max="11288" width="7.5703125" style="254" bestFit="1" customWidth="1"/>
    <col min="11289" max="11289" width="7.42578125" style="254" customWidth="1"/>
    <col min="11290" max="11290" width="8" style="254" customWidth="1"/>
    <col min="11291" max="11291" width="22.42578125" style="254" customWidth="1"/>
    <col min="11292" max="11292" width="26" style="254" bestFit="1" customWidth="1"/>
    <col min="11293" max="11293" width="11.7109375" style="254" bestFit="1" customWidth="1"/>
    <col min="11294" max="11294" width="3.28515625" style="254" bestFit="1" customWidth="1"/>
    <col min="11295" max="11295" width="4.7109375" style="254" bestFit="1" customWidth="1"/>
    <col min="11296" max="11296" width="16.140625" style="254" bestFit="1" customWidth="1"/>
    <col min="11297" max="11297" width="3.28515625" style="254" bestFit="1" customWidth="1"/>
    <col min="11298" max="11298" width="5.85546875" style="254" bestFit="1" customWidth="1"/>
    <col min="11299" max="11300" width="11.42578125" style="254"/>
    <col min="11301" max="11301" width="19" style="254" customWidth="1"/>
    <col min="11302" max="11514" width="11.42578125" style="254"/>
    <col min="11515" max="11516" width="2.7109375" style="254" customWidth="1"/>
    <col min="11517" max="11517" width="4.85546875" style="254" bestFit="1" customWidth="1"/>
    <col min="11518" max="11519" width="2.7109375" style="254" customWidth="1"/>
    <col min="11520" max="11520" width="4.85546875" style="254" bestFit="1" customWidth="1"/>
    <col min="11521" max="11521" width="7.42578125" style="254" bestFit="1" customWidth="1"/>
    <col min="11522" max="11522" width="7.85546875" style="254" bestFit="1" customWidth="1"/>
    <col min="11523" max="11523" width="5.28515625" style="254" bestFit="1" customWidth="1"/>
    <col min="11524" max="11524" width="6.5703125" style="254" bestFit="1" customWidth="1"/>
    <col min="11525" max="11525" width="4.85546875" style="254" bestFit="1" customWidth="1"/>
    <col min="11526" max="11526" width="6.5703125" style="254" bestFit="1" customWidth="1"/>
    <col min="11527" max="11527" width="9.28515625" style="254" customWidth="1"/>
    <col min="11528" max="11528" width="7.28515625" style="254" customWidth="1"/>
    <col min="11529" max="11529" width="9.42578125" style="254" bestFit="1" customWidth="1"/>
    <col min="11530" max="11530" width="7.140625" style="254" bestFit="1" customWidth="1"/>
    <col min="11531" max="11531" width="11.28515625" style="254" bestFit="1" customWidth="1"/>
    <col min="11532" max="11532" width="7.7109375" style="254" bestFit="1" customWidth="1"/>
    <col min="11533" max="11533" width="10" style="254" bestFit="1" customWidth="1"/>
    <col min="11534" max="11534" width="8.85546875" style="254" customWidth="1"/>
    <col min="11535" max="11535" width="8.5703125" style="254" customWidth="1"/>
    <col min="11536" max="11536" width="6.7109375" style="254" customWidth="1"/>
    <col min="11537" max="11537" width="9.140625" style="254" bestFit="1" customWidth="1"/>
    <col min="11538" max="11538" width="8.5703125" style="254" bestFit="1" customWidth="1"/>
    <col min="11539" max="11539" width="8.140625" style="254" bestFit="1" customWidth="1"/>
    <col min="11540" max="11540" width="8.42578125" style="254" customWidth="1"/>
    <col min="11541" max="11541" width="7.28515625" style="254" customWidth="1"/>
    <col min="11542" max="11542" width="6" style="254" customWidth="1"/>
    <col min="11543" max="11543" width="6.85546875" style="254" customWidth="1"/>
    <col min="11544" max="11544" width="7.5703125" style="254" bestFit="1" customWidth="1"/>
    <col min="11545" max="11545" width="7.42578125" style="254" customWidth="1"/>
    <col min="11546" max="11546" width="8" style="254" customWidth="1"/>
    <col min="11547" max="11547" width="22.42578125" style="254" customWidth="1"/>
    <col min="11548" max="11548" width="26" style="254" bestFit="1" customWidth="1"/>
    <col min="11549" max="11549" width="11.7109375" style="254" bestFit="1" customWidth="1"/>
    <col min="11550" max="11550" width="3.28515625" style="254" bestFit="1" customWidth="1"/>
    <col min="11551" max="11551" width="4.7109375" style="254" bestFit="1" customWidth="1"/>
    <col min="11552" max="11552" width="16.140625" style="254" bestFit="1" customWidth="1"/>
    <col min="11553" max="11553" width="3.28515625" style="254" bestFit="1" customWidth="1"/>
    <col min="11554" max="11554" width="5.85546875" style="254" bestFit="1" customWidth="1"/>
    <col min="11555" max="11556" width="11.42578125" style="254"/>
    <col min="11557" max="11557" width="19" style="254" customWidth="1"/>
    <col min="11558" max="11770" width="11.42578125" style="254"/>
    <col min="11771" max="11772" width="2.7109375" style="254" customWidth="1"/>
    <col min="11773" max="11773" width="4.85546875" style="254" bestFit="1" customWidth="1"/>
    <col min="11774" max="11775" width="2.7109375" style="254" customWidth="1"/>
    <col min="11776" max="11776" width="4.85546875" style="254" bestFit="1" customWidth="1"/>
    <col min="11777" max="11777" width="7.42578125" style="254" bestFit="1" customWidth="1"/>
    <col min="11778" max="11778" width="7.85546875" style="254" bestFit="1" customWidth="1"/>
    <col min="11779" max="11779" width="5.28515625" style="254" bestFit="1" customWidth="1"/>
    <col min="11780" max="11780" width="6.5703125" style="254" bestFit="1" customWidth="1"/>
    <col min="11781" max="11781" width="4.85546875" style="254" bestFit="1" customWidth="1"/>
    <col min="11782" max="11782" width="6.5703125" style="254" bestFit="1" customWidth="1"/>
    <col min="11783" max="11783" width="9.28515625" style="254" customWidth="1"/>
    <col min="11784" max="11784" width="7.28515625" style="254" customWidth="1"/>
    <col min="11785" max="11785" width="9.42578125" style="254" bestFit="1" customWidth="1"/>
    <col min="11786" max="11786" width="7.140625" style="254" bestFit="1" customWidth="1"/>
    <col min="11787" max="11787" width="11.28515625" style="254" bestFit="1" customWidth="1"/>
    <col min="11788" max="11788" width="7.7109375" style="254" bestFit="1" customWidth="1"/>
    <col min="11789" max="11789" width="10" style="254" bestFit="1" customWidth="1"/>
    <col min="11790" max="11790" width="8.85546875" style="254" customWidth="1"/>
    <col min="11791" max="11791" width="8.5703125" style="254" customWidth="1"/>
    <col min="11792" max="11792" width="6.7109375" style="254" customWidth="1"/>
    <col min="11793" max="11793" width="9.140625" style="254" bestFit="1" customWidth="1"/>
    <col min="11794" max="11794" width="8.5703125" style="254" bestFit="1" customWidth="1"/>
    <col min="11795" max="11795" width="8.140625" style="254" bestFit="1" customWidth="1"/>
    <col min="11796" max="11796" width="8.42578125" style="254" customWidth="1"/>
    <col min="11797" max="11797" width="7.28515625" style="254" customWidth="1"/>
    <col min="11798" max="11798" width="6" style="254" customWidth="1"/>
    <col min="11799" max="11799" width="6.85546875" style="254" customWidth="1"/>
    <col min="11800" max="11800" width="7.5703125" style="254" bestFit="1" customWidth="1"/>
    <col min="11801" max="11801" width="7.42578125" style="254" customWidth="1"/>
    <col min="11802" max="11802" width="8" style="254" customWidth="1"/>
    <col min="11803" max="11803" width="22.42578125" style="254" customWidth="1"/>
    <col min="11804" max="11804" width="26" style="254" bestFit="1" customWidth="1"/>
    <col min="11805" max="11805" width="11.7109375" style="254" bestFit="1" customWidth="1"/>
    <col min="11806" max="11806" width="3.28515625" style="254" bestFit="1" customWidth="1"/>
    <col min="11807" max="11807" width="4.7109375" style="254" bestFit="1" customWidth="1"/>
    <col min="11808" max="11808" width="16.140625" style="254" bestFit="1" customWidth="1"/>
    <col min="11809" max="11809" width="3.28515625" style="254" bestFit="1" customWidth="1"/>
    <col min="11810" max="11810" width="5.85546875" style="254" bestFit="1" customWidth="1"/>
    <col min="11811" max="11812" width="11.42578125" style="254"/>
    <col min="11813" max="11813" width="19" style="254" customWidth="1"/>
    <col min="11814" max="12026" width="11.42578125" style="254"/>
    <col min="12027" max="12028" width="2.7109375" style="254" customWidth="1"/>
    <col min="12029" max="12029" width="4.85546875" style="254" bestFit="1" customWidth="1"/>
    <col min="12030" max="12031" width="2.7109375" style="254" customWidth="1"/>
    <col min="12032" max="12032" width="4.85546875" style="254" bestFit="1" customWidth="1"/>
    <col min="12033" max="12033" width="7.42578125" style="254" bestFit="1" customWidth="1"/>
    <col min="12034" max="12034" width="7.85546875" style="254" bestFit="1" customWidth="1"/>
    <col min="12035" max="12035" width="5.28515625" style="254" bestFit="1" customWidth="1"/>
    <col min="12036" max="12036" width="6.5703125" style="254" bestFit="1" customWidth="1"/>
    <col min="12037" max="12037" width="4.85546875" style="254" bestFit="1" customWidth="1"/>
    <col min="12038" max="12038" width="6.5703125" style="254" bestFit="1" customWidth="1"/>
    <col min="12039" max="12039" width="9.28515625" style="254" customWidth="1"/>
    <col min="12040" max="12040" width="7.28515625" style="254" customWidth="1"/>
    <col min="12041" max="12041" width="9.42578125" style="254" bestFit="1" customWidth="1"/>
    <col min="12042" max="12042" width="7.140625" style="254" bestFit="1" customWidth="1"/>
    <col min="12043" max="12043" width="11.28515625" style="254" bestFit="1" customWidth="1"/>
    <col min="12044" max="12044" width="7.7109375" style="254" bestFit="1" customWidth="1"/>
    <col min="12045" max="12045" width="10" style="254" bestFit="1" customWidth="1"/>
    <col min="12046" max="12046" width="8.85546875" style="254" customWidth="1"/>
    <col min="12047" max="12047" width="8.5703125" style="254" customWidth="1"/>
    <col min="12048" max="12048" width="6.7109375" style="254" customWidth="1"/>
    <col min="12049" max="12049" width="9.140625" style="254" bestFit="1" customWidth="1"/>
    <col min="12050" max="12050" width="8.5703125" style="254" bestFit="1" customWidth="1"/>
    <col min="12051" max="12051" width="8.140625" style="254" bestFit="1" customWidth="1"/>
    <col min="12052" max="12052" width="8.42578125" style="254" customWidth="1"/>
    <col min="12053" max="12053" width="7.28515625" style="254" customWidth="1"/>
    <col min="12054" max="12054" width="6" style="254" customWidth="1"/>
    <col min="12055" max="12055" width="6.85546875" style="254" customWidth="1"/>
    <col min="12056" max="12056" width="7.5703125" style="254" bestFit="1" customWidth="1"/>
    <col min="12057" max="12057" width="7.42578125" style="254" customWidth="1"/>
    <col min="12058" max="12058" width="8" style="254" customWidth="1"/>
    <col min="12059" max="12059" width="22.42578125" style="254" customWidth="1"/>
    <col min="12060" max="12060" width="26" style="254" bestFit="1" customWidth="1"/>
    <col min="12061" max="12061" width="11.7109375" style="254" bestFit="1" customWidth="1"/>
    <col min="12062" max="12062" width="3.28515625" style="254" bestFit="1" customWidth="1"/>
    <col min="12063" max="12063" width="4.7109375" style="254" bestFit="1" customWidth="1"/>
    <col min="12064" max="12064" width="16.140625" style="254" bestFit="1" customWidth="1"/>
    <col min="12065" max="12065" width="3.28515625" style="254" bestFit="1" customWidth="1"/>
    <col min="12066" max="12066" width="5.85546875" style="254" bestFit="1" customWidth="1"/>
    <col min="12067" max="12068" width="11.42578125" style="254"/>
    <col min="12069" max="12069" width="19" style="254" customWidth="1"/>
    <col min="12070" max="12282" width="11.42578125" style="254"/>
    <col min="12283" max="12284" width="2.7109375" style="254" customWidth="1"/>
    <col min="12285" max="12285" width="4.85546875" style="254" bestFit="1" customWidth="1"/>
    <col min="12286" max="12287" width="2.7109375" style="254" customWidth="1"/>
    <col min="12288" max="12288" width="4.85546875" style="254" bestFit="1" customWidth="1"/>
    <col min="12289" max="12289" width="7.42578125" style="254" bestFit="1" customWidth="1"/>
    <col min="12290" max="12290" width="7.85546875" style="254" bestFit="1" customWidth="1"/>
    <col min="12291" max="12291" width="5.28515625" style="254" bestFit="1" customWidth="1"/>
    <col min="12292" max="12292" width="6.5703125" style="254" bestFit="1" customWidth="1"/>
    <col min="12293" max="12293" width="4.85546875" style="254" bestFit="1" customWidth="1"/>
    <col min="12294" max="12294" width="6.5703125" style="254" bestFit="1" customWidth="1"/>
    <col min="12295" max="12295" width="9.28515625" style="254" customWidth="1"/>
    <col min="12296" max="12296" width="7.28515625" style="254" customWidth="1"/>
    <col min="12297" max="12297" width="9.42578125" style="254" bestFit="1" customWidth="1"/>
    <col min="12298" max="12298" width="7.140625" style="254" bestFit="1" customWidth="1"/>
    <col min="12299" max="12299" width="11.28515625" style="254" bestFit="1" customWidth="1"/>
    <col min="12300" max="12300" width="7.7109375" style="254" bestFit="1" customWidth="1"/>
    <col min="12301" max="12301" width="10" style="254" bestFit="1" customWidth="1"/>
    <col min="12302" max="12302" width="8.85546875" style="254" customWidth="1"/>
    <col min="12303" max="12303" width="8.5703125" style="254" customWidth="1"/>
    <col min="12304" max="12304" width="6.7109375" style="254" customWidth="1"/>
    <col min="12305" max="12305" width="9.140625" style="254" bestFit="1" customWidth="1"/>
    <col min="12306" max="12306" width="8.5703125" style="254" bestFit="1" customWidth="1"/>
    <col min="12307" max="12307" width="8.140625" style="254" bestFit="1" customWidth="1"/>
    <col min="12308" max="12308" width="8.42578125" style="254" customWidth="1"/>
    <col min="12309" max="12309" width="7.28515625" style="254" customWidth="1"/>
    <col min="12310" max="12310" width="6" style="254" customWidth="1"/>
    <col min="12311" max="12311" width="6.85546875" style="254" customWidth="1"/>
    <col min="12312" max="12312" width="7.5703125" style="254" bestFit="1" customWidth="1"/>
    <col min="12313" max="12313" width="7.42578125" style="254" customWidth="1"/>
    <col min="12314" max="12314" width="8" style="254" customWidth="1"/>
    <col min="12315" max="12315" width="22.42578125" style="254" customWidth="1"/>
    <col min="12316" max="12316" width="26" style="254" bestFit="1" customWidth="1"/>
    <col min="12317" max="12317" width="11.7109375" style="254" bestFit="1" customWidth="1"/>
    <col min="12318" max="12318" width="3.28515625" style="254" bestFit="1" customWidth="1"/>
    <col min="12319" max="12319" width="4.7109375" style="254" bestFit="1" customWidth="1"/>
    <col min="12320" max="12320" width="16.140625" style="254" bestFit="1" customWidth="1"/>
    <col min="12321" max="12321" width="3.28515625" style="254" bestFit="1" customWidth="1"/>
    <col min="12322" max="12322" width="5.85546875" style="254" bestFit="1" customWidth="1"/>
    <col min="12323" max="12324" width="11.42578125" style="254"/>
    <col min="12325" max="12325" width="19" style="254" customWidth="1"/>
    <col min="12326" max="12538" width="11.42578125" style="254"/>
    <col min="12539" max="12540" width="2.7109375" style="254" customWidth="1"/>
    <col min="12541" max="12541" width="4.85546875" style="254" bestFit="1" customWidth="1"/>
    <col min="12542" max="12543" width="2.7109375" style="254" customWidth="1"/>
    <col min="12544" max="12544" width="4.85546875" style="254" bestFit="1" customWidth="1"/>
    <col min="12545" max="12545" width="7.42578125" style="254" bestFit="1" customWidth="1"/>
    <col min="12546" max="12546" width="7.85546875" style="254" bestFit="1" customWidth="1"/>
    <col min="12547" max="12547" width="5.28515625" style="254" bestFit="1" customWidth="1"/>
    <col min="12548" max="12548" width="6.5703125" style="254" bestFit="1" customWidth="1"/>
    <col min="12549" max="12549" width="4.85546875" style="254" bestFit="1" customWidth="1"/>
    <col min="12550" max="12550" width="6.5703125" style="254" bestFit="1" customWidth="1"/>
    <col min="12551" max="12551" width="9.28515625" style="254" customWidth="1"/>
    <col min="12552" max="12552" width="7.28515625" style="254" customWidth="1"/>
    <col min="12553" max="12553" width="9.42578125" style="254" bestFit="1" customWidth="1"/>
    <col min="12554" max="12554" width="7.140625" style="254" bestFit="1" customWidth="1"/>
    <col min="12555" max="12555" width="11.28515625" style="254" bestFit="1" customWidth="1"/>
    <col min="12556" max="12556" width="7.7109375" style="254" bestFit="1" customWidth="1"/>
    <col min="12557" max="12557" width="10" style="254" bestFit="1" customWidth="1"/>
    <col min="12558" max="12558" width="8.85546875" style="254" customWidth="1"/>
    <col min="12559" max="12559" width="8.5703125" style="254" customWidth="1"/>
    <col min="12560" max="12560" width="6.7109375" style="254" customWidth="1"/>
    <col min="12561" max="12561" width="9.140625" style="254" bestFit="1" customWidth="1"/>
    <col min="12562" max="12562" width="8.5703125" style="254" bestFit="1" customWidth="1"/>
    <col min="12563" max="12563" width="8.140625" style="254" bestFit="1" customWidth="1"/>
    <col min="12564" max="12564" width="8.42578125" style="254" customWidth="1"/>
    <col min="12565" max="12565" width="7.28515625" style="254" customWidth="1"/>
    <col min="12566" max="12566" width="6" style="254" customWidth="1"/>
    <col min="12567" max="12567" width="6.85546875" style="254" customWidth="1"/>
    <col min="12568" max="12568" width="7.5703125" style="254" bestFit="1" customWidth="1"/>
    <col min="12569" max="12569" width="7.42578125" style="254" customWidth="1"/>
    <col min="12570" max="12570" width="8" style="254" customWidth="1"/>
    <col min="12571" max="12571" width="22.42578125" style="254" customWidth="1"/>
    <col min="12572" max="12572" width="26" style="254" bestFit="1" customWidth="1"/>
    <col min="12573" max="12573" width="11.7109375" style="254" bestFit="1" customWidth="1"/>
    <col min="12574" max="12574" width="3.28515625" style="254" bestFit="1" customWidth="1"/>
    <col min="12575" max="12575" width="4.7109375" style="254" bestFit="1" customWidth="1"/>
    <col min="12576" max="12576" width="16.140625" style="254" bestFit="1" customWidth="1"/>
    <col min="12577" max="12577" width="3.28515625" style="254" bestFit="1" customWidth="1"/>
    <col min="12578" max="12578" width="5.85546875" style="254" bestFit="1" customWidth="1"/>
    <col min="12579" max="12580" width="11.42578125" style="254"/>
    <col min="12581" max="12581" width="19" style="254" customWidth="1"/>
    <col min="12582" max="12794" width="11.42578125" style="254"/>
    <col min="12795" max="12796" width="2.7109375" style="254" customWidth="1"/>
    <col min="12797" max="12797" width="4.85546875" style="254" bestFit="1" customWidth="1"/>
    <col min="12798" max="12799" width="2.7109375" style="254" customWidth="1"/>
    <col min="12800" max="12800" width="4.85546875" style="254" bestFit="1" customWidth="1"/>
    <col min="12801" max="12801" width="7.42578125" style="254" bestFit="1" customWidth="1"/>
    <col min="12802" max="12802" width="7.85546875" style="254" bestFit="1" customWidth="1"/>
    <col min="12803" max="12803" width="5.28515625" style="254" bestFit="1" customWidth="1"/>
    <col min="12804" max="12804" width="6.5703125" style="254" bestFit="1" customWidth="1"/>
    <col min="12805" max="12805" width="4.85546875" style="254" bestFit="1" customWidth="1"/>
    <col min="12806" max="12806" width="6.5703125" style="254" bestFit="1" customWidth="1"/>
    <col min="12807" max="12807" width="9.28515625" style="254" customWidth="1"/>
    <col min="12808" max="12808" width="7.28515625" style="254" customWidth="1"/>
    <col min="12809" max="12809" width="9.42578125" style="254" bestFit="1" customWidth="1"/>
    <col min="12810" max="12810" width="7.140625" style="254" bestFit="1" customWidth="1"/>
    <col min="12811" max="12811" width="11.28515625" style="254" bestFit="1" customWidth="1"/>
    <col min="12812" max="12812" width="7.7109375" style="254" bestFit="1" customWidth="1"/>
    <col min="12813" max="12813" width="10" style="254" bestFit="1" customWidth="1"/>
    <col min="12814" max="12814" width="8.85546875" style="254" customWidth="1"/>
    <col min="12815" max="12815" width="8.5703125" style="254" customWidth="1"/>
    <col min="12816" max="12816" width="6.7109375" style="254" customWidth="1"/>
    <col min="12817" max="12817" width="9.140625" style="254" bestFit="1" customWidth="1"/>
    <col min="12818" max="12818" width="8.5703125" style="254" bestFit="1" customWidth="1"/>
    <col min="12819" max="12819" width="8.140625" style="254" bestFit="1" customWidth="1"/>
    <col min="12820" max="12820" width="8.42578125" style="254" customWidth="1"/>
    <col min="12821" max="12821" width="7.28515625" style="254" customWidth="1"/>
    <col min="12822" max="12822" width="6" style="254" customWidth="1"/>
    <col min="12823" max="12823" width="6.85546875" style="254" customWidth="1"/>
    <col min="12824" max="12824" width="7.5703125" style="254" bestFit="1" customWidth="1"/>
    <col min="12825" max="12825" width="7.42578125" style="254" customWidth="1"/>
    <col min="12826" max="12826" width="8" style="254" customWidth="1"/>
    <col min="12827" max="12827" width="22.42578125" style="254" customWidth="1"/>
    <col min="12828" max="12828" width="26" style="254" bestFit="1" customWidth="1"/>
    <col min="12829" max="12829" width="11.7109375" style="254" bestFit="1" customWidth="1"/>
    <col min="12830" max="12830" width="3.28515625" style="254" bestFit="1" customWidth="1"/>
    <col min="12831" max="12831" width="4.7109375" style="254" bestFit="1" customWidth="1"/>
    <col min="12832" max="12832" width="16.140625" style="254" bestFit="1" customWidth="1"/>
    <col min="12833" max="12833" width="3.28515625" style="254" bestFit="1" customWidth="1"/>
    <col min="12834" max="12834" width="5.85546875" style="254" bestFit="1" customWidth="1"/>
    <col min="12835" max="12836" width="11.42578125" style="254"/>
    <col min="12837" max="12837" width="19" style="254" customWidth="1"/>
    <col min="12838" max="13050" width="11.42578125" style="254"/>
    <col min="13051" max="13052" width="2.7109375" style="254" customWidth="1"/>
    <col min="13053" max="13053" width="4.85546875" style="254" bestFit="1" customWidth="1"/>
    <col min="13054" max="13055" width="2.7109375" style="254" customWidth="1"/>
    <col min="13056" max="13056" width="4.85546875" style="254" bestFit="1" customWidth="1"/>
    <col min="13057" max="13057" width="7.42578125" style="254" bestFit="1" customWidth="1"/>
    <col min="13058" max="13058" width="7.85546875" style="254" bestFit="1" customWidth="1"/>
    <col min="13059" max="13059" width="5.28515625" style="254" bestFit="1" customWidth="1"/>
    <col min="13060" max="13060" width="6.5703125" style="254" bestFit="1" customWidth="1"/>
    <col min="13061" max="13061" width="4.85546875" style="254" bestFit="1" customWidth="1"/>
    <col min="13062" max="13062" width="6.5703125" style="254" bestFit="1" customWidth="1"/>
    <col min="13063" max="13063" width="9.28515625" style="254" customWidth="1"/>
    <col min="13064" max="13064" width="7.28515625" style="254" customWidth="1"/>
    <col min="13065" max="13065" width="9.42578125" style="254" bestFit="1" customWidth="1"/>
    <col min="13066" max="13066" width="7.140625" style="254" bestFit="1" customWidth="1"/>
    <col min="13067" max="13067" width="11.28515625" style="254" bestFit="1" customWidth="1"/>
    <col min="13068" max="13068" width="7.7109375" style="254" bestFit="1" customWidth="1"/>
    <col min="13069" max="13069" width="10" style="254" bestFit="1" customWidth="1"/>
    <col min="13070" max="13070" width="8.85546875" style="254" customWidth="1"/>
    <col min="13071" max="13071" width="8.5703125" style="254" customWidth="1"/>
    <col min="13072" max="13072" width="6.7109375" style="254" customWidth="1"/>
    <col min="13073" max="13073" width="9.140625" style="254" bestFit="1" customWidth="1"/>
    <col min="13074" max="13074" width="8.5703125" style="254" bestFit="1" customWidth="1"/>
    <col min="13075" max="13075" width="8.140625" style="254" bestFit="1" customWidth="1"/>
    <col min="13076" max="13076" width="8.42578125" style="254" customWidth="1"/>
    <col min="13077" max="13077" width="7.28515625" style="254" customWidth="1"/>
    <col min="13078" max="13078" width="6" style="254" customWidth="1"/>
    <col min="13079" max="13079" width="6.85546875" style="254" customWidth="1"/>
    <col min="13080" max="13080" width="7.5703125" style="254" bestFit="1" customWidth="1"/>
    <col min="13081" max="13081" width="7.42578125" style="254" customWidth="1"/>
    <col min="13082" max="13082" width="8" style="254" customWidth="1"/>
    <col min="13083" max="13083" width="22.42578125" style="254" customWidth="1"/>
    <col min="13084" max="13084" width="26" style="254" bestFit="1" customWidth="1"/>
    <col min="13085" max="13085" width="11.7109375" style="254" bestFit="1" customWidth="1"/>
    <col min="13086" max="13086" width="3.28515625" style="254" bestFit="1" customWidth="1"/>
    <col min="13087" max="13087" width="4.7109375" style="254" bestFit="1" customWidth="1"/>
    <col min="13088" max="13088" width="16.140625" style="254" bestFit="1" customWidth="1"/>
    <col min="13089" max="13089" width="3.28515625" style="254" bestFit="1" customWidth="1"/>
    <col min="13090" max="13090" width="5.85546875" style="254" bestFit="1" customWidth="1"/>
    <col min="13091" max="13092" width="11.42578125" style="254"/>
    <col min="13093" max="13093" width="19" style="254" customWidth="1"/>
    <col min="13094" max="13306" width="11.42578125" style="254"/>
    <col min="13307" max="13308" width="2.7109375" style="254" customWidth="1"/>
    <col min="13309" max="13309" width="4.85546875" style="254" bestFit="1" customWidth="1"/>
    <col min="13310" max="13311" width="2.7109375" style="254" customWidth="1"/>
    <col min="13312" max="13312" width="4.85546875" style="254" bestFit="1" customWidth="1"/>
    <col min="13313" max="13313" width="7.42578125" style="254" bestFit="1" customWidth="1"/>
    <col min="13314" max="13314" width="7.85546875" style="254" bestFit="1" customWidth="1"/>
    <col min="13315" max="13315" width="5.28515625" style="254" bestFit="1" customWidth="1"/>
    <col min="13316" max="13316" width="6.5703125" style="254" bestFit="1" customWidth="1"/>
    <col min="13317" max="13317" width="4.85546875" style="254" bestFit="1" customWidth="1"/>
    <col min="13318" max="13318" width="6.5703125" style="254" bestFit="1" customWidth="1"/>
    <col min="13319" max="13319" width="9.28515625" style="254" customWidth="1"/>
    <col min="13320" max="13320" width="7.28515625" style="254" customWidth="1"/>
    <col min="13321" max="13321" width="9.42578125" style="254" bestFit="1" customWidth="1"/>
    <col min="13322" max="13322" width="7.140625" style="254" bestFit="1" customWidth="1"/>
    <col min="13323" max="13323" width="11.28515625" style="254" bestFit="1" customWidth="1"/>
    <col min="13324" max="13324" width="7.7109375" style="254" bestFit="1" customWidth="1"/>
    <col min="13325" max="13325" width="10" style="254" bestFit="1" customWidth="1"/>
    <col min="13326" max="13326" width="8.85546875" style="254" customWidth="1"/>
    <col min="13327" max="13327" width="8.5703125" style="254" customWidth="1"/>
    <col min="13328" max="13328" width="6.7109375" style="254" customWidth="1"/>
    <col min="13329" max="13329" width="9.140625" style="254" bestFit="1" customWidth="1"/>
    <col min="13330" max="13330" width="8.5703125" style="254" bestFit="1" customWidth="1"/>
    <col min="13331" max="13331" width="8.140625" style="254" bestFit="1" customWidth="1"/>
    <col min="13332" max="13332" width="8.42578125" style="254" customWidth="1"/>
    <col min="13333" max="13333" width="7.28515625" style="254" customWidth="1"/>
    <col min="13334" max="13334" width="6" style="254" customWidth="1"/>
    <col min="13335" max="13335" width="6.85546875" style="254" customWidth="1"/>
    <col min="13336" max="13336" width="7.5703125" style="254" bestFit="1" customWidth="1"/>
    <col min="13337" max="13337" width="7.42578125" style="254" customWidth="1"/>
    <col min="13338" max="13338" width="8" style="254" customWidth="1"/>
    <col min="13339" max="13339" width="22.42578125" style="254" customWidth="1"/>
    <col min="13340" max="13340" width="26" style="254" bestFit="1" customWidth="1"/>
    <col min="13341" max="13341" width="11.7109375" style="254" bestFit="1" customWidth="1"/>
    <col min="13342" max="13342" width="3.28515625" style="254" bestFit="1" customWidth="1"/>
    <col min="13343" max="13343" width="4.7109375" style="254" bestFit="1" customWidth="1"/>
    <col min="13344" max="13344" width="16.140625" style="254" bestFit="1" customWidth="1"/>
    <col min="13345" max="13345" width="3.28515625" style="254" bestFit="1" customWidth="1"/>
    <col min="13346" max="13346" width="5.85546875" style="254" bestFit="1" customWidth="1"/>
    <col min="13347" max="13348" width="11.42578125" style="254"/>
    <col min="13349" max="13349" width="19" style="254" customWidth="1"/>
    <col min="13350" max="13562" width="11.42578125" style="254"/>
    <col min="13563" max="13564" width="2.7109375" style="254" customWidth="1"/>
    <col min="13565" max="13565" width="4.85546875" style="254" bestFit="1" customWidth="1"/>
    <col min="13566" max="13567" width="2.7109375" style="254" customWidth="1"/>
    <col min="13568" max="13568" width="4.85546875" style="254" bestFit="1" customWidth="1"/>
    <col min="13569" max="13569" width="7.42578125" style="254" bestFit="1" customWidth="1"/>
    <col min="13570" max="13570" width="7.85546875" style="254" bestFit="1" customWidth="1"/>
    <col min="13571" max="13571" width="5.28515625" style="254" bestFit="1" customWidth="1"/>
    <col min="13572" max="13572" width="6.5703125" style="254" bestFit="1" customWidth="1"/>
    <col min="13573" max="13573" width="4.85546875" style="254" bestFit="1" customWidth="1"/>
    <col min="13574" max="13574" width="6.5703125" style="254" bestFit="1" customWidth="1"/>
    <col min="13575" max="13575" width="9.28515625" style="254" customWidth="1"/>
    <col min="13576" max="13576" width="7.28515625" style="254" customWidth="1"/>
    <col min="13577" max="13577" width="9.42578125" style="254" bestFit="1" customWidth="1"/>
    <col min="13578" max="13578" width="7.140625" style="254" bestFit="1" customWidth="1"/>
    <col min="13579" max="13579" width="11.28515625" style="254" bestFit="1" customWidth="1"/>
    <col min="13580" max="13580" width="7.7109375" style="254" bestFit="1" customWidth="1"/>
    <col min="13581" max="13581" width="10" style="254" bestFit="1" customWidth="1"/>
    <col min="13582" max="13582" width="8.85546875" style="254" customWidth="1"/>
    <col min="13583" max="13583" width="8.5703125" style="254" customWidth="1"/>
    <col min="13584" max="13584" width="6.7109375" style="254" customWidth="1"/>
    <col min="13585" max="13585" width="9.140625" style="254" bestFit="1" customWidth="1"/>
    <col min="13586" max="13586" width="8.5703125" style="254" bestFit="1" customWidth="1"/>
    <col min="13587" max="13587" width="8.140625" style="254" bestFit="1" customWidth="1"/>
    <col min="13588" max="13588" width="8.42578125" style="254" customWidth="1"/>
    <col min="13589" max="13589" width="7.28515625" style="254" customWidth="1"/>
    <col min="13590" max="13590" width="6" style="254" customWidth="1"/>
    <col min="13591" max="13591" width="6.85546875" style="254" customWidth="1"/>
    <col min="13592" max="13592" width="7.5703125" style="254" bestFit="1" customWidth="1"/>
    <col min="13593" max="13593" width="7.42578125" style="254" customWidth="1"/>
    <col min="13594" max="13594" width="8" style="254" customWidth="1"/>
    <col min="13595" max="13595" width="22.42578125" style="254" customWidth="1"/>
    <col min="13596" max="13596" width="26" style="254" bestFit="1" customWidth="1"/>
    <col min="13597" max="13597" width="11.7109375" style="254" bestFit="1" customWidth="1"/>
    <col min="13598" max="13598" width="3.28515625" style="254" bestFit="1" customWidth="1"/>
    <col min="13599" max="13599" width="4.7109375" style="254" bestFit="1" customWidth="1"/>
    <col min="13600" max="13600" width="16.140625" style="254" bestFit="1" customWidth="1"/>
    <col min="13601" max="13601" width="3.28515625" style="254" bestFit="1" customWidth="1"/>
    <col min="13602" max="13602" width="5.85546875" style="254" bestFit="1" customWidth="1"/>
    <col min="13603" max="13604" width="11.42578125" style="254"/>
    <col min="13605" max="13605" width="19" style="254" customWidth="1"/>
    <col min="13606" max="13818" width="11.42578125" style="254"/>
    <col min="13819" max="13820" width="2.7109375" style="254" customWidth="1"/>
    <col min="13821" max="13821" width="4.85546875" style="254" bestFit="1" customWidth="1"/>
    <col min="13822" max="13823" width="2.7109375" style="254" customWidth="1"/>
    <col min="13824" max="13824" width="4.85546875" style="254" bestFit="1" customWidth="1"/>
    <col min="13825" max="13825" width="7.42578125" style="254" bestFit="1" customWidth="1"/>
    <col min="13826" max="13826" width="7.85546875" style="254" bestFit="1" customWidth="1"/>
    <col min="13827" max="13827" width="5.28515625" style="254" bestFit="1" customWidth="1"/>
    <col min="13828" max="13828" width="6.5703125" style="254" bestFit="1" customWidth="1"/>
    <col min="13829" max="13829" width="4.85546875" style="254" bestFit="1" customWidth="1"/>
    <col min="13830" max="13830" width="6.5703125" style="254" bestFit="1" customWidth="1"/>
    <col min="13831" max="13831" width="9.28515625" style="254" customWidth="1"/>
    <col min="13832" max="13832" width="7.28515625" style="254" customWidth="1"/>
    <col min="13833" max="13833" width="9.42578125" style="254" bestFit="1" customWidth="1"/>
    <col min="13834" max="13834" width="7.140625" style="254" bestFit="1" customWidth="1"/>
    <col min="13835" max="13835" width="11.28515625" style="254" bestFit="1" customWidth="1"/>
    <col min="13836" max="13836" width="7.7109375" style="254" bestFit="1" customWidth="1"/>
    <col min="13837" max="13837" width="10" style="254" bestFit="1" customWidth="1"/>
    <col min="13838" max="13838" width="8.85546875" style="254" customWidth="1"/>
    <col min="13839" max="13839" width="8.5703125" style="254" customWidth="1"/>
    <col min="13840" max="13840" width="6.7109375" style="254" customWidth="1"/>
    <col min="13841" max="13841" width="9.140625" style="254" bestFit="1" customWidth="1"/>
    <col min="13842" max="13842" width="8.5703125" style="254" bestFit="1" customWidth="1"/>
    <col min="13843" max="13843" width="8.140625" style="254" bestFit="1" customWidth="1"/>
    <col min="13844" max="13844" width="8.42578125" style="254" customWidth="1"/>
    <col min="13845" max="13845" width="7.28515625" style="254" customWidth="1"/>
    <col min="13846" max="13846" width="6" style="254" customWidth="1"/>
    <col min="13847" max="13847" width="6.85546875" style="254" customWidth="1"/>
    <col min="13848" max="13848" width="7.5703125" style="254" bestFit="1" customWidth="1"/>
    <col min="13849" max="13849" width="7.42578125" style="254" customWidth="1"/>
    <col min="13850" max="13850" width="8" style="254" customWidth="1"/>
    <col min="13851" max="13851" width="22.42578125" style="254" customWidth="1"/>
    <col min="13852" max="13852" width="26" style="254" bestFit="1" customWidth="1"/>
    <col min="13853" max="13853" width="11.7109375" style="254" bestFit="1" customWidth="1"/>
    <col min="13854" max="13854" width="3.28515625" style="254" bestFit="1" customWidth="1"/>
    <col min="13855" max="13855" width="4.7109375" style="254" bestFit="1" customWidth="1"/>
    <col min="13856" max="13856" width="16.140625" style="254" bestFit="1" customWidth="1"/>
    <col min="13857" max="13857" width="3.28515625" style="254" bestFit="1" customWidth="1"/>
    <col min="13858" max="13858" width="5.85546875" style="254" bestFit="1" customWidth="1"/>
    <col min="13859" max="13860" width="11.42578125" style="254"/>
    <col min="13861" max="13861" width="19" style="254" customWidth="1"/>
    <col min="13862" max="14074" width="11.42578125" style="254"/>
    <col min="14075" max="14076" width="2.7109375" style="254" customWidth="1"/>
    <col min="14077" max="14077" width="4.85546875" style="254" bestFit="1" customWidth="1"/>
    <col min="14078" max="14079" width="2.7109375" style="254" customWidth="1"/>
    <col min="14080" max="14080" width="4.85546875" style="254" bestFit="1" customWidth="1"/>
    <col min="14081" max="14081" width="7.42578125" style="254" bestFit="1" customWidth="1"/>
    <col min="14082" max="14082" width="7.85546875" style="254" bestFit="1" customWidth="1"/>
    <col min="14083" max="14083" width="5.28515625" style="254" bestFit="1" customWidth="1"/>
    <col min="14084" max="14084" width="6.5703125" style="254" bestFit="1" customWidth="1"/>
    <col min="14085" max="14085" width="4.85546875" style="254" bestFit="1" customWidth="1"/>
    <col min="14086" max="14086" width="6.5703125" style="254" bestFit="1" customWidth="1"/>
    <col min="14087" max="14087" width="9.28515625" style="254" customWidth="1"/>
    <col min="14088" max="14088" width="7.28515625" style="254" customWidth="1"/>
    <col min="14089" max="14089" width="9.42578125" style="254" bestFit="1" customWidth="1"/>
    <col min="14090" max="14090" width="7.140625" style="254" bestFit="1" customWidth="1"/>
    <col min="14091" max="14091" width="11.28515625" style="254" bestFit="1" customWidth="1"/>
    <col min="14092" max="14092" width="7.7109375" style="254" bestFit="1" customWidth="1"/>
    <col min="14093" max="14093" width="10" style="254" bestFit="1" customWidth="1"/>
    <col min="14094" max="14094" width="8.85546875" style="254" customWidth="1"/>
    <col min="14095" max="14095" width="8.5703125" style="254" customWidth="1"/>
    <col min="14096" max="14096" width="6.7109375" style="254" customWidth="1"/>
    <col min="14097" max="14097" width="9.140625" style="254" bestFit="1" customWidth="1"/>
    <col min="14098" max="14098" width="8.5703125" style="254" bestFit="1" customWidth="1"/>
    <col min="14099" max="14099" width="8.140625" style="254" bestFit="1" customWidth="1"/>
    <col min="14100" max="14100" width="8.42578125" style="254" customWidth="1"/>
    <col min="14101" max="14101" width="7.28515625" style="254" customWidth="1"/>
    <col min="14102" max="14102" width="6" style="254" customWidth="1"/>
    <col min="14103" max="14103" width="6.85546875" style="254" customWidth="1"/>
    <col min="14104" max="14104" width="7.5703125" style="254" bestFit="1" customWidth="1"/>
    <col min="14105" max="14105" width="7.42578125" style="254" customWidth="1"/>
    <col min="14106" max="14106" width="8" style="254" customWidth="1"/>
    <col min="14107" max="14107" width="22.42578125" style="254" customWidth="1"/>
    <col min="14108" max="14108" width="26" style="254" bestFit="1" customWidth="1"/>
    <col min="14109" max="14109" width="11.7109375" style="254" bestFit="1" customWidth="1"/>
    <col min="14110" max="14110" width="3.28515625" style="254" bestFit="1" customWidth="1"/>
    <col min="14111" max="14111" width="4.7109375" style="254" bestFit="1" customWidth="1"/>
    <col min="14112" max="14112" width="16.140625" style="254" bestFit="1" customWidth="1"/>
    <col min="14113" max="14113" width="3.28515625" style="254" bestFit="1" customWidth="1"/>
    <col min="14114" max="14114" width="5.85546875" style="254" bestFit="1" customWidth="1"/>
    <col min="14115" max="14116" width="11.42578125" style="254"/>
    <col min="14117" max="14117" width="19" style="254" customWidth="1"/>
    <col min="14118" max="14330" width="11.42578125" style="254"/>
    <col min="14331" max="14332" width="2.7109375" style="254" customWidth="1"/>
    <col min="14333" max="14333" width="4.85546875" style="254" bestFit="1" customWidth="1"/>
    <col min="14334" max="14335" width="2.7109375" style="254" customWidth="1"/>
    <col min="14336" max="14336" width="4.85546875" style="254" bestFit="1" customWidth="1"/>
    <col min="14337" max="14337" width="7.42578125" style="254" bestFit="1" customWidth="1"/>
    <col min="14338" max="14338" width="7.85546875" style="254" bestFit="1" customWidth="1"/>
    <col min="14339" max="14339" width="5.28515625" style="254" bestFit="1" customWidth="1"/>
    <col min="14340" max="14340" width="6.5703125" style="254" bestFit="1" customWidth="1"/>
    <col min="14341" max="14341" width="4.85546875" style="254" bestFit="1" customWidth="1"/>
    <col min="14342" max="14342" width="6.5703125" style="254" bestFit="1" customWidth="1"/>
    <col min="14343" max="14343" width="9.28515625" style="254" customWidth="1"/>
    <col min="14344" max="14344" width="7.28515625" style="254" customWidth="1"/>
    <col min="14345" max="14345" width="9.42578125" style="254" bestFit="1" customWidth="1"/>
    <col min="14346" max="14346" width="7.140625" style="254" bestFit="1" customWidth="1"/>
    <col min="14347" max="14347" width="11.28515625" style="254" bestFit="1" customWidth="1"/>
    <col min="14348" max="14348" width="7.7109375" style="254" bestFit="1" customWidth="1"/>
    <col min="14349" max="14349" width="10" style="254" bestFit="1" customWidth="1"/>
    <col min="14350" max="14350" width="8.85546875" style="254" customWidth="1"/>
    <col min="14351" max="14351" width="8.5703125" style="254" customWidth="1"/>
    <col min="14352" max="14352" width="6.7109375" style="254" customWidth="1"/>
    <col min="14353" max="14353" width="9.140625" style="254" bestFit="1" customWidth="1"/>
    <col min="14354" max="14354" width="8.5703125" style="254" bestFit="1" customWidth="1"/>
    <col min="14355" max="14355" width="8.140625" style="254" bestFit="1" customWidth="1"/>
    <col min="14356" max="14356" width="8.42578125" style="254" customWidth="1"/>
    <col min="14357" max="14357" width="7.28515625" style="254" customWidth="1"/>
    <col min="14358" max="14358" width="6" style="254" customWidth="1"/>
    <col min="14359" max="14359" width="6.85546875" style="254" customWidth="1"/>
    <col min="14360" max="14360" width="7.5703125" style="254" bestFit="1" customWidth="1"/>
    <col min="14361" max="14361" width="7.42578125" style="254" customWidth="1"/>
    <col min="14362" max="14362" width="8" style="254" customWidth="1"/>
    <col min="14363" max="14363" width="22.42578125" style="254" customWidth="1"/>
    <col min="14364" max="14364" width="26" style="254" bestFit="1" customWidth="1"/>
    <col min="14365" max="14365" width="11.7109375" style="254" bestFit="1" customWidth="1"/>
    <col min="14366" max="14366" width="3.28515625" style="254" bestFit="1" customWidth="1"/>
    <col min="14367" max="14367" width="4.7109375" style="254" bestFit="1" customWidth="1"/>
    <col min="14368" max="14368" width="16.140625" style="254" bestFit="1" customWidth="1"/>
    <col min="14369" max="14369" width="3.28515625" style="254" bestFit="1" customWidth="1"/>
    <col min="14370" max="14370" width="5.85546875" style="254" bestFit="1" customWidth="1"/>
    <col min="14371" max="14372" width="11.42578125" style="254"/>
    <col min="14373" max="14373" width="19" style="254" customWidth="1"/>
    <col min="14374" max="14586" width="11.42578125" style="254"/>
    <col min="14587" max="14588" width="2.7109375" style="254" customWidth="1"/>
    <col min="14589" max="14589" width="4.85546875" style="254" bestFit="1" customWidth="1"/>
    <col min="14590" max="14591" width="2.7109375" style="254" customWidth="1"/>
    <col min="14592" max="14592" width="4.85546875" style="254" bestFit="1" customWidth="1"/>
    <col min="14593" max="14593" width="7.42578125" style="254" bestFit="1" customWidth="1"/>
    <col min="14594" max="14594" width="7.85546875" style="254" bestFit="1" customWidth="1"/>
    <col min="14595" max="14595" width="5.28515625" style="254" bestFit="1" customWidth="1"/>
    <col min="14596" max="14596" width="6.5703125" style="254" bestFit="1" customWidth="1"/>
    <col min="14597" max="14597" width="4.85546875" style="254" bestFit="1" customWidth="1"/>
    <col min="14598" max="14598" width="6.5703125" style="254" bestFit="1" customWidth="1"/>
    <col min="14599" max="14599" width="9.28515625" style="254" customWidth="1"/>
    <col min="14600" max="14600" width="7.28515625" style="254" customWidth="1"/>
    <col min="14601" max="14601" width="9.42578125" style="254" bestFit="1" customWidth="1"/>
    <col min="14602" max="14602" width="7.140625" style="254" bestFit="1" customWidth="1"/>
    <col min="14603" max="14603" width="11.28515625" style="254" bestFit="1" customWidth="1"/>
    <col min="14604" max="14604" width="7.7109375" style="254" bestFit="1" customWidth="1"/>
    <col min="14605" max="14605" width="10" style="254" bestFit="1" customWidth="1"/>
    <col min="14606" max="14606" width="8.85546875" style="254" customWidth="1"/>
    <col min="14607" max="14607" width="8.5703125" style="254" customWidth="1"/>
    <col min="14608" max="14608" width="6.7109375" style="254" customWidth="1"/>
    <col min="14609" max="14609" width="9.140625" style="254" bestFit="1" customWidth="1"/>
    <col min="14610" max="14610" width="8.5703125" style="254" bestFit="1" customWidth="1"/>
    <col min="14611" max="14611" width="8.140625" style="254" bestFit="1" customWidth="1"/>
    <col min="14612" max="14612" width="8.42578125" style="254" customWidth="1"/>
    <col min="14613" max="14613" width="7.28515625" style="254" customWidth="1"/>
    <col min="14614" max="14614" width="6" style="254" customWidth="1"/>
    <col min="14615" max="14615" width="6.85546875" style="254" customWidth="1"/>
    <col min="14616" max="14616" width="7.5703125" style="254" bestFit="1" customWidth="1"/>
    <col min="14617" max="14617" width="7.42578125" style="254" customWidth="1"/>
    <col min="14618" max="14618" width="8" style="254" customWidth="1"/>
    <col min="14619" max="14619" width="22.42578125" style="254" customWidth="1"/>
    <col min="14620" max="14620" width="26" style="254" bestFit="1" customWidth="1"/>
    <col min="14621" max="14621" width="11.7109375" style="254" bestFit="1" customWidth="1"/>
    <col min="14622" max="14622" width="3.28515625" style="254" bestFit="1" customWidth="1"/>
    <col min="14623" max="14623" width="4.7109375" style="254" bestFit="1" customWidth="1"/>
    <col min="14624" max="14624" width="16.140625" style="254" bestFit="1" customWidth="1"/>
    <col min="14625" max="14625" width="3.28515625" style="254" bestFit="1" customWidth="1"/>
    <col min="14626" max="14626" width="5.85546875" style="254" bestFit="1" customWidth="1"/>
    <col min="14627" max="14628" width="11.42578125" style="254"/>
    <col min="14629" max="14629" width="19" style="254" customWidth="1"/>
    <col min="14630" max="14842" width="11.42578125" style="254"/>
    <col min="14843" max="14844" width="2.7109375" style="254" customWidth="1"/>
    <col min="14845" max="14845" width="4.85546875" style="254" bestFit="1" customWidth="1"/>
    <col min="14846" max="14847" width="2.7109375" style="254" customWidth="1"/>
    <col min="14848" max="14848" width="4.85546875" style="254" bestFit="1" customWidth="1"/>
    <col min="14849" max="14849" width="7.42578125" style="254" bestFit="1" customWidth="1"/>
    <col min="14850" max="14850" width="7.85546875" style="254" bestFit="1" customWidth="1"/>
    <col min="14851" max="14851" width="5.28515625" style="254" bestFit="1" customWidth="1"/>
    <col min="14852" max="14852" width="6.5703125" style="254" bestFit="1" customWidth="1"/>
    <col min="14853" max="14853" width="4.85546875" style="254" bestFit="1" customWidth="1"/>
    <col min="14854" max="14854" width="6.5703125" style="254" bestFit="1" customWidth="1"/>
    <col min="14855" max="14855" width="9.28515625" style="254" customWidth="1"/>
    <col min="14856" max="14856" width="7.28515625" style="254" customWidth="1"/>
    <col min="14857" max="14857" width="9.42578125" style="254" bestFit="1" customWidth="1"/>
    <col min="14858" max="14858" width="7.140625" style="254" bestFit="1" customWidth="1"/>
    <col min="14859" max="14859" width="11.28515625" style="254" bestFit="1" customWidth="1"/>
    <col min="14860" max="14860" width="7.7109375" style="254" bestFit="1" customWidth="1"/>
    <col min="14861" max="14861" width="10" style="254" bestFit="1" customWidth="1"/>
    <col min="14862" max="14862" width="8.85546875" style="254" customWidth="1"/>
    <col min="14863" max="14863" width="8.5703125" style="254" customWidth="1"/>
    <col min="14864" max="14864" width="6.7109375" style="254" customWidth="1"/>
    <col min="14865" max="14865" width="9.140625" style="254" bestFit="1" customWidth="1"/>
    <col min="14866" max="14866" width="8.5703125" style="254" bestFit="1" customWidth="1"/>
    <col min="14867" max="14867" width="8.140625" style="254" bestFit="1" customWidth="1"/>
    <col min="14868" max="14868" width="8.42578125" style="254" customWidth="1"/>
    <col min="14869" max="14869" width="7.28515625" style="254" customWidth="1"/>
    <col min="14870" max="14870" width="6" style="254" customWidth="1"/>
    <col min="14871" max="14871" width="6.85546875" style="254" customWidth="1"/>
    <col min="14872" max="14872" width="7.5703125" style="254" bestFit="1" customWidth="1"/>
    <col min="14873" max="14873" width="7.42578125" style="254" customWidth="1"/>
    <col min="14874" max="14874" width="8" style="254" customWidth="1"/>
    <col min="14875" max="14875" width="22.42578125" style="254" customWidth="1"/>
    <col min="14876" max="14876" width="26" style="254" bestFit="1" customWidth="1"/>
    <col min="14877" max="14877" width="11.7109375" style="254" bestFit="1" customWidth="1"/>
    <col min="14878" max="14878" width="3.28515625" style="254" bestFit="1" customWidth="1"/>
    <col min="14879" max="14879" width="4.7109375" style="254" bestFit="1" customWidth="1"/>
    <col min="14880" max="14880" width="16.140625" style="254" bestFit="1" customWidth="1"/>
    <col min="14881" max="14881" width="3.28515625" style="254" bestFit="1" customWidth="1"/>
    <col min="14882" max="14882" width="5.85546875" style="254" bestFit="1" customWidth="1"/>
    <col min="14883" max="14884" width="11.42578125" style="254"/>
    <col min="14885" max="14885" width="19" style="254" customWidth="1"/>
    <col min="14886" max="15098" width="11.42578125" style="254"/>
    <col min="15099" max="15100" width="2.7109375" style="254" customWidth="1"/>
    <col min="15101" max="15101" width="4.85546875" style="254" bestFit="1" customWidth="1"/>
    <col min="15102" max="15103" width="2.7109375" style="254" customWidth="1"/>
    <col min="15104" max="15104" width="4.85546875" style="254" bestFit="1" customWidth="1"/>
    <col min="15105" max="15105" width="7.42578125" style="254" bestFit="1" customWidth="1"/>
    <col min="15106" max="15106" width="7.85546875" style="254" bestFit="1" customWidth="1"/>
    <col min="15107" max="15107" width="5.28515625" style="254" bestFit="1" customWidth="1"/>
    <col min="15108" max="15108" width="6.5703125" style="254" bestFit="1" customWidth="1"/>
    <col min="15109" max="15109" width="4.85546875" style="254" bestFit="1" customWidth="1"/>
    <col min="15110" max="15110" width="6.5703125" style="254" bestFit="1" customWidth="1"/>
    <col min="15111" max="15111" width="9.28515625" style="254" customWidth="1"/>
    <col min="15112" max="15112" width="7.28515625" style="254" customWidth="1"/>
    <col min="15113" max="15113" width="9.42578125" style="254" bestFit="1" customWidth="1"/>
    <col min="15114" max="15114" width="7.140625" style="254" bestFit="1" customWidth="1"/>
    <col min="15115" max="15115" width="11.28515625" style="254" bestFit="1" customWidth="1"/>
    <col min="15116" max="15116" width="7.7109375" style="254" bestFit="1" customWidth="1"/>
    <col min="15117" max="15117" width="10" style="254" bestFit="1" customWidth="1"/>
    <col min="15118" max="15118" width="8.85546875" style="254" customWidth="1"/>
    <col min="15119" max="15119" width="8.5703125" style="254" customWidth="1"/>
    <col min="15120" max="15120" width="6.7109375" style="254" customWidth="1"/>
    <col min="15121" max="15121" width="9.140625" style="254" bestFit="1" customWidth="1"/>
    <col min="15122" max="15122" width="8.5703125" style="254" bestFit="1" customWidth="1"/>
    <col min="15123" max="15123" width="8.140625" style="254" bestFit="1" customWidth="1"/>
    <col min="15124" max="15124" width="8.42578125" style="254" customWidth="1"/>
    <col min="15125" max="15125" width="7.28515625" style="254" customWidth="1"/>
    <col min="15126" max="15126" width="6" style="254" customWidth="1"/>
    <col min="15127" max="15127" width="6.85546875" style="254" customWidth="1"/>
    <col min="15128" max="15128" width="7.5703125" style="254" bestFit="1" customWidth="1"/>
    <col min="15129" max="15129" width="7.42578125" style="254" customWidth="1"/>
    <col min="15130" max="15130" width="8" style="254" customWidth="1"/>
    <col min="15131" max="15131" width="22.42578125" style="254" customWidth="1"/>
    <col min="15132" max="15132" width="26" style="254" bestFit="1" customWidth="1"/>
    <col min="15133" max="15133" width="11.7109375" style="254" bestFit="1" customWidth="1"/>
    <col min="15134" max="15134" width="3.28515625" style="254" bestFit="1" customWidth="1"/>
    <col min="15135" max="15135" width="4.7109375" style="254" bestFit="1" customWidth="1"/>
    <col min="15136" max="15136" width="16.140625" style="254" bestFit="1" customWidth="1"/>
    <col min="15137" max="15137" width="3.28515625" style="254" bestFit="1" customWidth="1"/>
    <col min="15138" max="15138" width="5.85546875" style="254" bestFit="1" customWidth="1"/>
    <col min="15139" max="15140" width="11.42578125" style="254"/>
    <col min="15141" max="15141" width="19" style="254" customWidth="1"/>
    <col min="15142" max="15354" width="11.42578125" style="254"/>
    <col min="15355" max="15356" width="2.7109375" style="254" customWidth="1"/>
    <col min="15357" max="15357" width="4.85546875" style="254" bestFit="1" customWidth="1"/>
    <col min="15358" max="15359" width="2.7109375" style="254" customWidth="1"/>
    <col min="15360" max="15360" width="4.85546875" style="254" bestFit="1" customWidth="1"/>
    <col min="15361" max="15361" width="7.42578125" style="254" bestFit="1" customWidth="1"/>
    <col min="15362" max="15362" width="7.85546875" style="254" bestFit="1" customWidth="1"/>
    <col min="15363" max="15363" width="5.28515625" style="254" bestFit="1" customWidth="1"/>
    <col min="15364" max="15364" width="6.5703125" style="254" bestFit="1" customWidth="1"/>
    <col min="15365" max="15365" width="4.85546875" style="254" bestFit="1" customWidth="1"/>
    <col min="15366" max="15366" width="6.5703125" style="254" bestFit="1" customWidth="1"/>
    <col min="15367" max="15367" width="9.28515625" style="254" customWidth="1"/>
    <col min="15368" max="15368" width="7.28515625" style="254" customWidth="1"/>
    <col min="15369" max="15369" width="9.42578125" style="254" bestFit="1" customWidth="1"/>
    <col min="15370" max="15370" width="7.140625" style="254" bestFit="1" customWidth="1"/>
    <col min="15371" max="15371" width="11.28515625" style="254" bestFit="1" customWidth="1"/>
    <col min="15372" max="15372" width="7.7109375" style="254" bestFit="1" customWidth="1"/>
    <col min="15373" max="15373" width="10" style="254" bestFit="1" customWidth="1"/>
    <col min="15374" max="15374" width="8.85546875" style="254" customWidth="1"/>
    <col min="15375" max="15375" width="8.5703125" style="254" customWidth="1"/>
    <col min="15376" max="15376" width="6.7109375" style="254" customWidth="1"/>
    <col min="15377" max="15377" width="9.140625" style="254" bestFit="1" customWidth="1"/>
    <col min="15378" max="15378" width="8.5703125" style="254" bestFit="1" customWidth="1"/>
    <col min="15379" max="15379" width="8.140625" style="254" bestFit="1" customWidth="1"/>
    <col min="15380" max="15380" width="8.42578125" style="254" customWidth="1"/>
    <col min="15381" max="15381" width="7.28515625" style="254" customWidth="1"/>
    <col min="15382" max="15382" width="6" style="254" customWidth="1"/>
    <col min="15383" max="15383" width="6.85546875" style="254" customWidth="1"/>
    <col min="15384" max="15384" width="7.5703125" style="254" bestFit="1" customWidth="1"/>
    <col min="15385" max="15385" width="7.42578125" style="254" customWidth="1"/>
    <col min="15386" max="15386" width="8" style="254" customWidth="1"/>
    <col min="15387" max="15387" width="22.42578125" style="254" customWidth="1"/>
    <col min="15388" max="15388" width="26" style="254" bestFit="1" customWidth="1"/>
    <col min="15389" max="15389" width="11.7109375" style="254" bestFit="1" customWidth="1"/>
    <col min="15390" max="15390" width="3.28515625" style="254" bestFit="1" customWidth="1"/>
    <col min="15391" max="15391" width="4.7109375" style="254" bestFit="1" customWidth="1"/>
    <col min="15392" max="15392" width="16.140625" style="254" bestFit="1" customWidth="1"/>
    <col min="15393" max="15393" width="3.28515625" style="254" bestFit="1" customWidth="1"/>
    <col min="15394" max="15394" width="5.85546875" style="254" bestFit="1" customWidth="1"/>
    <col min="15395" max="15396" width="11.42578125" style="254"/>
    <col min="15397" max="15397" width="19" style="254" customWidth="1"/>
    <col min="15398" max="15610" width="11.42578125" style="254"/>
    <col min="15611" max="15612" width="2.7109375" style="254" customWidth="1"/>
    <col min="15613" max="15613" width="4.85546875" style="254" bestFit="1" customWidth="1"/>
    <col min="15614" max="15615" width="2.7109375" style="254" customWidth="1"/>
    <col min="15616" max="15616" width="4.85546875" style="254" bestFit="1" customWidth="1"/>
    <col min="15617" max="15617" width="7.42578125" style="254" bestFit="1" customWidth="1"/>
    <col min="15618" max="15618" width="7.85546875" style="254" bestFit="1" customWidth="1"/>
    <col min="15619" max="15619" width="5.28515625" style="254" bestFit="1" customWidth="1"/>
    <col min="15620" max="15620" width="6.5703125" style="254" bestFit="1" customWidth="1"/>
    <col min="15621" max="15621" width="4.85546875" style="254" bestFit="1" customWidth="1"/>
    <col min="15622" max="15622" width="6.5703125" style="254" bestFit="1" customWidth="1"/>
    <col min="15623" max="15623" width="9.28515625" style="254" customWidth="1"/>
    <col min="15624" max="15624" width="7.28515625" style="254" customWidth="1"/>
    <col min="15625" max="15625" width="9.42578125" style="254" bestFit="1" customWidth="1"/>
    <col min="15626" max="15626" width="7.140625" style="254" bestFit="1" customWidth="1"/>
    <col min="15627" max="15627" width="11.28515625" style="254" bestFit="1" customWidth="1"/>
    <col min="15628" max="15628" width="7.7109375" style="254" bestFit="1" customWidth="1"/>
    <col min="15629" max="15629" width="10" style="254" bestFit="1" customWidth="1"/>
    <col min="15630" max="15630" width="8.85546875" style="254" customWidth="1"/>
    <col min="15631" max="15631" width="8.5703125" style="254" customWidth="1"/>
    <col min="15632" max="15632" width="6.7109375" style="254" customWidth="1"/>
    <col min="15633" max="15633" width="9.140625" style="254" bestFit="1" customWidth="1"/>
    <col min="15634" max="15634" width="8.5703125" style="254" bestFit="1" customWidth="1"/>
    <col min="15635" max="15635" width="8.140625" style="254" bestFit="1" customWidth="1"/>
    <col min="15636" max="15636" width="8.42578125" style="254" customWidth="1"/>
    <col min="15637" max="15637" width="7.28515625" style="254" customWidth="1"/>
    <col min="15638" max="15638" width="6" style="254" customWidth="1"/>
    <col min="15639" max="15639" width="6.85546875" style="254" customWidth="1"/>
    <col min="15640" max="15640" width="7.5703125" style="254" bestFit="1" customWidth="1"/>
    <col min="15641" max="15641" width="7.42578125" style="254" customWidth="1"/>
    <col min="15642" max="15642" width="8" style="254" customWidth="1"/>
    <col min="15643" max="15643" width="22.42578125" style="254" customWidth="1"/>
    <col min="15644" max="15644" width="26" style="254" bestFit="1" customWidth="1"/>
    <col min="15645" max="15645" width="11.7109375" style="254" bestFit="1" customWidth="1"/>
    <col min="15646" max="15646" width="3.28515625" style="254" bestFit="1" customWidth="1"/>
    <col min="15647" max="15647" width="4.7109375" style="254" bestFit="1" customWidth="1"/>
    <col min="15648" max="15648" width="16.140625" style="254" bestFit="1" customWidth="1"/>
    <col min="15649" max="15649" width="3.28515625" style="254" bestFit="1" customWidth="1"/>
    <col min="15650" max="15650" width="5.85546875" style="254" bestFit="1" customWidth="1"/>
    <col min="15651" max="15652" width="11.42578125" style="254"/>
    <col min="15653" max="15653" width="19" style="254" customWidth="1"/>
    <col min="15654" max="15866" width="11.42578125" style="254"/>
    <col min="15867" max="15868" width="2.7109375" style="254" customWidth="1"/>
    <col min="15869" max="15869" width="4.85546875" style="254" bestFit="1" customWidth="1"/>
    <col min="15870" max="15871" width="2.7109375" style="254" customWidth="1"/>
    <col min="15872" max="15872" width="4.85546875" style="254" bestFit="1" customWidth="1"/>
    <col min="15873" max="15873" width="7.42578125" style="254" bestFit="1" customWidth="1"/>
    <col min="15874" max="15874" width="7.85546875" style="254" bestFit="1" customWidth="1"/>
    <col min="15875" max="15875" width="5.28515625" style="254" bestFit="1" customWidth="1"/>
    <col min="15876" max="15876" width="6.5703125" style="254" bestFit="1" customWidth="1"/>
    <col min="15877" max="15877" width="4.85546875" style="254" bestFit="1" customWidth="1"/>
    <col min="15878" max="15878" width="6.5703125" style="254" bestFit="1" customWidth="1"/>
    <col min="15879" max="15879" width="9.28515625" style="254" customWidth="1"/>
    <col min="15880" max="15880" width="7.28515625" style="254" customWidth="1"/>
    <col min="15881" max="15881" width="9.42578125" style="254" bestFit="1" customWidth="1"/>
    <col min="15882" max="15882" width="7.140625" style="254" bestFit="1" customWidth="1"/>
    <col min="15883" max="15883" width="11.28515625" style="254" bestFit="1" customWidth="1"/>
    <col min="15884" max="15884" width="7.7109375" style="254" bestFit="1" customWidth="1"/>
    <col min="15885" max="15885" width="10" style="254" bestFit="1" customWidth="1"/>
    <col min="15886" max="15886" width="8.85546875" style="254" customWidth="1"/>
    <col min="15887" max="15887" width="8.5703125" style="254" customWidth="1"/>
    <col min="15888" max="15888" width="6.7109375" style="254" customWidth="1"/>
    <col min="15889" max="15889" width="9.140625" style="254" bestFit="1" customWidth="1"/>
    <col min="15890" max="15890" width="8.5703125" style="254" bestFit="1" customWidth="1"/>
    <col min="15891" max="15891" width="8.140625" style="254" bestFit="1" customWidth="1"/>
    <col min="15892" max="15892" width="8.42578125" style="254" customWidth="1"/>
    <col min="15893" max="15893" width="7.28515625" style="254" customWidth="1"/>
    <col min="15894" max="15894" width="6" style="254" customWidth="1"/>
    <col min="15895" max="15895" width="6.85546875" style="254" customWidth="1"/>
    <col min="15896" max="15896" width="7.5703125" style="254" bestFit="1" customWidth="1"/>
    <col min="15897" max="15897" width="7.42578125" style="254" customWidth="1"/>
    <col min="15898" max="15898" width="8" style="254" customWidth="1"/>
    <col min="15899" max="15899" width="22.42578125" style="254" customWidth="1"/>
    <col min="15900" max="15900" width="26" style="254" bestFit="1" customWidth="1"/>
    <col min="15901" max="15901" width="11.7109375" style="254" bestFit="1" customWidth="1"/>
    <col min="15902" max="15902" width="3.28515625" style="254" bestFit="1" customWidth="1"/>
    <col min="15903" max="15903" width="4.7109375" style="254" bestFit="1" customWidth="1"/>
    <col min="15904" max="15904" width="16.140625" style="254" bestFit="1" customWidth="1"/>
    <col min="15905" max="15905" width="3.28515625" style="254" bestFit="1" customWidth="1"/>
    <col min="15906" max="15906" width="5.85546875" style="254" bestFit="1" customWidth="1"/>
    <col min="15907" max="15908" width="11.42578125" style="254"/>
    <col min="15909" max="15909" width="19" style="254" customWidth="1"/>
    <col min="15910" max="16122" width="11.42578125" style="254"/>
    <col min="16123" max="16124" width="2.7109375" style="254" customWidth="1"/>
    <col min="16125" max="16125" width="4.85546875" style="254" bestFit="1" customWidth="1"/>
    <col min="16126" max="16127" width="2.7109375" style="254" customWidth="1"/>
    <col min="16128" max="16128" width="4.85546875" style="254" bestFit="1" customWidth="1"/>
    <col min="16129" max="16129" width="7.42578125" style="254" bestFit="1" customWidth="1"/>
    <col min="16130" max="16130" width="7.85546875" style="254" bestFit="1" customWidth="1"/>
    <col min="16131" max="16131" width="5.28515625" style="254" bestFit="1" customWidth="1"/>
    <col min="16132" max="16132" width="6.5703125" style="254" bestFit="1" customWidth="1"/>
    <col min="16133" max="16133" width="4.85546875" style="254" bestFit="1" customWidth="1"/>
    <col min="16134" max="16134" width="6.5703125" style="254" bestFit="1" customWidth="1"/>
    <col min="16135" max="16135" width="9.28515625" style="254" customWidth="1"/>
    <col min="16136" max="16136" width="7.28515625" style="254" customWidth="1"/>
    <col min="16137" max="16137" width="9.42578125" style="254" bestFit="1" customWidth="1"/>
    <col min="16138" max="16138" width="7.140625" style="254" bestFit="1" customWidth="1"/>
    <col min="16139" max="16139" width="11.28515625" style="254" bestFit="1" customWidth="1"/>
    <col min="16140" max="16140" width="7.7109375" style="254" bestFit="1" customWidth="1"/>
    <col min="16141" max="16141" width="10" style="254" bestFit="1" customWidth="1"/>
    <col min="16142" max="16142" width="8.85546875" style="254" customWidth="1"/>
    <col min="16143" max="16143" width="8.5703125" style="254" customWidth="1"/>
    <col min="16144" max="16144" width="6.7109375" style="254" customWidth="1"/>
    <col min="16145" max="16145" width="9.140625" style="254" bestFit="1" customWidth="1"/>
    <col min="16146" max="16146" width="8.5703125" style="254" bestFit="1" customWidth="1"/>
    <col min="16147" max="16147" width="8.140625" style="254" bestFit="1" customWidth="1"/>
    <col min="16148" max="16148" width="8.42578125" style="254" customWidth="1"/>
    <col min="16149" max="16149" width="7.28515625" style="254" customWidth="1"/>
    <col min="16150" max="16150" width="6" style="254" customWidth="1"/>
    <col min="16151" max="16151" width="6.85546875" style="254" customWidth="1"/>
    <col min="16152" max="16152" width="7.5703125" style="254" bestFit="1" customWidth="1"/>
    <col min="16153" max="16153" width="7.42578125" style="254" customWidth="1"/>
    <col min="16154" max="16154" width="8" style="254" customWidth="1"/>
    <col min="16155" max="16155" width="22.42578125" style="254" customWidth="1"/>
    <col min="16156" max="16156" width="26" style="254" bestFit="1" customWidth="1"/>
    <col min="16157" max="16157" width="11.7109375" style="254" bestFit="1" customWidth="1"/>
    <col min="16158" max="16158" width="3.28515625" style="254" bestFit="1" customWidth="1"/>
    <col min="16159" max="16159" width="4.7109375" style="254" bestFit="1" customWidth="1"/>
    <col min="16160" max="16160" width="16.140625" style="254" bestFit="1" customWidth="1"/>
    <col min="16161" max="16161" width="3.28515625" style="254" bestFit="1" customWidth="1"/>
    <col min="16162" max="16162" width="5.85546875" style="254" bestFit="1" customWidth="1"/>
    <col min="16163" max="16164" width="11.42578125" style="254"/>
    <col min="16165" max="16165" width="19" style="254" customWidth="1"/>
    <col min="16166" max="16384" width="11.42578125" style="254"/>
  </cols>
  <sheetData>
    <row r="1" spans="1:34" s="253" customFormat="1" ht="36.75" customHeight="1">
      <c r="A1" s="731"/>
      <c r="B1" s="732"/>
      <c r="C1" s="732"/>
      <c r="D1" s="732"/>
      <c r="E1" s="732"/>
      <c r="F1" s="733"/>
      <c r="G1" s="730" t="s">
        <v>451</v>
      </c>
      <c r="H1" s="730"/>
      <c r="I1" s="730"/>
      <c r="J1" s="730"/>
      <c r="K1" s="730"/>
      <c r="L1" s="730"/>
      <c r="M1" s="730"/>
      <c r="N1" s="730"/>
      <c r="O1" s="730"/>
      <c r="P1" s="730"/>
      <c r="Q1" s="730"/>
      <c r="R1" s="730"/>
      <c r="S1" s="730"/>
      <c r="T1" s="730"/>
      <c r="U1" s="730"/>
      <c r="V1" s="730"/>
      <c r="W1" s="730"/>
      <c r="X1" s="730"/>
      <c r="Y1" s="730"/>
      <c r="Z1" s="730"/>
      <c r="AA1" s="730"/>
      <c r="AB1" s="730"/>
      <c r="AC1" s="730"/>
      <c r="AD1" s="730"/>
      <c r="AE1" s="730"/>
      <c r="AF1" s="730"/>
    </row>
    <row r="2" spans="1:34">
      <c r="A2" s="734"/>
      <c r="B2" s="735"/>
      <c r="C2" s="735"/>
      <c r="D2" s="735"/>
      <c r="E2" s="735"/>
      <c r="F2" s="736"/>
      <c r="G2" s="742" t="str">
        <f>PAVIM.!G2</f>
        <v>PREFEITURA MUNICIPAL DE MARACAJÁ</v>
      </c>
      <c r="H2" s="742"/>
      <c r="I2" s="742"/>
      <c r="J2" s="742"/>
      <c r="K2" s="742"/>
      <c r="L2" s="742"/>
      <c r="M2" s="742"/>
      <c r="N2" s="742"/>
      <c r="O2" s="742" t="str">
        <f>PAVIM.!I2</f>
        <v>BAIRRO: ESPIGÃO DA TOCA</v>
      </c>
      <c r="P2" s="742"/>
      <c r="Q2" s="742"/>
      <c r="R2" s="742"/>
      <c r="S2" s="743" t="str">
        <f>PAVIM.!K2</f>
        <v>MUNICIPIO: MARACAJÁ</v>
      </c>
      <c r="T2" s="742"/>
      <c r="U2" s="742"/>
      <c r="V2" s="742"/>
      <c r="W2" s="742" t="s">
        <v>363</v>
      </c>
      <c r="X2" s="742"/>
      <c r="Y2" s="742"/>
      <c r="Z2" s="742"/>
      <c r="AA2" s="742"/>
      <c r="AB2" s="744" t="str">
        <f ca="1">PAVIM.!M3</f>
        <v>DATA: 08/10/26</v>
      </c>
      <c r="AC2" s="744"/>
      <c r="AD2" s="744"/>
      <c r="AE2" s="744"/>
      <c r="AF2" s="744"/>
    </row>
    <row r="3" spans="1:34" ht="29.25" customHeight="1">
      <c r="A3" s="737"/>
      <c r="B3" s="738"/>
      <c r="C3" s="738"/>
      <c r="D3" s="738"/>
      <c r="E3" s="738"/>
      <c r="F3" s="739"/>
      <c r="G3" s="745" t="str">
        <f>PAVIM.!G3</f>
        <v>RODOVIA ANGELINO ACORDI</v>
      </c>
      <c r="H3" s="745"/>
      <c r="I3" s="745"/>
      <c r="J3" s="745"/>
      <c r="K3" s="746"/>
      <c r="L3" s="255" t="s">
        <v>364</v>
      </c>
      <c r="M3" s="256">
        <v>5</v>
      </c>
      <c r="N3" s="257" t="s">
        <v>365</v>
      </c>
      <c r="O3" s="258" t="s">
        <v>366</v>
      </c>
      <c r="P3" s="259">
        <v>1.2999999999999999E-2</v>
      </c>
      <c r="Q3" s="260" t="s">
        <v>367</v>
      </c>
      <c r="R3" s="261">
        <v>696.47</v>
      </c>
      <c r="S3" s="255" t="s">
        <v>368</v>
      </c>
      <c r="T3" s="567">
        <v>8.9700000000000006</v>
      </c>
      <c r="U3" s="260" t="s">
        <v>369</v>
      </c>
      <c r="V3" s="262">
        <v>0.19500000000000001</v>
      </c>
      <c r="W3" s="258" t="s">
        <v>370</v>
      </c>
      <c r="X3" s="263">
        <v>0.70099999999999996</v>
      </c>
      <c r="Y3" s="349"/>
      <c r="Z3" s="264"/>
      <c r="AA3" s="740"/>
      <c r="AB3" s="741"/>
      <c r="AC3" s="741"/>
      <c r="AD3" s="741"/>
      <c r="AE3" s="264"/>
      <c r="AF3" s="264"/>
    </row>
    <row r="4" spans="1:34">
      <c r="A4" s="726" t="s">
        <v>371</v>
      </c>
      <c r="B4" s="726"/>
      <c r="C4" s="726"/>
      <c r="D4" s="726"/>
      <c r="E4" s="726"/>
      <c r="F4" s="726"/>
      <c r="G4" s="729" t="s">
        <v>372</v>
      </c>
      <c r="H4" s="727" t="s">
        <v>373</v>
      </c>
      <c r="I4" s="727" t="s">
        <v>374</v>
      </c>
      <c r="J4" s="727" t="s">
        <v>375</v>
      </c>
      <c r="K4" s="728" t="s">
        <v>376</v>
      </c>
      <c r="L4" s="726" t="s">
        <v>377</v>
      </c>
      <c r="M4" s="726"/>
      <c r="N4" s="726"/>
      <c r="O4" s="726" t="s">
        <v>378</v>
      </c>
      <c r="P4" s="726"/>
      <c r="Q4" s="729" t="s">
        <v>379</v>
      </c>
      <c r="R4" s="729"/>
      <c r="S4" s="726" t="s">
        <v>380</v>
      </c>
      <c r="T4" s="726"/>
      <c r="U4" s="727" t="s">
        <v>381</v>
      </c>
      <c r="V4" s="729" t="s">
        <v>382</v>
      </c>
      <c r="W4" s="729"/>
      <c r="X4" s="729" t="s">
        <v>383</v>
      </c>
      <c r="Y4" s="729"/>
      <c r="Z4" s="729" t="s">
        <v>384</v>
      </c>
      <c r="AA4" s="729"/>
      <c r="AB4" s="729" t="s">
        <v>385</v>
      </c>
      <c r="AC4" s="729"/>
      <c r="AD4" s="727" t="s">
        <v>304</v>
      </c>
      <c r="AE4" s="727" t="s">
        <v>305</v>
      </c>
      <c r="AF4" s="727" t="s">
        <v>579</v>
      </c>
      <c r="AG4" s="265"/>
      <c r="AH4" s="265"/>
    </row>
    <row r="5" spans="1:34" ht="22.5">
      <c r="A5" s="726" t="s">
        <v>46</v>
      </c>
      <c r="B5" s="726"/>
      <c r="C5" s="726"/>
      <c r="D5" s="726" t="s">
        <v>47</v>
      </c>
      <c r="E5" s="726"/>
      <c r="F5" s="726"/>
      <c r="G5" s="729"/>
      <c r="H5" s="727"/>
      <c r="I5" s="727"/>
      <c r="J5" s="727"/>
      <c r="K5" s="728"/>
      <c r="L5" s="341" t="s">
        <v>386</v>
      </c>
      <c r="M5" s="341" t="s">
        <v>387</v>
      </c>
      <c r="N5" s="341" t="s">
        <v>388</v>
      </c>
      <c r="O5" s="340" t="s">
        <v>306</v>
      </c>
      <c r="P5" s="340" t="s">
        <v>307</v>
      </c>
      <c r="Q5" s="341" t="s">
        <v>389</v>
      </c>
      <c r="R5" s="341" t="s">
        <v>390</v>
      </c>
      <c r="S5" s="341" t="s">
        <v>391</v>
      </c>
      <c r="T5" s="341" t="s">
        <v>392</v>
      </c>
      <c r="U5" s="727"/>
      <c r="V5" s="341" t="s">
        <v>393</v>
      </c>
      <c r="W5" s="341" t="s">
        <v>394</v>
      </c>
      <c r="X5" s="340" t="s">
        <v>306</v>
      </c>
      <c r="Y5" s="340" t="s">
        <v>307</v>
      </c>
      <c r="Z5" s="341" t="s">
        <v>395</v>
      </c>
      <c r="AA5" s="341" t="s">
        <v>396</v>
      </c>
      <c r="AB5" s="341" t="s">
        <v>397</v>
      </c>
      <c r="AC5" s="341" t="s">
        <v>398</v>
      </c>
      <c r="AD5" s="727"/>
      <c r="AE5" s="727"/>
      <c r="AF5" s="727"/>
    </row>
    <row r="6" spans="1:34">
      <c r="A6" s="266">
        <v>3</v>
      </c>
      <c r="B6" s="266" t="s">
        <v>48</v>
      </c>
      <c r="C6" s="267">
        <v>9</v>
      </c>
      <c r="D6" s="266">
        <v>3</v>
      </c>
      <c r="E6" s="266" t="s">
        <v>48</v>
      </c>
      <c r="F6" s="267">
        <v>9</v>
      </c>
      <c r="G6" s="267">
        <v>14</v>
      </c>
      <c r="H6" s="267">
        <v>40000</v>
      </c>
      <c r="I6" s="267">
        <v>10</v>
      </c>
      <c r="J6" s="268">
        <f>($R$3*$M$3^$V$3)/(I6+$T$3)^$X$3</f>
        <v>121.13687506584991</v>
      </c>
      <c r="K6" s="269">
        <v>0.6</v>
      </c>
      <c r="L6" s="270">
        <f>K6*J6*(H6/(1000*1000)/3.6)</f>
        <v>0.80757916710566602</v>
      </c>
      <c r="M6" s="269">
        <v>0</v>
      </c>
      <c r="N6" s="269">
        <f>L6-M6</f>
        <v>0.80757916710566602</v>
      </c>
      <c r="O6" s="278">
        <v>33.5</v>
      </c>
      <c r="P6" s="278">
        <v>33</v>
      </c>
      <c r="Q6" s="271">
        <f>(O6-P6)/G6</f>
        <v>3.5714285714285712E-2</v>
      </c>
      <c r="R6" s="272">
        <f>(X6-Y6)/G6</f>
        <v>3.2857142857142918E-2</v>
      </c>
      <c r="S6" s="273">
        <f>1.5*(N6*$P$3/R6^0.5)^(3/8)</f>
        <v>0.51540229084799938</v>
      </c>
      <c r="T6" s="274">
        <v>600</v>
      </c>
      <c r="U6" s="275">
        <f>0.397*((T6/1000)^(2/3)*R6^0.5)/$P$3</f>
        <v>3.9378837031559972</v>
      </c>
      <c r="V6" s="275">
        <v>0.6</v>
      </c>
      <c r="W6" s="275">
        <f>P6-Y6</f>
        <v>0.78999999999999915</v>
      </c>
      <c r="X6" s="283">
        <v>32.67</v>
      </c>
      <c r="Y6" s="283">
        <v>32.21</v>
      </c>
      <c r="Z6" s="275">
        <f>O6-X6</f>
        <v>0.82999999999999829</v>
      </c>
      <c r="AA6" s="275">
        <f>P6-Y6</f>
        <v>0.78999999999999915</v>
      </c>
      <c r="AB6" s="275">
        <f>G6/(60*U6)</f>
        <v>5.9253485100722883E-2</v>
      </c>
      <c r="AC6" s="276">
        <v>0</v>
      </c>
      <c r="AD6" s="276">
        <f t="shared" ref="AD6" si="0">(G6*(Z6+AA6)/2*IF(T6=300,0.85,IF(T6=400,1,IF(T6=500,1.15,IF(T6=600,1.35,IF(T6=800,1.65,IF(T6=1000,2,IF(T6=1200,2.3,IF(T6=1500,2.85)))))))))</f>
        <v>15.308999999999976</v>
      </c>
      <c r="AE6" s="276">
        <f t="shared" ref="AE6" si="1">(G6-1)*(Z6+AA6)/2-(PI()*(IF(T6=300,0.5,IF(T6=400,0.6,IF(T6=500,0.7,IF(T6=600,0.8,IF(T6=800,1,IF(T6=1000,1.2,IF(T6=1200,1.4,IF(T6=1500,1.7)))))))))^2)</f>
        <v>8.5193807017025165</v>
      </c>
      <c r="AF6" s="276">
        <f>G6*0.96*0.15</f>
        <v>2.016</v>
      </c>
    </row>
    <row r="7" spans="1:34">
      <c r="A7" s="513"/>
      <c r="B7" s="513"/>
      <c r="C7" s="513"/>
      <c r="D7" s="513"/>
      <c r="E7" s="513"/>
      <c r="F7" s="513"/>
      <c r="G7" s="514"/>
      <c r="H7" s="515"/>
      <c r="I7" s="515"/>
      <c r="J7" s="515"/>
      <c r="K7" s="516"/>
      <c r="L7" s="514"/>
      <c r="M7" s="514"/>
      <c r="N7" s="514"/>
      <c r="O7" s="513"/>
      <c r="P7" s="513"/>
      <c r="Q7" s="514"/>
      <c r="R7" s="514"/>
      <c r="S7" s="514"/>
      <c r="T7" s="514"/>
      <c r="U7" s="515"/>
      <c r="V7" s="514"/>
      <c r="W7" s="514"/>
      <c r="X7" s="513"/>
      <c r="Y7" s="513"/>
      <c r="Z7" s="514"/>
      <c r="AA7" s="514"/>
      <c r="AB7" s="514"/>
      <c r="AC7" s="514"/>
      <c r="AD7" s="515"/>
      <c r="AE7" s="515"/>
      <c r="AF7" s="276"/>
    </row>
    <row r="8" spans="1:34">
      <c r="A8" s="266">
        <v>13</v>
      </c>
      <c r="B8" s="266" t="s">
        <v>48</v>
      </c>
      <c r="C8" s="267">
        <v>6</v>
      </c>
      <c r="D8" s="266">
        <v>13</v>
      </c>
      <c r="E8" s="266" t="s">
        <v>48</v>
      </c>
      <c r="F8" s="267">
        <v>6</v>
      </c>
      <c r="G8" s="267">
        <v>10</v>
      </c>
      <c r="H8" s="267">
        <v>66000</v>
      </c>
      <c r="I8" s="267">
        <v>10</v>
      </c>
      <c r="J8" s="268">
        <f>($R$3*$M$3^$V$3)/(I8+$T$3)^$X$3</f>
        <v>121.13687506584991</v>
      </c>
      <c r="K8" s="269">
        <v>0.6</v>
      </c>
      <c r="L8" s="270">
        <f>K8*J8*(H8/(1000*1000)/3.6)</f>
        <v>1.3325056257243488</v>
      </c>
      <c r="M8" s="269">
        <v>0</v>
      </c>
      <c r="N8" s="269">
        <f>L8-M8</f>
        <v>1.3325056257243488</v>
      </c>
      <c r="O8" s="278">
        <v>32.1</v>
      </c>
      <c r="P8" s="278">
        <v>30.8</v>
      </c>
      <c r="Q8" s="271">
        <f>(O8-P8)/G8</f>
        <v>0.13000000000000006</v>
      </c>
      <c r="R8" s="272">
        <f>(X8-Y8)/G8</f>
        <v>0.21140000000000009</v>
      </c>
      <c r="S8" s="273">
        <f>1.5*(N8*$P$3/R8^0.5)^(3/8)</f>
        <v>0.43864554820909823</v>
      </c>
      <c r="T8" s="274">
        <v>800</v>
      </c>
      <c r="U8" s="275">
        <f>0.397*((T8/1000)^(2/3)*R8^0.5)/$P$3</f>
        <v>12.100211755569429</v>
      </c>
      <c r="V8" s="275">
        <v>0.6</v>
      </c>
      <c r="W8" s="275">
        <f>P8-Y8</f>
        <v>1.4740000000000002</v>
      </c>
      <c r="X8" s="283">
        <v>31.44</v>
      </c>
      <c r="Y8" s="283">
        <v>29.326000000000001</v>
      </c>
      <c r="Z8" s="275">
        <f>O8-X8</f>
        <v>0.66000000000000014</v>
      </c>
      <c r="AA8" s="275">
        <f>P8-Y8</f>
        <v>1.4740000000000002</v>
      </c>
      <c r="AB8" s="275">
        <f>G8/(60*U8)</f>
        <v>1.3773863634242113E-2</v>
      </c>
      <c r="AC8" s="276">
        <v>0</v>
      </c>
      <c r="AD8" s="276">
        <f t="shared" ref="AD8" si="2">(G8*(Z8+AA8)/2*IF(T8=300,0.85,IF(T8=400,1,IF(T8=500,1.15,IF(T8=600,1.35,IF(T8=800,1.65,IF(T8=1000,2,IF(T8=1200,2.3,IF(T8=1500,2.85)))))))))</f>
        <v>17.605500000000003</v>
      </c>
      <c r="AE8" s="276">
        <f t="shared" ref="AE8" si="3">(G8-1)*(Z8+AA8)/2-(PI()*(IF(T8=300,0.5,IF(T8=400,0.6,IF(T8=500,0.7,IF(T8=600,0.8,IF(T8=800,1,IF(T8=1000,1.2,IF(T8=1200,1.4,IF(T8=1500,1.7)))))))))^2)</f>
        <v>6.4614073464102084</v>
      </c>
      <c r="AF8" s="276">
        <f>G8*1.2*0.15</f>
        <v>1.7999999999999998</v>
      </c>
    </row>
    <row r="9" spans="1:34">
      <c r="A9" s="513"/>
      <c r="B9" s="513"/>
      <c r="C9" s="513"/>
      <c r="D9" s="513"/>
      <c r="E9" s="513"/>
      <c r="F9" s="513"/>
      <c r="G9" s="514"/>
      <c r="H9" s="515"/>
      <c r="I9" s="515"/>
      <c r="J9" s="515"/>
      <c r="K9" s="516"/>
      <c r="L9" s="514"/>
      <c r="M9" s="514"/>
      <c r="N9" s="514"/>
      <c r="O9" s="513"/>
      <c r="P9" s="513"/>
      <c r="Q9" s="514"/>
      <c r="R9" s="514"/>
      <c r="S9" s="514"/>
      <c r="T9" s="514"/>
      <c r="U9" s="515"/>
      <c r="V9" s="514"/>
      <c r="W9" s="514"/>
      <c r="X9" s="513"/>
      <c r="Y9" s="513"/>
      <c r="Z9" s="514"/>
      <c r="AA9" s="514"/>
      <c r="AB9" s="514"/>
      <c r="AC9" s="514"/>
      <c r="AD9" s="515"/>
      <c r="AE9" s="515"/>
      <c r="AF9" s="276"/>
    </row>
    <row r="10" spans="1:34">
      <c r="A10" s="266">
        <v>15</v>
      </c>
      <c r="B10" s="266" t="s">
        <v>48</v>
      </c>
      <c r="C10" s="267">
        <v>5</v>
      </c>
      <c r="D10" s="266">
        <v>15</v>
      </c>
      <c r="E10" s="266" t="s">
        <v>48</v>
      </c>
      <c r="F10" s="267">
        <v>5</v>
      </c>
      <c r="G10" s="267">
        <v>14</v>
      </c>
      <c r="H10" s="267">
        <v>55681</v>
      </c>
      <c r="I10" s="267">
        <v>10</v>
      </c>
      <c r="J10" s="268">
        <f>($R$3*$M$3^$V$3)/(I10+$T$3)^$X$3</f>
        <v>121.13687506584991</v>
      </c>
      <c r="K10" s="269">
        <v>0.6</v>
      </c>
      <c r="L10" s="270">
        <f>K10*J10*(H10/(1000*1000)/3.6)</f>
        <v>1.1241703900902646</v>
      </c>
      <c r="M10" s="269">
        <v>0</v>
      </c>
      <c r="N10" s="269">
        <f>L10-M10</f>
        <v>1.1241703900902646</v>
      </c>
      <c r="O10" s="278">
        <v>32.1</v>
      </c>
      <c r="P10" s="278">
        <v>31.1</v>
      </c>
      <c r="Q10" s="271">
        <f>(O10-P10)/G10</f>
        <v>7.1428571428571425E-2</v>
      </c>
      <c r="R10" s="272">
        <f>(X10-Y10)/G10</f>
        <v>2.4285714285714275E-2</v>
      </c>
      <c r="S10" s="273">
        <f>1.5*(N10*$P$3/R10^0.5)^(3/8)</f>
        <v>0.61748836551367714</v>
      </c>
      <c r="T10" s="274">
        <v>600</v>
      </c>
      <c r="U10" s="275">
        <f>0.397*((T10/1000)^(2/3)*R10^0.5)/$P$3</f>
        <v>3.3855047598284584</v>
      </c>
      <c r="V10" s="275">
        <v>0.6</v>
      </c>
      <c r="W10" s="275">
        <f>P10-Y10</f>
        <v>0.36000000000000298</v>
      </c>
      <c r="X10" s="283">
        <v>31.08</v>
      </c>
      <c r="Y10" s="283">
        <v>30.74</v>
      </c>
      <c r="Z10" s="275">
        <f>O10-X10</f>
        <v>1.0200000000000031</v>
      </c>
      <c r="AA10" s="275">
        <f>P10-Y10</f>
        <v>0.36000000000000298</v>
      </c>
      <c r="AB10" s="275">
        <f>G10/(60*U10)</f>
        <v>6.8921283497222485E-2</v>
      </c>
      <c r="AC10" s="276">
        <v>0</v>
      </c>
      <c r="AD10" s="276">
        <f t="shared" ref="AD10" si="4">(G10*(Z10+AA10)/2*IF(T10=300,0.85,IF(T10=400,1,IF(T10=500,1.15,IF(T10=600,1.35,IF(T10=800,1.65,IF(T10=1000,2,IF(T10=1200,2.3,IF(T10=1500,2.85)))))))))</f>
        <v>13.041000000000059</v>
      </c>
      <c r="AE10" s="276">
        <f t="shared" ref="AE10" si="5">(G10-1)*(Z10+AA10)/2-(PI()*(IF(T10=300,0.5,IF(T10=400,0.6,IF(T10=500,0.7,IF(T10=600,0.8,IF(T10=800,1,IF(T10=1000,1.2,IF(T10=1200,1.4,IF(T10=1500,1.7)))))))))^2)</f>
        <v>6.9593807017025719</v>
      </c>
      <c r="AF10" s="276">
        <f>G10*0.96*0.15</f>
        <v>2.016</v>
      </c>
    </row>
    <row r="11" spans="1:34">
      <c r="A11" s="266"/>
      <c r="B11" s="277"/>
      <c r="C11" s="267"/>
      <c r="D11" s="266"/>
      <c r="E11" s="266"/>
      <c r="F11" s="267"/>
      <c r="G11" s="267"/>
      <c r="H11" s="267"/>
      <c r="I11" s="267"/>
      <c r="J11" s="268"/>
      <c r="K11" s="269"/>
      <c r="L11" s="270"/>
      <c r="M11" s="269"/>
      <c r="N11" s="269"/>
      <c r="O11" s="278"/>
      <c r="P11" s="278"/>
      <c r="Q11" s="271"/>
      <c r="R11" s="272"/>
      <c r="S11" s="273"/>
      <c r="T11" s="274"/>
      <c r="U11" s="275"/>
      <c r="V11" s="275"/>
      <c r="W11" s="275"/>
      <c r="X11" s="283"/>
      <c r="Y11" s="283"/>
      <c r="Z11" s="275"/>
      <c r="AA11" s="275"/>
      <c r="AB11" s="275"/>
      <c r="AC11" s="276"/>
      <c r="AD11" s="276"/>
      <c r="AE11" s="276"/>
      <c r="AF11" s="276"/>
    </row>
    <row r="12" spans="1:34">
      <c r="A12" s="266"/>
      <c r="B12" s="277"/>
      <c r="C12" s="267"/>
      <c r="D12" s="266"/>
      <c r="E12" s="266"/>
      <c r="F12" s="267"/>
      <c r="G12" s="267"/>
      <c r="H12" s="267"/>
      <c r="I12" s="267"/>
      <c r="J12" s="268"/>
      <c r="K12" s="269"/>
      <c r="L12" s="270"/>
      <c r="M12" s="269"/>
      <c r="N12" s="269"/>
      <c r="O12" s="278"/>
      <c r="P12" s="278"/>
      <c r="Q12" s="271"/>
      <c r="R12" s="272"/>
      <c r="S12" s="273"/>
      <c r="T12" s="274"/>
      <c r="U12" s="275"/>
      <c r="V12" s="275"/>
      <c r="W12" s="275"/>
      <c r="X12" s="283"/>
      <c r="Y12" s="283"/>
      <c r="Z12" s="275"/>
      <c r="AA12" s="275"/>
      <c r="AB12" s="275"/>
      <c r="AC12" s="276"/>
      <c r="AD12" s="276"/>
      <c r="AE12" s="276"/>
      <c r="AF12" s="276"/>
    </row>
    <row r="13" spans="1:34">
      <c r="A13" s="350"/>
      <c r="B13" s="349"/>
      <c r="C13" s="349"/>
      <c r="D13" s="349"/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49"/>
      <c r="AC13" s="349"/>
      <c r="AD13" s="349"/>
      <c r="AE13" s="349"/>
      <c r="AF13" s="349"/>
    </row>
    <row r="14" spans="1:34">
      <c r="A14" s="724" t="s">
        <v>308</v>
      </c>
      <c r="B14" s="725"/>
      <c r="C14" s="725"/>
      <c r="D14" s="725"/>
      <c r="E14" s="725"/>
      <c r="F14" s="725"/>
      <c r="G14" s="725"/>
      <c r="H14" s="725"/>
      <c r="I14" s="725"/>
      <c r="J14" s="725"/>
      <c r="K14" s="725"/>
      <c r="L14" s="725"/>
      <c r="M14" s="725"/>
      <c r="N14" s="725"/>
      <c r="O14" s="725"/>
      <c r="P14" s="725"/>
      <c r="Q14" s="725"/>
      <c r="R14" s="725"/>
      <c r="S14" s="725"/>
      <c r="T14" s="725"/>
      <c r="U14" s="725"/>
      <c r="V14" s="725"/>
      <c r="W14" s="725"/>
      <c r="X14" s="725"/>
      <c r="Y14" s="725"/>
      <c r="Z14" s="725"/>
      <c r="AA14" s="725"/>
      <c r="AB14" s="725"/>
      <c r="AC14" s="725"/>
      <c r="AD14" s="725"/>
      <c r="AE14" s="725"/>
      <c r="AF14" s="725"/>
    </row>
    <row r="15" spans="1:34">
      <c r="A15" s="266">
        <v>15</v>
      </c>
      <c r="B15" s="266" t="s">
        <v>48</v>
      </c>
      <c r="C15" s="267">
        <v>5</v>
      </c>
      <c r="D15" s="311"/>
      <c r="E15" s="311"/>
      <c r="F15" s="311"/>
      <c r="G15" s="342">
        <v>6</v>
      </c>
      <c r="H15" s="720" t="str">
        <f>G3</f>
        <v>RODOVIA ANGELINO ACORDI</v>
      </c>
      <c r="I15" s="720"/>
      <c r="J15" s="720"/>
      <c r="K15" s="720"/>
      <c r="L15" s="720"/>
      <c r="M15" s="199"/>
      <c r="N15" s="202"/>
      <c r="O15" s="279"/>
      <c r="P15" s="721" t="s">
        <v>581</v>
      </c>
      <c r="Q15" s="722"/>
      <c r="R15" s="723"/>
      <c r="S15" s="280">
        <v>2</v>
      </c>
      <c r="T15" s="280">
        <v>600</v>
      </c>
      <c r="U15" s="308"/>
      <c r="V15" s="308"/>
      <c r="W15" s="200"/>
      <c r="X15" s="200"/>
      <c r="Y15" s="201"/>
      <c r="Z15" s="308">
        <f>Z10</f>
        <v>1.0200000000000031</v>
      </c>
      <c r="AA15" s="308">
        <f>AA10</f>
        <v>0.36000000000000298</v>
      </c>
      <c r="AB15" s="201"/>
      <c r="AC15" s="201"/>
      <c r="AD15" s="276">
        <f t="shared" ref="AD15" si="6">(G15*(Z15+AA15)/2*IF(T15=300,0.85,IF(T15=400,1,IF(T15=500,1.15,IF(T15=600,1.35,IF(T15=800,1.65,IF(T15=1000,2,IF(T15=1200,2.3,IF(T15=1500,2.85)))))))))</f>
        <v>5.5890000000000253</v>
      </c>
      <c r="AE15" s="276">
        <f t="shared" ref="AE15" si="7">(G15-1)*(Z15+AA15)/2-(PI()*(IF(T15=300,0.5,IF(T15=400,0.6,IF(T15=500,0.7,IF(T15=600,0.8,IF(T15=800,1,IF(T15=1000,1.2,IF(T15=1200,1.4,IF(T15=1500,1.7)))))))))^2)</f>
        <v>1.4393807017025475</v>
      </c>
      <c r="AF15" s="276">
        <f>G15*0.96*0.15</f>
        <v>0.86399999999999999</v>
      </c>
    </row>
    <row r="16" spans="1:34">
      <c r="A16" s="311"/>
      <c r="B16" s="311"/>
      <c r="C16" s="342"/>
      <c r="D16" s="311"/>
      <c r="E16" s="311"/>
      <c r="F16" s="311"/>
      <c r="G16" s="342"/>
      <c r="H16" s="720"/>
      <c r="I16" s="720"/>
      <c r="J16" s="720"/>
      <c r="K16" s="720"/>
      <c r="L16" s="720"/>
      <c r="M16" s="199"/>
      <c r="N16" s="202"/>
      <c r="O16" s="279"/>
      <c r="P16" s="721"/>
      <c r="Q16" s="722"/>
      <c r="R16" s="723"/>
      <c r="S16" s="280"/>
      <c r="T16" s="280"/>
      <c r="U16" s="308"/>
      <c r="V16" s="308"/>
      <c r="W16" s="200"/>
      <c r="X16" s="200"/>
      <c r="Y16" s="201"/>
      <c r="Z16" s="308"/>
      <c r="AA16" s="308"/>
      <c r="AB16" s="201"/>
      <c r="AC16" s="201"/>
      <c r="AD16" s="276"/>
      <c r="AE16" s="276"/>
      <c r="AF16" s="276"/>
    </row>
    <row r="17" spans="1:32">
      <c r="A17" s="350"/>
      <c r="B17" s="349"/>
      <c r="C17" s="349"/>
      <c r="D17" s="349"/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49"/>
      <c r="S17" s="349"/>
      <c r="T17" s="349"/>
      <c r="U17" s="349"/>
      <c r="V17" s="349"/>
      <c r="W17" s="349"/>
      <c r="X17" s="349"/>
      <c r="Y17" s="349"/>
      <c r="Z17" s="349"/>
      <c r="AA17" s="349"/>
      <c r="AB17" s="349"/>
      <c r="AC17" s="349"/>
      <c r="AD17" s="349"/>
      <c r="AE17" s="349"/>
      <c r="AF17" s="349"/>
    </row>
    <row r="18" spans="1:32">
      <c r="A18" s="724" t="s">
        <v>308</v>
      </c>
      <c r="B18" s="725"/>
      <c r="C18" s="725"/>
      <c r="D18" s="725"/>
      <c r="E18" s="725"/>
      <c r="F18" s="725"/>
      <c r="G18" s="725"/>
      <c r="H18" s="725"/>
      <c r="I18" s="725"/>
      <c r="J18" s="725"/>
      <c r="K18" s="725"/>
      <c r="L18" s="725"/>
      <c r="M18" s="725"/>
      <c r="N18" s="725"/>
      <c r="O18" s="725"/>
      <c r="P18" s="725"/>
      <c r="Q18" s="725"/>
      <c r="R18" s="725"/>
      <c r="S18" s="725"/>
      <c r="T18" s="725"/>
      <c r="U18" s="725"/>
      <c r="V18" s="725"/>
      <c r="W18" s="725"/>
      <c r="X18" s="725"/>
      <c r="Y18" s="725"/>
      <c r="Z18" s="725"/>
      <c r="AA18" s="725"/>
      <c r="AB18" s="725"/>
      <c r="AC18" s="725"/>
      <c r="AD18" s="725"/>
      <c r="AE18" s="725"/>
      <c r="AF18" s="725"/>
    </row>
    <row r="19" spans="1:32">
      <c r="A19" s="266">
        <v>2</v>
      </c>
      <c r="B19" s="266" t="s">
        <v>48</v>
      </c>
      <c r="C19" s="267">
        <v>4</v>
      </c>
      <c r="D19" s="266">
        <v>4</v>
      </c>
      <c r="E19" s="266" t="s">
        <v>48</v>
      </c>
      <c r="F19" s="267">
        <v>9</v>
      </c>
      <c r="G19" s="555">
        <f t="shared" ref="G19:G22" si="8">(D19*20+F19)-(A19*20+C19)</f>
        <v>45</v>
      </c>
      <c r="H19" s="720" t="str">
        <f>H15</f>
        <v>RODOVIA ANGELINO ACORDI</v>
      </c>
      <c r="I19" s="720"/>
      <c r="J19" s="720"/>
      <c r="K19" s="720"/>
      <c r="L19" s="720"/>
      <c r="M19" s="199" t="s">
        <v>109</v>
      </c>
      <c r="N19" s="202"/>
      <c r="O19" s="279"/>
      <c r="P19" s="721" t="s">
        <v>583</v>
      </c>
      <c r="Q19" s="722"/>
      <c r="R19" s="723"/>
      <c r="S19" s="280" t="s">
        <v>42</v>
      </c>
      <c r="T19" s="280" t="s">
        <v>42</v>
      </c>
      <c r="U19" s="308"/>
      <c r="V19" s="308"/>
      <c r="W19" s="200"/>
      <c r="X19" s="200"/>
      <c r="Y19" s="201"/>
      <c r="Z19" s="308"/>
      <c r="AA19" s="308"/>
      <c r="AB19" s="201"/>
      <c r="AC19" s="201"/>
      <c r="AD19" s="276"/>
      <c r="AE19" s="276"/>
      <c r="AF19" s="276"/>
    </row>
    <row r="20" spans="1:32">
      <c r="A20" s="266">
        <v>4</v>
      </c>
      <c r="B20" s="266" t="s">
        <v>48</v>
      </c>
      <c r="C20" s="267">
        <v>10</v>
      </c>
      <c r="D20" s="266">
        <v>8</v>
      </c>
      <c r="E20" s="266" t="s">
        <v>48</v>
      </c>
      <c r="F20" s="267">
        <v>0</v>
      </c>
      <c r="G20" s="555">
        <f t="shared" si="8"/>
        <v>70</v>
      </c>
      <c r="H20" s="720" t="str">
        <f t="shared" ref="H20:H21" si="9">H19</f>
        <v>RODOVIA ANGELINO ACORDI</v>
      </c>
      <c r="I20" s="720"/>
      <c r="J20" s="720"/>
      <c r="K20" s="720"/>
      <c r="L20" s="720"/>
      <c r="M20" s="199" t="s">
        <v>109</v>
      </c>
      <c r="N20" s="202"/>
      <c r="O20" s="279"/>
      <c r="P20" s="721" t="s">
        <v>583</v>
      </c>
      <c r="Q20" s="722"/>
      <c r="R20" s="723"/>
      <c r="S20" s="280" t="s">
        <v>42</v>
      </c>
      <c r="T20" s="280" t="s">
        <v>42</v>
      </c>
      <c r="U20" s="308"/>
      <c r="V20" s="308"/>
      <c r="W20" s="200"/>
      <c r="X20" s="200"/>
      <c r="Y20" s="201"/>
      <c r="Z20" s="308"/>
      <c r="AA20" s="308"/>
      <c r="AB20" s="201"/>
      <c r="AC20" s="201"/>
      <c r="AD20" s="276"/>
      <c r="AE20" s="276"/>
      <c r="AF20" s="276"/>
    </row>
    <row r="21" spans="1:32">
      <c r="A21" s="266">
        <v>9</v>
      </c>
      <c r="B21" s="266" t="s">
        <v>48</v>
      </c>
      <c r="C21" s="267">
        <v>0</v>
      </c>
      <c r="D21" s="266">
        <v>13</v>
      </c>
      <c r="E21" s="266" t="s">
        <v>48</v>
      </c>
      <c r="F21" s="267">
        <v>0</v>
      </c>
      <c r="G21" s="555">
        <v>97</v>
      </c>
      <c r="H21" s="720" t="str">
        <f t="shared" si="9"/>
        <v>RODOVIA ANGELINO ACORDI</v>
      </c>
      <c r="I21" s="720"/>
      <c r="J21" s="720"/>
      <c r="K21" s="720"/>
      <c r="L21" s="720"/>
      <c r="M21" s="199" t="s">
        <v>594</v>
      </c>
      <c r="N21" s="202"/>
      <c r="O21" s="279"/>
      <c r="P21" s="721" t="s">
        <v>583</v>
      </c>
      <c r="Q21" s="722"/>
      <c r="R21" s="723"/>
      <c r="S21" s="280" t="s">
        <v>42</v>
      </c>
      <c r="T21" s="280" t="s">
        <v>42</v>
      </c>
      <c r="U21" s="308"/>
      <c r="V21" s="308"/>
      <c r="W21" s="200"/>
      <c r="X21" s="200"/>
      <c r="Y21" s="201"/>
      <c r="Z21" s="308"/>
      <c r="AA21" s="308"/>
      <c r="AB21" s="201"/>
      <c r="AC21" s="201"/>
      <c r="AD21" s="276"/>
      <c r="AE21" s="276"/>
      <c r="AF21" s="276"/>
    </row>
    <row r="22" spans="1:32">
      <c r="A22" s="266">
        <v>15</v>
      </c>
      <c r="B22" s="266" t="s">
        <v>48</v>
      </c>
      <c r="C22" s="267">
        <v>18</v>
      </c>
      <c r="D22" s="266">
        <v>20</v>
      </c>
      <c r="E22" s="266" t="s">
        <v>48</v>
      </c>
      <c r="F22" s="267">
        <v>0</v>
      </c>
      <c r="G22" s="555">
        <f t="shared" si="8"/>
        <v>82</v>
      </c>
      <c r="H22" s="720" t="str">
        <f>H21</f>
        <v>RODOVIA ANGELINO ACORDI</v>
      </c>
      <c r="I22" s="720"/>
      <c r="J22" s="720"/>
      <c r="K22" s="720"/>
      <c r="L22" s="720"/>
      <c r="M22" s="199" t="s">
        <v>109</v>
      </c>
      <c r="N22" s="202"/>
      <c r="O22" s="279"/>
      <c r="P22" s="721" t="s">
        <v>583</v>
      </c>
      <c r="Q22" s="722"/>
      <c r="R22" s="723"/>
      <c r="S22" s="280" t="s">
        <v>42</v>
      </c>
      <c r="T22" s="280" t="s">
        <v>42</v>
      </c>
      <c r="U22" s="308"/>
      <c r="V22" s="308"/>
      <c r="W22" s="200"/>
      <c r="X22" s="200"/>
      <c r="Y22" s="201"/>
      <c r="Z22" s="308"/>
      <c r="AA22" s="308"/>
      <c r="AB22" s="201"/>
      <c r="AC22" s="201"/>
      <c r="AD22" s="276"/>
      <c r="AE22" s="276"/>
      <c r="AF22" s="276"/>
    </row>
    <row r="23" spans="1:32">
      <c r="A23" s="311"/>
      <c r="B23" s="311"/>
      <c r="C23" s="342"/>
      <c r="D23" s="311"/>
      <c r="E23" s="311"/>
      <c r="F23" s="311"/>
      <c r="G23" s="342"/>
      <c r="H23" s="720"/>
      <c r="I23" s="720"/>
      <c r="J23" s="720"/>
      <c r="K23" s="720"/>
      <c r="L23" s="720"/>
      <c r="M23" s="199"/>
      <c r="N23" s="202"/>
      <c r="O23" s="279"/>
      <c r="P23" s="721"/>
      <c r="Q23" s="722"/>
      <c r="R23" s="723"/>
      <c r="S23" s="280"/>
      <c r="T23" s="280"/>
      <c r="U23" s="308"/>
      <c r="V23" s="308"/>
      <c r="W23" s="200"/>
      <c r="X23" s="200"/>
      <c r="Y23" s="201"/>
      <c r="Z23" s="308"/>
      <c r="AA23" s="308"/>
      <c r="AB23" s="201"/>
      <c r="AC23" s="201"/>
      <c r="AD23" s="276"/>
      <c r="AE23" s="276"/>
      <c r="AF23" s="276"/>
    </row>
    <row r="24" spans="1:32">
      <c r="A24" s="309"/>
      <c r="B24" s="309"/>
      <c r="C24" s="309"/>
      <c r="D24" s="309"/>
      <c r="E24" s="309"/>
      <c r="F24" s="309"/>
      <c r="G24" s="321"/>
      <c r="H24" s="307"/>
      <c r="I24" s="307"/>
      <c r="J24" s="307"/>
      <c r="K24" s="307"/>
      <c r="L24" s="310"/>
      <c r="M24" s="312"/>
      <c r="N24" s="313"/>
      <c r="O24" s="314"/>
      <c r="P24" s="315"/>
      <c r="Q24" s="315"/>
      <c r="R24" s="315"/>
      <c r="S24" s="316"/>
      <c r="T24" s="316"/>
      <c r="U24" s="317"/>
      <c r="V24" s="317"/>
      <c r="W24" s="318"/>
      <c r="X24" s="318"/>
      <c r="Y24" s="319"/>
      <c r="Z24" s="317"/>
      <c r="AA24" s="317"/>
      <c r="AB24" s="319"/>
      <c r="AC24" s="319"/>
      <c r="AD24" s="320"/>
      <c r="AE24" s="320"/>
      <c r="AF24" s="320"/>
    </row>
    <row r="25" spans="1:32">
      <c r="H25" s="720" t="s">
        <v>309</v>
      </c>
      <c r="I25" s="720"/>
      <c r="J25" s="342" t="s">
        <v>310</v>
      </c>
      <c r="K25" s="37" t="s">
        <v>311</v>
      </c>
    </row>
    <row r="26" spans="1:32">
      <c r="H26" s="747" t="s">
        <v>581</v>
      </c>
      <c r="I26" s="748"/>
      <c r="J26" s="311">
        <v>2</v>
      </c>
      <c r="K26" s="37" t="s">
        <v>12</v>
      </c>
    </row>
    <row r="27" spans="1:32">
      <c r="H27" s="281" t="s">
        <v>312</v>
      </c>
      <c r="I27" s="348">
        <v>600</v>
      </c>
      <c r="J27" s="282">
        <f>SUMIF(T:T,600,G:G)</f>
        <v>34</v>
      </c>
      <c r="K27" s="342" t="s">
        <v>14</v>
      </c>
    </row>
    <row r="28" spans="1:32">
      <c r="H28" s="281" t="s">
        <v>312</v>
      </c>
      <c r="I28" s="348">
        <v>800</v>
      </c>
      <c r="J28" s="282">
        <f>SUMIF(T:T,800,G:G)</f>
        <v>10</v>
      </c>
      <c r="K28" s="555" t="s">
        <v>14</v>
      </c>
    </row>
    <row r="29" spans="1:32">
      <c r="H29" s="720" t="s">
        <v>313</v>
      </c>
      <c r="I29" s="720"/>
      <c r="J29" s="282">
        <f>TRUNC(SUM(AD6:AD23),2)</f>
        <v>51.54</v>
      </c>
      <c r="K29" s="342" t="s">
        <v>13</v>
      </c>
    </row>
    <row r="30" spans="1:32">
      <c r="H30" s="720" t="s">
        <v>314</v>
      </c>
      <c r="I30" s="720"/>
      <c r="J30" s="282">
        <f>TRUNC(SUM(AE6:AE23),2)</f>
        <v>23.37</v>
      </c>
      <c r="K30" s="342" t="s">
        <v>13</v>
      </c>
    </row>
    <row r="31" spans="1:32">
      <c r="H31" s="720" t="s">
        <v>582</v>
      </c>
      <c r="I31" s="720"/>
      <c r="J31" s="282">
        <f>TRUNC(SUM(AF6:AF23),2)</f>
        <v>6.69</v>
      </c>
      <c r="K31" s="555" t="s">
        <v>13</v>
      </c>
    </row>
    <row r="32" spans="1:32">
      <c r="H32" s="720" t="s">
        <v>584</v>
      </c>
      <c r="I32" s="720"/>
      <c r="J32" s="555">
        <f>SUM(G19:G22)</f>
        <v>294</v>
      </c>
      <c r="K32" s="37" t="s">
        <v>14</v>
      </c>
    </row>
    <row r="36" spans="4:4">
      <c r="D36"/>
    </row>
  </sheetData>
  <sheetProtection selectLockedCells="1"/>
  <mergeCells count="51">
    <mergeCell ref="H32:I32"/>
    <mergeCell ref="H31:I31"/>
    <mergeCell ref="A18:AF18"/>
    <mergeCell ref="H19:L19"/>
    <mergeCell ref="H21:L21"/>
    <mergeCell ref="P21:R21"/>
    <mergeCell ref="H29:I29"/>
    <mergeCell ref="H30:I30"/>
    <mergeCell ref="H26:I26"/>
    <mergeCell ref="H22:L22"/>
    <mergeCell ref="P22:R22"/>
    <mergeCell ref="H23:L23"/>
    <mergeCell ref="P23:R23"/>
    <mergeCell ref="H25:I25"/>
    <mergeCell ref="U4:U5"/>
    <mergeCell ref="G1:AF1"/>
    <mergeCell ref="A1:F3"/>
    <mergeCell ref="AA3:AD3"/>
    <mergeCell ref="G2:N2"/>
    <mergeCell ref="O2:R2"/>
    <mergeCell ref="S2:V2"/>
    <mergeCell ref="W2:AA2"/>
    <mergeCell ref="AB2:AF2"/>
    <mergeCell ref="G3:K3"/>
    <mergeCell ref="H4:H5"/>
    <mergeCell ref="I4:I5"/>
    <mergeCell ref="J4:J5"/>
    <mergeCell ref="L4:N4"/>
    <mergeCell ref="S4:T4"/>
    <mergeCell ref="A14:AF14"/>
    <mergeCell ref="A5:C5"/>
    <mergeCell ref="D5:F5"/>
    <mergeCell ref="AF4:AF5"/>
    <mergeCell ref="H15:L15"/>
    <mergeCell ref="K4:K5"/>
    <mergeCell ref="O4:P4"/>
    <mergeCell ref="Q4:R4"/>
    <mergeCell ref="AE4:AE5"/>
    <mergeCell ref="Z4:AA4"/>
    <mergeCell ref="AB4:AC4"/>
    <mergeCell ref="AD4:AD5"/>
    <mergeCell ref="V4:W4"/>
    <mergeCell ref="X4:Y4"/>
    <mergeCell ref="A4:F4"/>
    <mergeCell ref="G4:G5"/>
    <mergeCell ref="H16:L16"/>
    <mergeCell ref="P15:R15"/>
    <mergeCell ref="P19:R19"/>
    <mergeCell ref="H20:L20"/>
    <mergeCell ref="P20:R20"/>
    <mergeCell ref="P16:R16"/>
  </mergeCells>
  <printOptions horizontalCentered="1"/>
  <pageMargins left="0.39370078740157483" right="0.39370078740157483" top="0.78740157480314965" bottom="1.1811023622047245" header="0.51181102362204722" footer="0.51181102362204722"/>
  <pageSetup paperSize="9" scale="62" orientation="landscape" r:id="rId1"/>
  <headerFooter alignWithMargins="0">
    <oddFooter>&amp;CEng° Darcio Pagani Vieira
Crea/SC - 077.222-9</oddFooter>
  </headerFooter>
  <ignoredErrors>
    <ignoredError sqref="AD6:AF11 AD15:AF15" unlockedFormula="1"/>
  </ignoredError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showGridLines="0" view="pageBreakPreview" zoomScale="145" zoomScaleSheetLayoutView="145" workbookViewId="0">
      <pane ySplit="3" topLeftCell="A22" activePane="bottomLeft" state="frozen"/>
      <selection activeCell="A10" sqref="A10:M10"/>
      <selection pane="bottomLeft" activeCell="A10" sqref="A10:M10"/>
    </sheetView>
  </sheetViews>
  <sheetFormatPr defaultRowHeight="12.75"/>
  <cols>
    <col min="1" max="1" width="2.7109375" style="34" customWidth="1"/>
    <col min="2" max="2" width="1.5703125" style="34" bestFit="1" customWidth="1"/>
    <col min="3" max="3" width="4.28515625" style="34" bestFit="1" customWidth="1"/>
    <col min="4" max="4" width="2.42578125" style="34" bestFit="1" customWidth="1"/>
    <col min="5" max="5" width="1.5703125" style="34" bestFit="1" customWidth="1"/>
    <col min="6" max="6" width="4.28515625" style="34" bestFit="1" customWidth="1"/>
    <col min="7" max="7" width="26.7109375" style="34" customWidth="1"/>
    <col min="8" max="8" width="7.85546875" style="34" customWidth="1"/>
    <col min="9" max="9" width="11.5703125" style="34" bestFit="1" customWidth="1"/>
    <col min="10" max="10" width="7.7109375" style="34" bestFit="1" customWidth="1"/>
    <col min="11" max="11" width="7.7109375" style="34" customWidth="1"/>
    <col min="12" max="12" width="9.5703125" style="34" bestFit="1" customWidth="1"/>
    <col min="13" max="13" width="17.5703125" style="34" customWidth="1"/>
    <col min="14" max="14" width="9.140625" style="34"/>
    <col min="15" max="15" width="13.5703125" style="547" bestFit="1" customWidth="1"/>
    <col min="16" max="16" width="1.85546875" style="34" bestFit="1" customWidth="1"/>
    <col min="17" max="17" width="13.5703125" style="34" bestFit="1" customWidth="1"/>
    <col min="18" max="258" width="9.140625" style="34"/>
    <col min="259" max="264" width="5.5703125" style="34" customWidth="1"/>
    <col min="265" max="265" width="12.7109375" style="34" customWidth="1"/>
    <col min="266" max="266" width="15.42578125" style="34" bestFit="1" customWidth="1"/>
    <col min="267" max="269" width="12.7109375" style="34" customWidth="1"/>
    <col min="270" max="514" width="9.140625" style="34"/>
    <col min="515" max="520" width="5.5703125" style="34" customWidth="1"/>
    <col min="521" max="521" width="12.7109375" style="34" customWidth="1"/>
    <col min="522" max="522" width="15.42578125" style="34" bestFit="1" customWidth="1"/>
    <col min="523" max="525" width="12.7109375" style="34" customWidth="1"/>
    <col min="526" max="770" width="9.140625" style="34"/>
    <col min="771" max="776" width="5.5703125" style="34" customWidth="1"/>
    <col min="777" max="777" width="12.7109375" style="34" customWidth="1"/>
    <col min="778" max="778" width="15.42578125" style="34" bestFit="1" customWidth="1"/>
    <col min="779" max="781" width="12.7109375" style="34" customWidth="1"/>
    <col min="782" max="1026" width="9.140625" style="34"/>
    <col min="1027" max="1032" width="5.5703125" style="34" customWidth="1"/>
    <col min="1033" max="1033" width="12.7109375" style="34" customWidth="1"/>
    <col min="1034" max="1034" width="15.42578125" style="34" bestFit="1" customWidth="1"/>
    <col min="1035" max="1037" width="12.7109375" style="34" customWidth="1"/>
    <col min="1038" max="1282" width="9.140625" style="34"/>
    <col min="1283" max="1288" width="5.5703125" style="34" customWidth="1"/>
    <col min="1289" max="1289" width="12.7109375" style="34" customWidth="1"/>
    <col min="1290" max="1290" width="15.42578125" style="34" bestFit="1" customWidth="1"/>
    <col min="1291" max="1293" width="12.7109375" style="34" customWidth="1"/>
    <col min="1294" max="1538" width="9.140625" style="34"/>
    <col min="1539" max="1544" width="5.5703125" style="34" customWidth="1"/>
    <col min="1545" max="1545" width="12.7109375" style="34" customWidth="1"/>
    <col min="1546" max="1546" width="15.42578125" style="34" bestFit="1" customWidth="1"/>
    <col min="1547" max="1549" width="12.7109375" style="34" customWidth="1"/>
    <col min="1550" max="1794" width="9.140625" style="34"/>
    <col min="1795" max="1800" width="5.5703125" style="34" customWidth="1"/>
    <col min="1801" max="1801" width="12.7109375" style="34" customWidth="1"/>
    <col min="1802" max="1802" width="15.42578125" style="34" bestFit="1" customWidth="1"/>
    <col min="1803" max="1805" width="12.7109375" style="34" customWidth="1"/>
    <col min="1806" max="2050" width="9.140625" style="34"/>
    <col min="2051" max="2056" width="5.5703125" style="34" customWidth="1"/>
    <col min="2057" max="2057" width="12.7109375" style="34" customWidth="1"/>
    <col min="2058" max="2058" width="15.42578125" style="34" bestFit="1" customWidth="1"/>
    <col min="2059" max="2061" width="12.7109375" style="34" customWidth="1"/>
    <col min="2062" max="2306" width="9.140625" style="34"/>
    <col min="2307" max="2312" width="5.5703125" style="34" customWidth="1"/>
    <col min="2313" max="2313" width="12.7109375" style="34" customWidth="1"/>
    <col min="2314" max="2314" width="15.42578125" style="34" bestFit="1" customWidth="1"/>
    <col min="2315" max="2317" width="12.7109375" style="34" customWidth="1"/>
    <col min="2318" max="2562" width="9.140625" style="34"/>
    <col min="2563" max="2568" width="5.5703125" style="34" customWidth="1"/>
    <col min="2569" max="2569" width="12.7109375" style="34" customWidth="1"/>
    <col min="2570" max="2570" width="15.42578125" style="34" bestFit="1" customWidth="1"/>
    <col min="2571" max="2573" width="12.7109375" style="34" customWidth="1"/>
    <col min="2574" max="2818" width="9.140625" style="34"/>
    <col min="2819" max="2824" width="5.5703125" style="34" customWidth="1"/>
    <col min="2825" max="2825" width="12.7109375" style="34" customWidth="1"/>
    <col min="2826" max="2826" width="15.42578125" style="34" bestFit="1" customWidth="1"/>
    <col min="2827" max="2829" width="12.7109375" style="34" customWidth="1"/>
    <col min="2830" max="3074" width="9.140625" style="34"/>
    <col min="3075" max="3080" width="5.5703125" style="34" customWidth="1"/>
    <col min="3081" max="3081" width="12.7109375" style="34" customWidth="1"/>
    <col min="3082" max="3082" width="15.42578125" style="34" bestFit="1" customWidth="1"/>
    <col min="3083" max="3085" width="12.7109375" style="34" customWidth="1"/>
    <col min="3086" max="3330" width="9.140625" style="34"/>
    <col min="3331" max="3336" width="5.5703125" style="34" customWidth="1"/>
    <col min="3337" max="3337" width="12.7109375" style="34" customWidth="1"/>
    <col min="3338" max="3338" width="15.42578125" style="34" bestFit="1" customWidth="1"/>
    <col min="3339" max="3341" width="12.7109375" style="34" customWidth="1"/>
    <col min="3342" max="3586" width="9.140625" style="34"/>
    <col min="3587" max="3592" width="5.5703125" style="34" customWidth="1"/>
    <col min="3593" max="3593" width="12.7109375" style="34" customWidth="1"/>
    <col min="3594" max="3594" width="15.42578125" style="34" bestFit="1" customWidth="1"/>
    <col min="3595" max="3597" width="12.7109375" style="34" customWidth="1"/>
    <col min="3598" max="3842" width="9.140625" style="34"/>
    <col min="3843" max="3848" width="5.5703125" style="34" customWidth="1"/>
    <col min="3849" max="3849" width="12.7109375" style="34" customWidth="1"/>
    <col min="3850" max="3850" width="15.42578125" style="34" bestFit="1" customWidth="1"/>
    <col min="3851" max="3853" width="12.7109375" style="34" customWidth="1"/>
    <col min="3854" max="4098" width="9.140625" style="34"/>
    <col min="4099" max="4104" width="5.5703125" style="34" customWidth="1"/>
    <col min="4105" max="4105" width="12.7109375" style="34" customWidth="1"/>
    <col min="4106" max="4106" width="15.42578125" style="34" bestFit="1" customWidth="1"/>
    <col min="4107" max="4109" width="12.7109375" style="34" customWidth="1"/>
    <col min="4110" max="4354" width="9.140625" style="34"/>
    <col min="4355" max="4360" width="5.5703125" style="34" customWidth="1"/>
    <col min="4361" max="4361" width="12.7109375" style="34" customWidth="1"/>
    <col min="4362" max="4362" width="15.42578125" style="34" bestFit="1" customWidth="1"/>
    <col min="4363" max="4365" width="12.7109375" style="34" customWidth="1"/>
    <col min="4366" max="4610" width="9.140625" style="34"/>
    <col min="4611" max="4616" width="5.5703125" style="34" customWidth="1"/>
    <col min="4617" max="4617" width="12.7109375" style="34" customWidth="1"/>
    <col min="4618" max="4618" width="15.42578125" style="34" bestFit="1" customWidth="1"/>
    <col min="4619" max="4621" width="12.7109375" style="34" customWidth="1"/>
    <col min="4622" max="4866" width="9.140625" style="34"/>
    <col min="4867" max="4872" width="5.5703125" style="34" customWidth="1"/>
    <col min="4873" max="4873" width="12.7109375" style="34" customWidth="1"/>
    <col min="4874" max="4874" width="15.42578125" style="34" bestFit="1" customWidth="1"/>
    <col min="4875" max="4877" width="12.7109375" style="34" customWidth="1"/>
    <col min="4878" max="5122" width="9.140625" style="34"/>
    <col min="5123" max="5128" width="5.5703125" style="34" customWidth="1"/>
    <col min="5129" max="5129" width="12.7109375" style="34" customWidth="1"/>
    <col min="5130" max="5130" width="15.42578125" style="34" bestFit="1" customWidth="1"/>
    <col min="5131" max="5133" width="12.7109375" style="34" customWidth="1"/>
    <col min="5134" max="5378" width="9.140625" style="34"/>
    <col min="5379" max="5384" width="5.5703125" style="34" customWidth="1"/>
    <col min="5385" max="5385" width="12.7109375" style="34" customWidth="1"/>
    <col min="5386" max="5386" width="15.42578125" style="34" bestFit="1" customWidth="1"/>
    <col min="5387" max="5389" width="12.7109375" style="34" customWidth="1"/>
    <col min="5390" max="5634" width="9.140625" style="34"/>
    <col min="5635" max="5640" width="5.5703125" style="34" customWidth="1"/>
    <col min="5641" max="5641" width="12.7109375" style="34" customWidth="1"/>
    <col min="5642" max="5642" width="15.42578125" style="34" bestFit="1" customWidth="1"/>
    <col min="5643" max="5645" width="12.7109375" style="34" customWidth="1"/>
    <col min="5646" max="5890" width="9.140625" style="34"/>
    <col min="5891" max="5896" width="5.5703125" style="34" customWidth="1"/>
    <col min="5897" max="5897" width="12.7109375" style="34" customWidth="1"/>
    <col min="5898" max="5898" width="15.42578125" style="34" bestFit="1" customWidth="1"/>
    <col min="5899" max="5901" width="12.7109375" style="34" customWidth="1"/>
    <col min="5902" max="6146" width="9.140625" style="34"/>
    <col min="6147" max="6152" width="5.5703125" style="34" customWidth="1"/>
    <col min="6153" max="6153" width="12.7109375" style="34" customWidth="1"/>
    <col min="6154" max="6154" width="15.42578125" style="34" bestFit="1" customWidth="1"/>
    <col min="6155" max="6157" width="12.7109375" style="34" customWidth="1"/>
    <col min="6158" max="6402" width="9.140625" style="34"/>
    <col min="6403" max="6408" width="5.5703125" style="34" customWidth="1"/>
    <col min="6409" max="6409" width="12.7109375" style="34" customWidth="1"/>
    <col min="6410" max="6410" width="15.42578125" style="34" bestFit="1" customWidth="1"/>
    <col min="6411" max="6413" width="12.7109375" style="34" customWidth="1"/>
    <col min="6414" max="6658" width="9.140625" style="34"/>
    <col min="6659" max="6664" width="5.5703125" style="34" customWidth="1"/>
    <col min="6665" max="6665" width="12.7109375" style="34" customWidth="1"/>
    <col min="6666" max="6666" width="15.42578125" style="34" bestFit="1" customWidth="1"/>
    <col min="6667" max="6669" width="12.7109375" style="34" customWidth="1"/>
    <col min="6670" max="6914" width="9.140625" style="34"/>
    <col min="6915" max="6920" width="5.5703125" style="34" customWidth="1"/>
    <col min="6921" max="6921" width="12.7109375" style="34" customWidth="1"/>
    <col min="6922" max="6922" width="15.42578125" style="34" bestFit="1" customWidth="1"/>
    <col min="6923" max="6925" width="12.7109375" style="34" customWidth="1"/>
    <col min="6926" max="7170" width="9.140625" style="34"/>
    <col min="7171" max="7176" width="5.5703125" style="34" customWidth="1"/>
    <col min="7177" max="7177" width="12.7109375" style="34" customWidth="1"/>
    <col min="7178" max="7178" width="15.42578125" style="34" bestFit="1" customWidth="1"/>
    <col min="7179" max="7181" width="12.7109375" style="34" customWidth="1"/>
    <col min="7182" max="7426" width="9.140625" style="34"/>
    <col min="7427" max="7432" width="5.5703125" style="34" customWidth="1"/>
    <col min="7433" max="7433" width="12.7109375" style="34" customWidth="1"/>
    <col min="7434" max="7434" width="15.42578125" style="34" bestFit="1" customWidth="1"/>
    <col min="7435" max="7437" width="12.7109375" style="34" customWidth="1"/>
    <col min="7438" max="7682" width="9.140625" style="34"/>
    <col min="7683" max="7688" width="5.5703125" style="34" customWidth="1"/>
    <col min="7689" max="7689" width="12.7109375" style="34" customWidth="1"/>
    <col min="7690" max="7690" width="15.42578125" style="34" bestFit="1" customWidth="1"/>
    <col min="7691" max="7693" width="12.7109375" style="34" customWidth="1"/>
    <col min="7694" max="7938" width="9.140625" style="34"/>
    <col min="7939" max="7944" width="5.5703125" style="34" customWidth="1"/>
    <col min="7945" max="7945" width="12.7109375" style="34" customWidth="1"/>
    <col min="7946" max="7946" width="15.42578125" style="34" bestFit="1" customWidth="1"/>
    <col min="7947" max="7949" width="12.7109375" style="34" customWidth="1"/>
    <col min="7950" max="8194" width="9.140625" style="34"/>
    <col min="8195" max="8200" width="5.5703125" style="34" customWidth="1"/>
    <col min="8201" max="8201" width="12.7109375" style="34" customWidth="1"/>
    <col min="8202" max="8202" width="15.42578125" style="34" bestFit="1" customWidth="1"/>
    <col min="8203" max="8205" width="12.7109375" style="34" customWidth="1"/>
    <col min="8206" max="8450" width="9.140625" style="34"/>
    <col min="8451" max="8456" width="5.5703125" style="34" customWidth="1"/>
    <col min="8457" max="8457" width="12.7109375" style="34" customWidth="1"/>
    <col min="8458" max="8458" width="15.42578125" style="34" bestFit="1" customWidth="1"/>
    <col min="8459" max="8461" width="12.7109375" style="34" customWidth="1"/>
    <col min="8462" max="8706" width="9.140625" style="34"/>
    <col min="8707" max="8712" width="5.5703125" style="34" customWidth="1"/>
    <col min="8713" max="8713" width="12.7109375" style="34" customWidth="1"/>
    <col min="8714" max="8714" width="15.42578125" style="34" bestFit="1" customWidth="1"/>
    <col min="8715" max="8717" width="12.7109375" style="34" customWidth="1"/>
    <col min="8718" max="8962" width="9.140625" style="34"/>
    <col min="8963" max="8968" width="5.5703125" style="34" customWidth="1"/>
    <col min="8969" max="8969" width="12.7109375" style="34" customWidth="1"/>
    <col min="8970" max="8970" width="15.42578125" style="34" bestFit="1" customWidth="1"/>
    <col min="8971" max="8973" width="12.7109375" style="34" customWidth="1"/>
    <col min="8974" max="9218" width="9.140625" style="34"/>
    <col min="9219" max="9224" width="5.5703125" style="34" customWidth="1"/>
    <col min="9225" max="9225" width="12.7109375" style="34" customWidth="1"/>
    <col min="9226" max="9226" width="15.42578125" style="34" bestFit="1" customWidth="1"/>
    <col min="9227" max="9229" width="12.7109375" style="34" customWidth="1"/>
    <col min="9230" max="9474" width="9.140625" style="34"/>
    <col min="9475" max="9480" width="5.5703125" style="34" customWidth="1"/>
    <col min="9481" max="9481" width="12.7109375" style="34" customWidth="1"/>
    <col min="9482" max="9482" width="15.42578125" style="34" bestFit="1" customWidth="1"/>
    <col min="9483" max="9485" width="12.7109375" style="34" customWidth="1"/>
    <col min="9486" max="9730" width="9.140625" style="34"/>
    <col min="9731" max="9736" width="5.5703125" style="34" customWidth="1"/>
    <col min="9737" max="9737" width="12.7109375" style="34" customWidth="1"/>
    <col min="9738" max="9738" width="15.42578125" style="34" bestFit="1" customWidth="1"/>
    <col min="9739" max="9741" width="12.7109375" style="34" customWidth="1"/>
    <col min="9742" max="9986" width="9.140625" style="34"/>
    <col min="9987" max="9992" width="5.5703125" style="34" customWidth="1"/>
    <col min="9993" max="9993" width="12.7109375" style="34" customWidth="1"/>
    <col min="9994" max="9994" width="15.42578125" style="34" bestFit="1" customWidth="1"/>
    <col min="9995" max="9997" width="12.7109375" style="34" customWidth="1"/>
    <col min="9998" max="10242" width="9.140625" style="34"/>
    <col min="10243" max="10248" width="5.5703125" style="34" customWidth="1"/>
    <col min="10249" max="10249" width="12.7109375" style="34" customWidth="1"/>
    <col min="10250" max="10250" width="15.42578125" style="34" bestFit="1" customWidth="1"/>
    <col min="10251" max="10253" width="12.7109375" style="34" customWidth="1"/>
    <col min="10254" max="10498" width="9.140625" style="34"/>
    <col min="10499" max="10504" width="5.5703125" style="34" customWidth="1"/>
    <col min="10505" max="10505" width="12.7109375" style="34" customWidth="1"/>
    <col min="10506" max="10506" width="15.42578125" style="34" bestFit="1" customWidth="1"/>
    <col min="10507" max="10509" width="12.7109375" style="34" customWidth="1"/>
    <col min="10510" max="10754" width="9.140625" style="34"/>
    <col min="10755" max="10760" width="5.5703125" style="34" customWidth="1"/>
    <col min="10761" max="10761" width="12.7109375" style="34" customWidth="1"/>
    <col min="10762" max="10762" width="15.42578125" style="34" bestFit="1" customWidth="1"/>
    <col min="10763" max="10765" width="12.7109375" style="34" customWidth="1"/>
    <col min="10766" max="11010" width="9.140625" style="34"/>
    <col min="11011" max="11016" width="5.5703125" style="34" customWidth="1"/>
    <col min="11017" max="11017" width="12.7109375" style="34" customWidth="1"/>
    <col min="11018" max="11018" width="15.42578125" style="34" bestFit="1" customWidth="1"/>
    <col min="11019" max="11021" width="12.7109375" style="34" customWidth="1"/>
    <col min="11022" max="11266" width="9.140625" style="34"/>
    <col min="11267" max="11272" width="5.5703125" style="34" customWidth="1"/>
    <col min="11273" max="11273" width="12.7109375" style="34" customWidth="1"/>
    <col min="11274" max="11274" width="15.42578125" style="34" bestFit="1" customWidth="1"/>
    <col min="11275" max="11277" width="12.7109375" style="34" customWidth="1"/>
    <col min="11278" max="11522" width="9.140625" style="34"/>
    <col min="11523" max="11528" width="5.5703125" style="34" customWidth="1"/>
    <col min="11529" max="11529" width="12.7109375" style="34" customWidth="1"/>
    <col min="11530" max="11530" width="15.42578125" style="34" bestFit="1" customWidth="1"/>
    <col min="11531" max="11533" width="12.7109375" style="34" customWidth="1"/>
    <col min="11534" max="11778" width="9.140625" style="34"/>
    <col min="11779" max="11784" width="5.5703125" style="34" customWidth="1"/>
    <col min="11785" max="11785" width="12.7109375" style="34" customWidth="1"/>
    <col min="11786" max="11786" width="15.42578125" style="34" bestFit="1" customWidth="1"/>
    <col min="11787" max="11789" width="12.7109375" style="34" customWidth="1"/>
    <col min="11790" max="12034" width="9.140625" style="34"/>
    <col min="12035" max="12040" width="5.5703125" style="34" customWidth="1"/>
    <col min="12041" max="12041" width="12.7109375" style="34" customWidth="1"/>
    <col min="12042" max="12042" width="15.42578125" style="34" bestFit="1" customWidth="1"/>
    <col min="12043" max="12045" width="12.7109375" style="34" customWidth="1"/>
    <col min="12046" max="12290" width="9.140625" style="34"/>
    <col min="12291" max="12296" width="5.5703125" style="34" customWidth="1"/>
    <col min="12297" max="12297" width="12.7109375" style="34" customWidth="1"/>
    <col min="12298" max="12298" width="15.42578125" style="34" bestFit="1" customWidth="1"/>
    <col min="12299" max="12301" width="12.7109375" style="34" customWidth="1"/>
    <col min="12302" max="12546" width="9.140625" style="34"/>
    <col min="12547" max="12552" width="5.5703125" style="34" customWidth="1"/>
    <col min="12553" max="12553" width="12.7109375" style="34" customWidth="1"/>
    <col min="12554" max="12554" width="15.42578125" style="34" bestFit="1" customWidth="1"/>
    <col min="12555" max="12557" width="12.7109375" style="34" customWidth="1"/>
    <col min="12558" max="12802" width="9.140625" style="34"/>
    <col min="12803" max="12808" width="5.5703125" style="34" customWidth="1"/>
    <col min="12809" max="12809" width="12.7109375" style="34" customWidth="1"/>
    <col min="12810" max="12810" width="15.42578125" style="34" bestFit="1" customWidth="1"/>
    <col min="12811" max="12813" width="12.7109375" style="34" customWidth="1"/>
    <col min="12814" max="13058" width="9.140625" style="34"/>
    <col min="13059" max="13064" width="5.5703125" style="34" customWidth="1"/>
    <col min="13065" max="13065" width="12.7109375" style="34" customWidth="1"/>
    <col min="13066" max="13066" width="15.42578125" style="34" bestFit="1" customWidth="1"/>
    <col min="13067" max="13069" width="12.7109375" style="34" customWidth="1"/>
    <col min="13070" max="13314" width="9.140625" style="34"/>
    <col min="13315" max="13320" width="5.5703125" style="34" customWidth="1"/>
    <col min="13321" max="13321" width="12.7109375" style="34" customWidth="1"/>
    <col min="13322" max="13322" width="15.42578125" style="34" bestFit="1" customWidth="1"/>
    <col min="13323" max="13325" width="12.7109375" style="34" customWidth="1"/>
    <col min="13326" max="13570" width="9.140625" style="34"/>
    <col min="13571" max="13576" width="5.5703125" style="34" customWidth="1"/>
    <col min="13577" max="13577" width="12.7109375" style="34" customWidth="1"/>
    <col min="13578" max="13578" width="15.42578125" style="34" bestFit="1" customWidth="1"/>
    <col min="13579" max="13581" width="12.7109375" style="34" customWidth="1"/>
    <col min="13582" max="13826" width="9.140625" style="34"/>
    <col min="13827" max="13832" width="5.5703125" style="34" customWidth="1"/>
    <col min="13833" max="13833" width="12.7109375" style="34" customWidth="1"/>
    <col min="13834" max="13834" width="15.42578125" style="34" bestFit="1" customWidth="1"/>
    <col min="13835" max="13837" width="12.7109375" style="34" customWidth="1"/>
    <col min="13838" max="14082" width="9.140625" style="34"/>
    <col min="14083" max="14088" width="5.5703125" style="34" customWidth="1"/>
    <col min="14089" max="14089" width="12.7109375" style="34" customWidth="1"/>
    <col min="14090" max="14090" width="15.42578125" style="34" bestFit="1" customWidth="1"/>
    <col min="14091" max="14093" width="12.7109375" style="34" customWidth="1"/>
    <col min="14094" max="14338" width="9.140625" style="34"/>
    <col min="14339" max="14344" width="5.5703125" style="34" customWidth="1"/>
    <col min="14345" max="14345" width="12.7109375" style="34" customWidth="1"/>
    <col min="14346" max="14346" width="15.42578125" style="34" bestFit="1" customWidth="1"/>
    <col min="14347" max="14349" width="12.7109375" style="34" customWidth="1"/>
    <col min="14350" max="14594" width="9.140625" style="34"/>
    <col min="14595" max="14600" width="5.5703125" style="34" customWidth="1"/>
    <col min="14601" max="14601" width="12.7109375" style="34" customWidth="1"/>
    <col min="14602" max="14602" width="15.42578125" style="34" bestFit="1" customWidth="1"/>
    <col min="14603" max="14605" width="12.7109375" style="34" customWidth="1"/>
    <col min="14606" max="14850" width="9.140625" style="34"/>
    <col min="14851" max="14856" width="5.5703125" style="34" customWidth="1"/>
    <col min="14857" max="14857" width="12.7109375" style="34" customWidth="1"/>
    <col min="14858" max="14858" width="15.42578125" style="34" bestFit="1" customWidth="1"/>
    <col min="14859" max="14861" width="12.7109375" style="34" customWidth="1"/>
    <col min="14862" max="15106" width="9.140625" style="34"/>
    <col min="15107" max="15112" width="5.5703125" style="34" customWidth="1"/>
    <col min="15113" max="15113" width="12.7109375" style="34" customWidth="1"/>
    <col min="15114" max="15114" width="15.42578125" style="34" bestFit="1" customWidth="1"/>
    <col min="15115" max="15117" width="12.7109375" style="34" customWidth="1"/>
    <col min="15118" max="15362" width="9.140625" style="34"/>
    <col min="15363" max="15368" width="5.5703125" style="34" customWidth="1"/>
    <col min="15369" max="15369" width="12.7109375" style="34" customWidth="1"/>
    <col min="15370" max="15370" width="15.42578125" style="34" bestFit="1" customWidth="1"/>
    <col min="15371" max="15373" width="12.7109375" style="34" customWidth="1"/>
    <col min="15374" max="15618" width="9.140625" style="34"/>
    <col min="15619" max="15624" width="5.5703125" style="34" customWidth="1"/>
    <col min="15625" max="15625" width="12.7109375" style="34" customWidth="1"/>
    <col min="15626" max="15626" width="15.42578125" style="34" bestFit="1" customWidth="1"/>
    <col min="15627" max="15629" width="12.7109375" style="34" customWidth="1"/>
    <col min="15630" max="15874" width="9.140625" style="34"/>
    <col min="15875" max="15880" width="5.5703125" style="34" customWidth="1"/>
    <col min="15881" max="15881" width="12.7109375" style="34" customWidth="1"/>
    <col min="15882" max="15882" width="15.42578125" style="34" bestFit="1" customWidth="1"/>
    <col min="15883" max="15885" width="12.7109375" style="34" customWidth="1"/>
    <col min="15886" max="16130" width="9.140625" style="34"/>
    <col min="16131" max="16136" width="5.5703125" style="34" customWidth="1"/>
    <col min="16137" max="16137" width="12.7109375" style="34" customWidth="1"/>
    <col min="16138" max="16138" width="15.42578125" style="34" bestFit="1" customWidth="1"/>
    <col min="16139" max="16141" width="12.7109375" style="34" customWidth="1"/>
    <col min="16142" max="16384" width="9.140625" style="34"/>
  </cols>
  <sheetData>
    <row r="1" spans="1:17" ht="36.75" customHeight="1">
      <c r="A1" s="754">
        <f>ORÇAMENTO!B8</f>
        <v>0</v>
      </c>
      <c r="B1" s="754"/>
      <c r="C1" s="754"/>
      <c r="D1" s="754"/>
      <c r="E1" s="754"/>
      <c r="F1" s="754"/>
      <c r="G1" s="686" t="s">
        <v>452</v>
      </c>
      <c r="H1" s="686"/>
      <c r="I1" s="686"/>
      <c r="J1" s="686"/>
      <c r="K1" s="686"/>
      <c r="L1" s="686"/>
      <c r="M1" s="686"/>
    </row>
    <row r="2" spans="1:17" ht="12.75" customHeight="1">
      <c r="A2" s="754"/>
      <c r="B2" s="754"/>
      <c r="C2" s="754"/>
      <c r="D2" s="754"/>
      <c r="E2" s="754"/>
      <c r="F2" s="754"/>
      <c r="G2" s="756" t="s">
        <v>15</v>
      </c>
      <c r="H2" s="756"/>
      <c r="I2" s="754" t="s">
        <v>578</v>
      </c>
      <c r="J2" s="754"/>
      <c r="K2" s="755" t="s">
        <v>125</v>
      </c>
      <c r="L2" s="755"/>
      <c r="M2" s="344" t="s">
        <v>363</v>
      </c>
    </row>
    <row r="3" spans="1:17" ht="12" customHeight="1">
      <c r="A3" s="754"/>
      <c r="B3" s="754"/>
      <c r="C3" s="754"/>
      <c r="D3" s="754"/>
      <c r="E3" s="754"/>
      <c r="F3" s="754"/>
      <c r="G3" s="754" t="s">
        <v>577</v>
      </c>
      <c r="H3" s="754"/>
      <c r="I3" s="754"/>
      <c r="J3" s="754"/>
      <c r="K3" s="754"/>
      <c r="L3" s="754"/>
      <c r="M3" s="356" t="str">
        <f ca="1">CONCATENATE("DATA:"," ",TEXT(TODAY(),"DD/MM/AA"))</f>
        <v>DATA: 08/10/26</v>
      </c>
    </row>
    <row r="4" spans="1:17" ht="12" customHeight="1">
      <c r="A4" s="357"/>
      <c r="B4" s="74"/>
      <c r="C4" s="74"/>
      <c r="D4" s="74"/>
      <c r="E4" s="74"/>
      <c r="F4" s="74"/>
      <c r="G4" s="74"/>
      <c r="H4" s="74"/>
      <c r="I4" s="74"/>
      <c r="J4" s="35"/>
      <c r="K4" s="35"/>
      <c r="L4" s="35"/>
      <c r="M4" s="358"/>
    </row>
    <row r="5" spans="1:17" ht="12" customHeight="1">
      <c r="A5" s="752" t="s">
        <v>129</v>
      </c>
      <c r="B5" s="752"/>
      <c r="C5" s="752"/>
      <c r="D5" s="752"/>
      <c r="E5" s="752"/>
      <c r="F5" s="752"/>
      <c r="G5" s="752"/>
      <c r="H5" s="752"/>
      <c r="I5" s="752"/>
      <c r="J5" s="752"/>
      <c r="K5" s="752"/>
      <c r="L5" s="752"/>
      <c r="M5" s="752"/>
      <c r="O5" s="548"/>
      <c r="P5" s="247"/>
      <c r="Q5" s="247"/>
    </row>
    <row r="6" spans="1:17" ht="12" customHeight="1">
      <c r="A6" s="752" t="s">
        <v>46</v>
      </c>
      <c r="B6" s="752"/>
      <c r="C6" s="752"/>
      <c r="D6" s="752" t="s">
        <v>47</v>
      </c>
      <c r="E6" s="752"/>
      <c r="F6" s="752"/>
      <c r="G6" s="343" t="s">
        <v>356</v>
      </c>
      <c r="H6" s="343" t="s">
        <v>401</v>
      </c>
      <c r="I6" s="343" t="s">
        <v>49</v>
      </c>
      <c r="J6" s="343" t="s">
        <v>45</v>
      </c>
      <c r="K6" s="343" t="s">
        <v>373</v>
      </c>
      <c r="L6" s="343" t="s">
        <v>130</v>
      </c>
      <c r="M6" s="343" t="s">
        <v>134</v>
      </c>
      <c r="N6" s="247"/>
      <c r="O6" s="548"/>
      <c r="P6" s="247"/>
      <c r="Q6" s="247"/>
    </row>
    <row r="7" spans="1:17" s="36" customFormat="1" ht="12" customHeight="1">
      <c r="A7" s="311">
        <v>0</v>
      </c>
      <c r="B7" s="311" t="s">
        <v>48</v>
      </c>
      <c r="C7" s="342">
        <v>0</v>
      </c>
      <c r="D7" s="311">
        <v>20</v>
      </c>
      <c r="E7" s="311" t="s">
        <v>48</v>
      </c>
      <c r="F7" s="342">
        <v>0</v>
      </c>
      <c r="G7" s="342" t="str">
        <f>G3</f>
        <v>RODOVIA ANGELINO ACORDI</v>
      </c>
      <c r="H7" s="342" t="s">
        <v>50</v>
      </c>
      <c r="I7" s="85">
        <f t="shared" ref="I7" si="0">(D7*20+F7)-(A7*20+C7)</f>
        <v>400</v>
      </c>
      <c r="J7" s="342">
        <v>8.4</v>
      </c>
      <c r="K7" s="342" t="s">
        <v>42</v>
      </c>
      <c r="L7" s="342" t="s">
        <v>42</v>
      </c>
      <c r="M7" s="282">
        <f>TRUNC(I7*J7,2)</f>
        <v>3360</v>
      </c>
      <c r="N7" s="248"/>
      <c r="O7" s="549"/>
      <c r="P7" s="248"/>
      <c r="Q7" s="248"/>
    </row>
    <row r="8" spans="1:17" s="36" customFormat="1" ht="12" customHeight="1">
      <c r="A8" s="749" t="s">
        <v>17</v>
      </c>
      <c r="B8" s="749"/>
      <c r="C8" s="749"/>
      <c r="D8" s="749"/>
      <c r="E8" s="749"/>
      <c r="F8" s="749"/>
      <c r="G8" s="749"/>
      <c r="H8" s="749"/>
      <c r="I8" s="749"/>
      <c r="J8" s="749"/>
      <c r="K8" s="749"/>
      <c r="L8" s="749"/>
      <c r="M8" s="282">
        <f>SUM(M7:M7)</f>
        <v>3360</v>
      </c>
      <c r="N8" s="248"/>
      <c r="O8" s="549"/>
      <c r="P8" s="248"/>
      <c r="Q8" s="248"/>
    </row>
    <row r="9" spans="1:17" ht="12" customHeight="1">
      <c r="A9" s="357"/>
      <c r="B9" s="74"/>
      <c r="C9" s="74"/>
      <c r="D9" s="74"/>
      <c r="E9" s="74"/>
      <c r="F9" s="74"/>
      <c r="G9" s="74"/>
      <c r="H9" s="74"/>
      <c r="I9" s="74"/>
      <c r="J9" s="35"/>
      <c r="K9" s="35"/>
      <c r="L9" s="35"/>
      <c r="M9" s="358"/>
    </row>
    <row r="10" spans="1:17" s="36" customFormat="1" ht="12" customHeight="1">
      <c r="A10" s="752" t="s">
        <v>419</v>
      </c>
      <c r="B10" s="752"/>
      <c r="C10" s="752"/>
      <c r="D10" s="752"/>
      <c r="E10" s="752"/>
      <c r="F10" s="752"/>
      <c r="G10" s="752"/>
      <c r="H10" s="752"/>
      <c r="I10" s="752"/>
      <c r="J10" s="752"/>
      <c r="K10" s="752"/>
      <c r="L10" s="752"/>
      <c r="M10" s="752"/>
      <c r="O10" s="550"/>
    </row>
    <row r="11" spans="1:17" s="36" customFormat="1" ht="12" customHeight="1">
      <c r="A11" s="752" t="s">
        <v>46</v>
      </c>
      <c r="B11" s="752"/>
      <c r="C11" s="752"/>
      <c r="D11" s="752" t="s">
        <v>47</v>
      </c>
      <c r="E11" s="752"/>
      <c r="F11" s="752"/>
      <c r="G11" s="343" t="s">
        <v>356</v>
      </c>
      <c r="H11" s="343" t="s">
        <v>401</v>
      </c>
      <c r="I11" s="343" t="s">
        <v>49</v>
      </c>
      <c r="J11" s="343" t="s">
        <v>45</v>
      </c>
      <c r="K11" s="343" t="s">
        <v>373</v>
      </c>
      <c r="L11" s="343" t="s">
        <v>130</v>
      </c>
      <c r="M11" s="343" t="s">
        <v>133</v>
      </c>
      <c r="O11" s="550"/>
      <c r="Q11" s="351"/>
    </row>
    <row r="12" spans="1:17" s="36" customFormat="1" ht="12" customHeight="1">
      <c r="A12" s="311">
        <f t="shared" ref="A12:H12" si="1">A7</f>
        <v>0</v>
      </c>
      <c r="B12" s="311" t="str">
        <f t="shared" si="1"/>
        <v>+</v>
      </c>
      <c r="C12" s="342">
        <f t="shared" si="1"/>
        <v>0</v>
      </c>
      <c r="D12" s="311">
        <f t="shared" si="1"/>
        <v>20</v>
      </c>
      <c r="E12" s="311" t="str">
        <f t="shared" si="1"/>
        <v>+</v>
      </c>
      <c r="F12" s="342">
        <f t="shared" si="1"/>
        <v>0</v>
      </c>
      <c r="G12" s="342" t="str">
        <f t="shared" si="1"/>
        <v>RODOVIA ANGELINO ACORDI</v>
      </c>
      <c r="H12" s="342" t="str">
        <f t="shared" si="1"/>
        <v>LE/LD</v>
      </c>
      <c r="I12" s="85">
        <f>(D12*20+F12)-(A12*20+C12)</f>
        <v>400</v>
      </c>
      <c r="J12" s="342">
        <v>8.1999999999999993</v>
      </c>
      <c r="K12" s="342" t="s">
        <v>42</v>
      </c>
      <c r="L12" s="342">
        <v>0.2</v>
      </c>
      <c r="M12" s="282">
        <f>TRUNC(I12*J12*L12,2)</f>
        <v>656</v>
      </c>
      <c r="O12" s="550"/>
    </row>
    <row r="13" spans="1:17" s="36" customFormat="1" ht="12" customHeight="1">
      <c r="A13" s="749" t="s">
        <v>17</v>
      </c>
      <c r="B13" s="749"/>
      <c r="C13" s="749"/>
      <c r="D13" s="749"/>
      <c r="E13" s="749"/>
      <c r="F13" s="749"/>
      <c r="G13" s="749"/>
      <c r="H13" s="749"/>
      <c r="I13" s="749"/>
      <c r="J13" s="749"/>
      <c r="K13" s="749"/>
      <c r="L13" s="749"/>
      <c r="M13" s="282">
        <f>SUM(M12:M12)</f>
        <v>656</v>
      </c>
      <c r="O13" s="550"/>
    </row>
    <row r="14" spans="1:17" s="36" customFormat="1" ht="12" customHeight="1">
      <c r="A14" s="359"/>
      <c r="B14" s="309"/>
      <c r="C14" s="310"/>
      <c r="D14" s="309"/>
      <c r="E14" s="309"/>
      <c r="F14" s="310"/>
      <c r="G14" s="310"/>
      <c r="H14" s="310"/>
      <c r="I14" s="310"/>
      <c r="J14" s="310"/>
      <c r="K14" s="310"/>
      <c r="L14" s="310"/>
      <c r="M14" s="360"/>
      <c r="O14" s="550"/>
    </row>
    <row r="15" spans="1:17" s="36" customFormat="1" ht="12" customHeight="1">
      <c r="A15" s="752" t="s">
        <v>222</v>
      </c>
      <c r="B15" s="752"/>
      <c r="C15" s="752"/>
      <c r="D15" s="752"/>
      <c r="E15" s="752"/>
      <c r="F15" s="752"/>
      <c r="G15" s="752"/>
      <c r="H15" s="752"/>
      <c r="I15" s="752"/>
      <c r="J15" s="752"/>
      <c r="K15" s="752"/>
      <c r="L15" s="752"/>
      <c r="M15" s="752"/>
      <c r="O15" s="550"/>
    </row>
    <row r="16" spans="1:17" s="36" customFormat="1" ht="12" customHeight="1">
      <c r="A16" s="752" t="s">
        <v>46</v>
      </c>
      <c r="B16" s="752"/>
      <c r="C16" s="752"/>
      <c r="D16" s="752" t="s">
        <v>47</v>
      </c>
      <c r="E16" s="752"/>
      <c r="F16" s="752"/>
      <c r="G16" s="343" t="s">
        <v>356</v>
      </c>
      <c r="H16" s="343" t="s">
        <v>401</v>
      </c>
      <c r="I16" s="343" t="s">
        <v>49</v>
      </c>
      <c r="J16" s="343" t="s">
        <v>45</v>
      </c>
      <c r="K16" s="343" t="s">
        <v>373</v>
      </c>
      <c r="L16" s="343" t="s">
        <v>130</v>
      </c>
      <c r="M16" s="343" t="s">
        <v>133</v>
      </c>
      <c r="O16" s="550"/>
    </row>
    <row r="17" spans="1:15" s="36" customFormat="1" ht="12" customHeight="1">
      <c r="A17" s="311">
        <f t="shared" ref="A17:I17" si="2">A12</f>
        <v>0</v>
      </c>
      <c r="B17" s="311" t="str">
        <f t="shared" si="2"/>
        <v>+</v>
      </c>
      <c r="C17" s="342">
        <f t="shared" si="2"/>
        <v>0</v>
      </c>
      <c r="D17" s="311">
        <f t="shared" si="2"/>
        <v>20</v>
      </c>
      <c r="E17" s="311" t="str">
        <f t="shared" si="2"/>
        <v>+</v>
      </c>
      <c r="F17" s="342">
        <f t="shared" si="2"/>
        <v>0</v>
      </c>
      <c r="G17" s="342" t="str">
        <f t="shared" si="2"/>
        <v>RODOVIA ANGELINO ACORDI</v>
      </c>
      <c r="H17" s="509" t="str">
        <f t="shared" si="2"/>
        <v>LE/LD</v>
      </c>
      <c r="I17" s="342">
        <f t="shared" si="2"/>
        <v>400</v>
      </c>
      <c r="J17" s="85">
        <v>7.85</v>
      </c>
      <c r="K17" s="342" t="s">
        <v>42</v>
      </c>
      <c r="L17" s="342">
        <v>0.15</v>
      </c>
      <c r="M17" s="282">
        <f>TRUNC(I17*J17*L17,2)</f>
        <v>471</v>
      </c>
      <c r="O17" s="550"/>
    </row>
    <row r="18" spans="1:15" s="36" customFormat="1" ht="12" customHeight="1">
      <c r="A18" s="753" t="s">
        <v>17</v>
      </c>
      <c r="B18" s="753"/>
      <c r="C18" s="753"/>
      <c r="D18" s="753"/>
      <c r="E18" s="753"/>
      <c r="F18" s="753"/>
      <c r="G18" s="753"/>
      <c r="H18" s="753"/>
      <c r="I18" s="753"/>
      <c r="J18" s="753"/>
      <c r="K18" s="753"/>
      <c r="L18" s="753"/>
      <c r="M18" s="282">
        <f>SUM(M17:M17)</f>
        <v>471</v>
      </c>
      <c r="O18" s="550"/>
    </row>
    <row r="19" spans="1:15" s="36" customFormat="1" ht="12" customHeight="1">
      <c r="A19" s="359"/>
      <c r="B19" s="309"/>
      <c r="C19" s="310"/>
      <c r="D19" s="309"/>
      <c r="E19" s="309"/>
      <c r="F19" s="310"/>
      <c r="G19" s="310"/>
      <c r="H19" s="310"/>
      <c r="I19" s="310"/>
      <c r="J19" s="310"/>
      <c r="K19" s="310"/>
      <c r="L19" s="310"/>
      <c r="M19" s="360"/>
      <c r="O19" s="550"/>
    </row>
    <row r="20" spans="1:15" s="36" customFormat="1" ht="12" customHeight="1">
      <c r="A20" s="752" t="s">
        <v>131</v>
      </c>
      <c r="B20" s="752"/>
      <c r="C20" s="752"/>
      <c r="D20" s="752"/>
      <c r="E20" s="752"/>
      <c r="F20" s="752"/>
      <c r="G20" s="752"/>
      <c r="H20" s="752"/>
      <c r="I20" s="752"/>
      <c r="J20" s="752"/>
      <c r="K20" s="752"/>
      <c r="L20" s="752"/>
      <c r="M20" s="752"/>
      <c r="O20" s="550"/>
    </row>
    <row r="21" spans="1:15" s="36" customFormat="1" ht="12" customHeight="1">
      <c r="A21" s="752" t="s">
        <v>46</v>
      </c>
      <c r="B21" s="752"/>
      <c r="C21" s="752"/>
      <c r="D21" s="752" t="s">
        <v>47</v>
      </c>
      <c r="E21" s="752"/>
      <c r="F21" s="752"/>
      <c r="G21" s="343" t="s">
        <v>356</v>
      </c>
      <c r="H21" s="343" t="s">
        <v>401</v>
      </c>
      <c r="I21" s="343" t="s">
        <v>49</v>
      </c>
      <c r="J21" s="343" t="s">
        <v>45</v>
      </c>
      <c r="K21" s="343" t="s">
        <v>373</v>
      </c>
      <c r="L21" s="343" t="s">
        <v>130</v>
      </c>
      <c r="M21" s="343" t="s">
        <v>134</v>
      </c>
      <c r="O21" s="550"/>
    </row>
    <row r="22" spans="1:15" s="36" customFormat="1" ht="12" customHeight="1">
      <c r="A22" s="311">
        <f t="shared" ref="A22:I22" si="3">A17</f>
        <v>0</v>
      </c>
      <c r="B22" s="311" t="str">
        <f t="shared" si="3"/>
        <v>+</v>
      </c>
      <c r="C22" s="342">
        <f t="shared" si="3"/>
        <v>0</v>
      </c>
      <c r="D22" s="311">
        <f t="shared" si="3"/>
        <v>20</v>
      </c>
      <c r="E22" s="311" t="str">
        <f t="shared" si="3"/>
        <v>+</v>
      </c>
      <c r="F22" s="342">
        <f t="shared" si="3"/>
        <v>0</v>
      </c>
      <c r="G22" s="342" t="str">
        <f t="shared" si="3"/>
        <v>RODOVIA ANGELINO ACORDI</v>
      </c>
      <c r="H22" s="509" t="str">
        <f t="shared" si="3"/>
        <v>LE/LD</v>
      </c>
      <c r="I22" s="342">
        <f t="shared" si="3"/>
        <v>400</v>
      </c>
      <c r="J22" s="342">
        <v>7.7</v>
      </c>
      <c r="K22" s="342" t="s">
        <v>42</v>
      </c>
      <c r="L22" s="342" t="s">
        <v>42</v>
      </c>
      <c r="M22" s="282">
        <f>TRUNC(I22*J22,2)</f>
        <v>3080</v>
      </c>
      <c r="O22" s="550"/>
    </row>
    <row r="23" spans="1:15" s="36" customFormat="1" ht="12" customHeight="1">
      <c r="A23" s="749" t="s">
        <v>299</v>
      </c>
      <c r="B23" s="749"/>
      <c r="C23" s="749"/>
      <c r="D23" s="749"/>
      <c r="E23" s="749"/>
      <c r="F23" s="749"/>
      <c r="G23" s="749"/>
      <c r="H23" s="749"/>
      <c r="I23" s="749"/>
      <c r="J23" s="749"/>
      <c r="K23" s="749"/>
      <c r="L23" s="749"/>
      <c r="M23" s="282">
        <f>SUM(M22:M22)</f>
        <v>3080</v>
      </c>
      <c r="O23" s="550"/>
    </row>
    <row r="24" spans="1:15" s="36" customFormat="1" ht="12" customHeight="1">
      <c r="A24" s="749" t="s">
        <v>574</v>
      </c>
      <c r="B24" s="749"/>
      <c r="C24" s="749"/>
      <c r="D24" s="749"/>
      <c r="E24" s="749"/>
      <c r="F24" s="749"/>
      <c r="G24" s="749"/>
      <c r="H24" s="749"/>
      <c r="I24" s="749"/>
      <c r="J24" s="749"/>
      <c r="K24" s="749"/>
      <c r="L24" s="749"/>
      <c r="M24" s="282">
        <f>TRUNC(M23*0.0013,2)</f>
        <v>4</v>
      </c>
      <c r="O24" s="550"/>
    </row>
    <row r="25" spans="1:15" s="36" customFormat="1" ht="12" hidden="1" customHeight="1">
      <c r="A25" s="750" t="s">
        <v>575</v>
      </c>
      <c r="B25" s="750"/>
      <c r="C25" s="750"/>
      <c r="D25" s="750"/>
      <c r="E25" s="750"/>
      <c r="F25" s="750"/>
      <c r="G25" s="750"/>
      <c r="H25" s="750"/>
      <c r="I25" s="750"/>
      <c r="J25" s="750"/>
      <c r="K25" s="750"/>
      <c r="L25" s="750"/>
      <c r="M25" s="85">
        <f>M24</f>
        <v>4</v>
      </c>
      <c r="O25" s="550"/>
    </row>
    <row r="26" spans="1:15" s="36" customFormat="1" ht="21.75" hidden="1" customHeight="1">
      <c r="A26" s="750" t="s">
        <v>585</v>
      </c>
      <c r="B26" s="750"/>
      <c r="C26" s="750"/>
      <c r="D26" s="750"/>
      <c r="E26" s="750"/>
      <c r="F26" s="750"/>
      <c r="G26" s="750"/>
      <c r="H26" s="750"/>
      <c r="I26" s="750"/>
      <c r="J26" s="750"/>
      <c r="K26" s="750"/>
      <c r="L26" s="750"/>
      <c r="M26" s="440">
        <f>TRUNC(((26.939*(584.512/270.237))+(0.253*584.512/270.237)*488)*1.17,2)</f>
        <v>380.61</v>
      </c>
      <c r="O26" s="550"/>
    </row>
    <row r="27" spans="1:15" s="36" customFormat="1" ht="12" customHeight="1">
      <c r="A27" s="750" t="s">
        <v>298</v>
      </c>
      <c r="B27" s="750"/>
      <c r="C27" s="750"/>
      <c r="D27" s="750"/>
      <c r="E27" s="750"/>
      <c r="F27" s="750"/>
      <c r="G27" s="750"/>
      <c r="H27" s="750"/>
      <c r="I27" s="750"/>
      <c r="J27" s="750"/>
      <c r="K27" s="750"/>
      <c r="L27" s="750"/>
      <c r="M27" s="750"/>
      <c r="O27" s="550"/>
    </row>
    <row r="28" spans="1:15" s="36" customFormat="1" ht="12" customHeight="1">
      <c r="A28" s="359"/>
      <c r="B28" s="309"/>
      <c r="C28" s="310"/>
      <c r="D28" s="309"/>
      <c r="E28" s="309"/>
      <c r="F28" s="310"/>
      <c r="G28" s="310"/>
      <c r="H28" s="310"/>
      <c r="I28" s="310"/>
      <c r="J28" s="310"/>
      <c r="K28" s="310"/>
      <c r="L28" s="310"/>
      <c r="M28" s="360"/>
      <c r="O28" s="550"/>
    </row>
    <row r="29" spans="1:15" s="36" customFormat="1" ht="12" customHeight="1">
      <c r="A29" s="752" t="s">
        <v>132</v>
      </c>
      <c r="B29" s="752"/>
      <c r="C29" s="752"/>
      <c r="D29" s="752"/>
      <c r="E29" s="752"/>
      <c r="F29" s="752"/>
      <c r="G29" s="752"/>
      <c r="H29" s="752"/>
      <c r="I29" s="752"/>
      <c r="J29" s="752"/>
      <c r="K29" s="752"/>
      <c r="L29" s="752"/>
      <c r="M29" s="752"/>
      <c r="O29" s="550"/>
    </row>
    <row r="30" spans="1:15" s="36" customFormat="1" ht="12" customHeight="1">
      <c r="A30" s="752" t="s">
        <v>46</v>
      </c>
      <c r="B30" s="752"/>
      <c r="C30" s="752"/>
      <c r="D30" s="752" t="s">
        <v>47</v>
      </c>
      <c r="E30" s="752"/>
      <c r="F30" s="752"/>
      <c r="G30" s="343" t="s">
        <v>356</v>
      </c>
      <c r="H30" s="343" t="s">
        <v>401</v>
      </c>
      <c r="I30" s="343" t="s">
        <v>49</v>
      </c>
      <c r="J30" s="343" t="s">
        <v>45</v>
      </c>
      <c r="K30" s="343" t="s">
        <v>373</v>
      </c>
      <c r="L30" s="343" t="s">
        <v>130</v>
      </c>
      <c r="M30" s="343" t="s">
        <v>134</v>
      </c>
      <c r="O30" s="550"/>
    </row>
    <row r="31" spans="1:15" s="36" customFormat="1" ht="12" customHeight="1">
      <c r="A31" s="311">
        <f t="shared" ref="A31:J31" si="4">A22</f>
        <v>0</v>
      </c>
      <c r="B31" s="311" t="str">
        <f t="shared" si="4"/>
        <v>+</v>
      </c>
      <c r="C31" s="342">
        <f t="shared" si="4"/>
        <v>0</v>
      </c>
      <c r="D31" s="311">
        <f t="shared" si="4"/>
        <v>20</v>
      </c>
      <c r="E31" s="311" t="str">
        <f t="shared" si="4"/>
        <v>+</v>
      </c>
      <c r="F31" s="342">
        <f t="shared" si="4"/>
        <v>0</v>
      </c>
      <c r="G31" s="342" t="str">
        <f t="shared" si="4"/>
        <v>RODOVIA ANGELINO ACORDI</v>
      </c>
      <c r="H31" s="342" t="str">
        <f t="shared" si="4"/>
        <v>LE/LD</v>
      </c>
      <c r="I31" s="85">
        <f t="shared" si="4"/>
        <v>400</v>
      </c>
      <c r="J31" s="342">
        <f t="shared" si="4"/>
        <v>7.7</v>
      </c>
      <c r="K31" s="342" t="s">
        <v>42</v>
      </c>
      <c r="L31" s="342" t="s">
        <v>42</v>
      </c>
      <c r="M31" s="282">
        <f>TRUNC(I31*J31,2)</f>
        <v>3080</v>
      </c>
      <c r="O31" s="550"/>
    </row>
    <row r="32" spans="1:15" s="36" customFormat="1" ht="12" customHeight="1">
      <c r="A32" s="311">
        <v>20</v>
      </c>
      <c r="B32" s="311" t="s">
        <v>48</v>
      </c>
      <c r="C32" s="528">
        <v>0</v>
      </c>
      <c r="D32" s="311">
        <v>20</v>
      </c>
      <c r="E32" s="311" t="s">
        <v>48</v>
      </c>
      <c r="F32" s="528">
        <v>0</v>
      </c>
      <c r="G32" s="528" t="s">
        <v>554</v>
      </c>
      <c r="H32" s="528" t="str">
        <f>H31</f>
        <v>LE/LD</v>
      </c>
      <c r="I32" s="85">
        <v>3.7</v>
      </c>
      <c r="J32" s="528">
        <v>7.7</v>
      </c>
      <c r="K32" s="528" t="s">
        <v>42</v>
      </c>
      <c r="L32" s="528" t="s">
        <v>42</v>
      </c>
      <c r="M32" s="282">
        <f>TRUNC(I32*J32,2)</f>
        <v>28.49</v>
      </c>
      <c r="O32" s="550"/>
    </row>
    <row r="33" spans="1:17" s="36" customFormat="1" ht="12" customHeight="1">
      <c r="A33" s="749" t="s">
        <v>299</v>
      </c>
      <c r="B33" s="749"/>
      <c r="C33" s="749"/>
      <c r="D33" s="749"/>
      <c r="E33" s="749"/>
      <c r="F33" s="749"/>
      <c r="G33" s="749"/>
      <c r="H33" s="749"/>
      <c r="I33" s="749"/>
      <c r="J33" s="749"/>
      <c r="K33" s="749"/>
      <c r="L33" s="749"/>
      <c r="M33" s="282">
        <f>SUM(M31:M32)</f>
        <v>3108.49</v>
      </c>
      <c r="O33" s="550"/>
    </row>
    <row r="34" spans="1:17" s="36" customFormat="1" ht="12" customHeight="1">
      <c r="A34" s="749" t="s">
        <v>576</v>
      </c>
      <c r="B34" s="749"/>
      <c r="C34" s="749"/>
      <c r="D34" s="749"/>
      <c r="E34" s="749"/>
      <c r="F34" s="749"/>
      <c r="G34" s="749"/>
      <c r="H34" s="749"/>
      <c r="I34" s="749"/>
      <c r="J34" s="749"/>
      <c r="K34" s="749"/>
      <c r="L34" s="749"/>
      <c r="M34" s="282">
        <f>TRUNC(M33*0.00045,2)</f>
        <v>1.39</v>
      </c>
      <c r="O34" s="550"/>
    </row>
    <row r="35" spans="1:17" s="36" customFormat="1" ht="12" hidden="1" customHeight="1">
      <c r="A35" s="750" t="s">
        <v>300</v>
      </c>
      <c r="B35" s="750"/>
      <c r="C35" s="750"/>
      <c r="D35" s="750"/>
      <c r="E35" s="750"/>
      <c r="F35" s="750"/>
      <c r="G35" s="750"/>
      <c r="H35" s="750"/>
      <c r="I35" s="750"/>
      <c r="J35" s="750"/>
      <c r="K35" s="750"/>
      <c r="L35" s="750"/>
      <c r="M35" s="85">
        <f>M34</f>
        <v>1.39</v>
      </c>
      <c r="O35" s="550"/>
    </row>
    <row r="36" spans="1:17" s="36" customFormat="1" ht="21" hidden="1" customHeight="1">
      <c r="A36" s="750" t="s">
        <v>585</v>
      </c>
      <c r="B36" s="750"/>
      <c r="C36" s="750"/>
      <c r="D36" s="750"/>
      <c r="E36" s="750"/>
      <c r="F36" s="750"/>
      <c r="G36" s="750"/>
      <c r="H36" s="750"/>
      <c r="I36" s="750"/>
      <c r="J36" s="750"/>
      <c r="K36" s="750"/>
      <c r="L36" s="750"/>
      <c r="M36" s="440">
        <f>TRUNC(((26.939*(584.512/270.237))+(0.253*584.512/270.237)*488)*1.17,2)</f>
        <v>380.61</v>
      </c>
      <c r="O36" s="550"/>
    </row>
    <row r="37" spans="1:17" s="36" customFormat="1" ht="12" customHeight="1">
      <c r="A37" s="750" t="s">
        <v>298</v>
      </c>
      <c r="B37" s="750"/>
      <c r="C37" s="750"/>
      <c r="D37" s="750"/>
      <c r="E37" s="750"/>
      <c r="F37" s="750"/>
      <c r="G37" s="750"/>
      <c r="H37" s="750"/>
      <c r="I37" s="750"/>
      <c r="J37" s="750"/>
      <c r="K37" s="750"/>
      <c r="L37" s="750"/>
      <c r="M37" s="750"/>
      <c r="O37" s="550"/>
    </row>
    <row r="38" spans="1:17" s="36" customFormat="1" ht="12" customHeight="1">
      <c r="A38" s="359"/>
      <c r="B38" s="309"/>
      <c r="C38" s="310"/>
      <c r="D38" s="309"/>
      <c r="E38" s="309"/>
      <c r="F38" s="310"/>
      <c r="G38" s="310"/>
      <c r="H38" s="310"/>
      <c r="I38" s="310"/>
      <c r="J38" s="310"/>
      <c r="K38" s="310"/>
      <c r="L38" s="310"/>
      <c r="M38" s="360"/>
      <c r="O38" s="550"/>
    </row>
    <row r="39" spans="1:17" s="36" customFormat="1" ht="12" customHeight="1">
      <c r="A39" s="752" t="s">
        <v>399</v>
      </c>
      <c r="B39" s="752"/>
      <c r="C39" s="752"/>
      <c r="D39" s="752"/>
      <c r="E39" s="752"/>
      <c r="F39" s="752"/>
      <c r="G39" s="752"/>
      <c r="H39" s="752"/>
      <c r="I39" s="752"/>
      <c r="J39" s="752"/>
      <c r="K39" s="752"/>
      <c r="L39" s="752"/>
      <c r="M39" s="752"/>
      <c r="O39" s="550"/>
    </row>
    <row r="40" spans="1:17" s="36" customFormat="1" ht="12" customHeight="1">
      <c r="A40" s="752" t="s">
        <v>46</v>
      </c>
      <c r="B40" s="752"/>
      <c r="C40" s="752"/>
      <c r="D40" s="752" t="s">
        <v>47</v>
      </c>
      <c r="E40" s="752"/>
      <c r="F40" s="752"/>
      <c r="G40" s="343" t="s">
        <v>356</v>
      </c>
      <c r="H40" s="343" t="s">
        <v>401</v>
      </c>
      <c r="I40" s="343" t="s">
        <v>49</v>
      </c>
      <c r="J40" s="343" t="s">
        <v>45</v>
      </c>
      <c r="K40" s="343" t="s">
        <v>373</v>
      </c>
      <c r="L40" s="343" t="s">
        <v>130</v>
      </c>
      <c r="M40" s="343" t="s">
        <v>133</v>
      </c>
      <c r="O40" s="550"/>
    </row>
    <row r="41" spans="1:17" s="36" customFormat="1" ht="12" customHeight="1">
      <c r="A41" s="311">
        <f t="shared" ref="A41:J42" si="5">A31</f>
        <v>0</v>
      </c>
      <c r="B41" s="311" t="str">
        <f t="shared" si="5"/>
        <v>+</v>
      </c>
      <c r="C41" s="342">
        <f t="shared" si="5"/>
        <v>0</v>
      </c>
      <c r="D41" s="311">
        <f t="shared" si="5"/>
        <v>20</v>
      </c>
      <c r="E41" s="342" t="str">
        <f t="shared" si="5"/>
        <v>+</v>
      </c>
      <c r="F41" s="342">
        <f t="shared" si="5"/>
        <v>0</v>
      </c>
      <c r="G41" s="342" t="str">
        <f t="shared" si="5"/>
        <v>RODOVIA ANGELINO ACORDI</v>
      </c>
      <c r="H41" s="342" t="str">
        <f t="shared" si="5"/>
        <v>LE/LD</v>
      </c>
      <c r="I41" s="85">
        <f t="shared" si="5"/>
        <v>400</v>
      </c>
      <c r="J41" s="342">
        <f t="shared" si="5"/>
        <v>7.7</v>
      </c>
      <c r="K41" s="342" t="s">
        <v>42</v>
      </c>
      <c r="L41" s="342">
        <v>0.05</v>
      </c>
      <c r="M41" s="282">
        <f>TRUNC(I41*J41*L41,2)</f>
        <v>154</v>
      </c>
      <c r="O41" s="550"/>
    </row>
    <row r="42" spans="1:17" s="36" customFormat="1" ht="12" customHeight="1">
      <c r="A42" s="311">
        <v>15</v>
      </c>
      <c r="B42" s="311" t="str">
        <f t="shared" si="5"/>
        <v>+</v>
      </c>
      <c r="C42" s="528">
        <f t="shared" si="5"/>
        <v>0</v>
      </c>
      <c r="D42" s="311">
        <v>15</v>
      </c>
      <c r="E42" s="528" t="str">
        <f t="shared" si="5"/>
        <v>+</v>
      </c>
      <c r="F42" s="528">
        <f t="shared" si="5"/>
        <v>0</v>
      </c>
      <c r="G42" s="528" t="str">
        <f t="shared" si="5"/>
        <v>LOMBADA</v>
      </c>
      <c r="H42" s="528" t="str">
        <f t="shared" si="5"/>
        <v>LE/LD</v>
      </c>
      <c r="I42" s="85">
        <f t="shared" si="5"/>
        <v>3.7</v>
      </c>
      <c r="J42" s="528">
        <f t="shared" si="5"/>
        <v>7.7</v>
      </c>
      <c r="K42" s="528" t="s">
        <v>42</v>
      </c>
      <c r="L42" s="528">
        <v>0.08</v>
      </c>
      <c r="M42" s="282">
        <f>TRUNC(I42*J42*L42,2)</f>
        <v>2.27</v>
      </c>
      <c r="O42" s="550"/>
    </row>
    <row r="43" spans="1:17" ht="12" customHeight="1">
      <c r="A43" s="749" t="s">
        <v>135</v>
      </c>
      <c r="B43" s="749"/>
      <c r="C43" s="749"/>
      <c r="D43" s="749"/>
      <c r="E43" s="749"/>
      <c r="F43" s="749"/>
      <c r="G43" s="749"/>
      <c r="H43" s="749"/>
      <c r="I43" s="749"/>
      <c r="J43" s="749"/>
      <c r="K43" s="749"/>
      <c r="L43" s="749"/>
      <c r="M43" s="282">
        <f>SUM(M41:M42)</f>
        <v>156.27000000000001</v>
      </c>
    </row>
    <row r="44" spans="1:17" ht="12" customHeight="1">
      <c r="A44" s="749" t="s">
        <v>571</v>
      </c>
      <c r="B44" s="749"/>
      <c r="C44" s="749"/>
      <c r="D44" s="749"/>
      <c r="E44" s="749"/>
      <c r="F44" s="749"/>
      <c r="G44" s="749"/>
      <c r="H44" s="749"/>
      <c r="I44" s="749"/>
      <c r="J44" s="749"/>
      <c r="K44" s="749"/>
      <c r="L44" s="749"/>
      <c r="M44" s="355">
        <f>TRUNC(M43*2.5,2)</f>
        <v>390.67</v>
      </c>
      <c r="Q44" s="551"/>
    </row>
    <row r="45" spans="1:17" ht="12" customHeight="1">
      <c r="A45" s="749" t="s">
        <v>572</v>
      </c>
      <c r="B45" s="749"/>
      <c r="C45" s="749"/>
      <c r="D45" s="749"/>
      <c r="E45" s="749"/>
      <c r="F45" s="749"/>
      <c r="G45" s="749"/>
      <c r="H45" s="749"/>
      <c r="I45" s="749"/>
      <c r="J45" s="749"/>
      <c r="K45" s="749"/>
      <c r="L45" s="749"/>
      <c r="M45" s="355">
        <f>TRUNC(M44*5.2%,2)</f>
        <v>20.309999999999999</v>
      </c>
    </row>
    <row r="46" spans="1:17" ht="12" hidden="1" customHeight="1">
      <c r="A46" s="749" t="s">
        <v>570</v>
      </c>
      <c r="B46" s="749"/>
      <c r="C46" s="749"/>
      <c r="D46" s="749"/>
      <c r="E46" s="749"/>
      <c r="F46" s="749"/>
      <c r="G46" s="749"/>
      <c r="H46" s="749"/>
      <c r="I46" s="749"/>
      <c r="J46" s="749"/>
      <c r="K46" s="749"/>
      <c r="L46" s="749"/>
      <c r="M46" s="355">
        <f>M45</f>
        <v>20.309999999999999</v>
      </c>
    </row>
    <row r="47" spans="1:17" ht="21" hidden="1" customHeight="1">
      <c r="A47" s="751" t="s">
        <v>573</v>
      </c>
      <c r="B47" s="751"/>
      <c r="C47" s="751"/>
      <c r="D47" s="751"/>
      <c r="E47" s="751"/>
      <c r="F47" s="751"/>
      <c r="G47" s="751"/>
      <c r="H47" s="751"/>
      <c r="I47" s="751"/>
      <c r="J47" s="751"/>
      <c r="K47" s="751"/>
      <c r="L47" s="751"/>
      <c r="M47" s="441">
        <f>TRUNC(((26.939*(562.597/270.237))+(0.253*562.597/270.237)*488)*1.17,2)</f>
        <v>366.34</v>
      </c>
    </row>
    <row r="48" spans="1:17" ht="12" hidden="1" customHeight="1">
      <c r="A48" s="750" t="s">
        <v>298</v>
      </c>
      <c r="B48" s="750"/>
      <c r="C48" s="750"/>
      <c r="D48" s="750"/>
      <c r="E48" s="750"/>
      <c r="F48" s="750"/>
      <c r="G48" s="750"/>
      <c r="H48" s="750"/>
      <c r="I48" s="750"/>
      <c r="J48" s="750"/>
      <c r="K48" s="750"/>
      <c r="L48" s="750"/>
      <c r="M48" s="750"/>
    </row>
    <row r="49" spans="1:13" ht="12" customHeight="1">
      <c r="A49" s="442"/>
      <c r="B49" s="442"/>
      <c r="C49" s="442"/>
      <c r="D49" s="442"/>
      <c r="E49" s="442"/>
      <c r="F49" s="442"/>
      <c r="G49" s="442"/>
      <c r="H49" s="442"/>
      <c r="I49" s="442"/>
      <c r="J49" s="442"/>
      <c r="K49" s="442"/>
      <c r="L49" s="442"/>
      <c r="M49" s="442"/>
    </row>
    <row r="50" spans="1:13" ht="12" customHeight="1">
      <c r="A50" s="443"/>
      <c r="B50" s="443"/>
      <c r="C50" s="443"/>
      <c r="D50" s="443"/>
      <c r="E50" s="443"/>
      <c r="F50" s="443"/>
      <c r="G50" s="443"/>
      <c r="H50" s="443"/>
      <c r="I50" s="443"/>
      <c r="J50" s="443"/>
      <c r="K50" s="443"/>
      <c r="L50" s="443"/>
      <c r="M50" s="443"/>
    </row>
    <row r="51" spans="1:13" ht="12" customHeight="1">
      <c r="A51" s="354"/>
      <c r="B51" s="354"/>
      <c r="C51" s="354"/>
      <c r="D51" s="354"/>
      <c r="E51" s="354"/>
      <c r="F51" s="354"/>
      <c r="G51" s="354"/>
      <c r="H51" s="354"/>
      <c r="I51" s="354"/>
      <c r="J51" s="354"/>
      <c r="K51" s="354"/>
      <c r="L51" s="354"/>
      <c r="M51" s="354"/>
    </row>
    <row r="52" spans="1:13" ht="12" customHeight="1">
      <c r="A52" s="331"/>
      <c r="B52" s="331"/>
      <c r="C52" s="331"/>
      <c r="D52" s="331"/>
      <c r="E52" s="331"/>
      <c r="F52" s="331"/>
      <c r="G52" s="331"/>
      <c r="H52" s="331"/>
      <c r="I52" s="331"/>
      <c r="J52" s="331"/>
      <c r="K52" s="331"/>
      <c r="L52" s="331"/>
      <c r="M52" s="331"/>
    </row>
    <row r="53" spans="1:13" ht="12" customHeight="1">
      <c r="A53" s="331"/>
      <c r="B53" s="331"/>
      <c r="C53" s="331"/>
      <c r="D53" s="331"/>
      <c r="E53" s="331"/>
      <c r="F53" s="331"/>
      <c r="G53" s="331"/>
      <c r="H53" s="331"/>
      <c r="I53" s="331"/>
      <c r="J53" s="331"/>
      <c r="K53" s="331"/>
      <c r="L53" s="331"/>
      <c r="M53" s="331"/>
    </row>
    <row r="54" spans="1:13" ht="12" customHeight="1">
      <c r="A54" s="331"/>
      <c r="B54" s="331"/>
      <c r="C54" s="331"/>
      <c r="D54" s="331"/>
      <c r="E54" s="331"/>
      <c r="F54" s="331"/>
      <c r="G54" s="331"/>
      <c r="H54" s="331"/>
      <c r="I54" s="331"/>
      <c r="J54" s="331"/>
      <c r="K54" s="331"/>
      <c r="L54" s="331"/>
      <c r="M54" s="331"/>
    </row>
    <row r="55" spans="1:13">
      <c r="A55" s="331"/>
      <c r="B55" s="331"/>
      <c r="C55" s="331"/>
      <c r="D55" s="331"/>
      <c r="E55" s="331"/>
      <c r="F55" s="331"/>
      <c r="G55" s="331"/>
      <c r="H55" s="331"/>
      <c r="I55" s="331"/>
      <c r="J55" s="331"/>
      <c r="K55" s="331"/>
      <c r="L55" s="331"/>
      <c r="M55" s="331"/>
    </row>
    <row r="56" spans="1:13">
      <c r="A56" s="331"/>
      <c r="B56" s="331"/>
      <c r="C56" s="331"/>
      <c r="D56" s="331"/>
      <c r="E56" s="331"/>
      <c r="F56" s="331"/>
      <c r="G56" s="331"/>
      <c r="H56" s="331"/>
      <c r="I56" s="331"/>
      <c r="J56" s="331"/>
      <c r="K56" s="331"/>
      <c r="L56" s="331"/>
      <c r="M56" s="331"/>
    </row>
    <row r="57" spans="1:13">
      <c r="A57" s="331"/>
      <c r="B57" s="331"/>
      <c r="C57" s="331"/>
      <c r="D57" s="331"/>
      <c r="E57" s="331"/>
      <c r="F57" s="331"/>
      <c r="G57" s="331"/>
      <c r="H57" s="331"/>
      <c r="I57" s="331"/>
      <c r="J57" s="331"/>
      <c r="K57" s="331"/>
      <c r="L57" s="331"/>
      <c r="M57" s="331"/>
    </row>
    <row r="58" spans="1:13">
      <c r="A58" s="331"/>
      <c r="B58" s="331"/>
      <c r="C58" s="331"/>
      <c r="D58" s="331"/>
      <c r="E58" s="331"/>
      <c r="F58" s="331"/>
      <c r="G58" s="331"/>
      <c r="H58" s="331"/>
      <c r="I58" s="331"/>
      <c r="J58" s="331"/>
      <c r="K58" s="331"/>
      <c r="L58" s="331"/>
      <c r="M58" s="331"/>
    </row>
    <row r="59" spans="1:13">
      <c r="A59" s="331"/>
      <c r="B59" s="331"/>
      <c r="C59" s="331"/>
      <c r="D59" s="331"/>
      <c r="E59" s="331"/>
      <c r="F59" s="331"/>
      <c r="G59" s="331"/>
      <c r="H59" s="331"/>
      <c r="I59" s="331"/>
      <c r="J59" s="331"/>
      <c r="K59" s="331"/>
      <c r="L59" s="331"/>
      <c r="M59" s="331"/>
    </row>
    <row r="60" spans="1:13">
      <c r="A60" s="331"/>
      <c r="B60" s="331"/>
      <c r="C60" s="331"/>
      <c r="D60" s="331"/>
      <c r="E60" s="331"/>
      <c r="F60" s="331"/>
      <c r="G60" s="331"/>
      <c r="H60" s="331"/>
      <c r="I60" s="331"/>
      <c r="J60" s="331"/>
      <c r="K60" s="331"/>
      <c r="L60" s="331"/>
      <c r="M60" s="331"/>
    </row>
    <row r="61" spans="1:13">
      <c r="A61" s="331"/>
      <c r="B61" s="331"/>
      <c r="C61" s="331"/>
      <c r="D61" s="331"/>
      <c r="E61" s="331"/>
      <c r="F61" s="331"/>
      <c r="G61" s="331"/>
      <c r="H61" s="331"/>
      <c r="I61" s="331"/>
      <c r="J61" s="331"/>
      <c r="K61" s="331"/>
      <c r="L61" s="331"/>
      <c r="M61" s="331"/>
    </row>
    <row r="62" spans="1:13">
      <c r="A62" s="331"/>
      <c r="B62" s="331"/>
      <c r="C62" s="331"/>
      <c r="D62" s="331"/>
      <c r="E62" s="331"/>
      <c r="F62" s="331"/>
      <c r="G62" s="331"/>
      <c r="H62" s="331"/>
      <c r="I62" s="331"/>
      <c r="J62" s="331"/>
      <c r="K62" s="331"/>
      <c r="L62" s="331"/>
      <c r="M62" s="331"/>
    </row>
    <row r="63" spans="1:13">
      <c r="A63" s="331"/>
      <c r="B63" s="331"/>
      <c r="C63" s="331"/>
      <c r="D63" s="331"/>
      <c r="E63" s="331"/>
      <c r="F63" s="331"/>
      <c r="G63" s="331"/>
      <c r="H63" s="331"/>
      <c r="I63" s="331"/>
      <c r="J63" s="331"/>
      <c r="K63" s="331"/>
      <c r="L63" s="331"/>
      <c r="M63" s="331"/>
    </row>
    <row r="64" spans="1:13">
      <c r="A64" s="331"/>
      <c r="B64" s="331"/>
      <c r="C64" s="331"/>
      <c r="D64" s="331"/>
      <c r="E64" s="331"/>
      <c r="F64" s="331"/>
      <c r="G64" s="331"/>
      <c r="H64" s="331"/>
      <c r="I64" s="331"/>
      <c r="J64" s="331"/>
      <c r="K64" s="331"/>
      <c r="L64" s="331"/>
      <c r="M64" s="331"/>
    </row>
    <row r="65" spans="1:13">
      <c r="A65" s="331"/>
      <c r="B65" s="331"/>
      <c r="C65" s="331"/>
      <c r="D65" s="331"/>
      <c r="E65" s="331"/>
      <c r="F65" s="331"/>
      <c r="G65" s="331"/>
      <c r="H65" s="331"/>
      <c r="I65" s="331"/>
      <c r="J65" s="331"/>
      <c r="K65" s="331"/>
      <c r="L65" s="331"/>
      <c r="M65" s="331"/>
    </row>
    <row r="66" spans="1:13">
      <c r="A66" s="331"/>
      <c r="B66" s="331"/>
      <c r="C66" s="331"/>
      <c r="D66" s="331"/>
      <c r="E66" s="331"/>
      <c r="F66" s="331"/>
      <c r="G66" s="331"/>
      <c r="H66" s="331"/>
      <c r="I66" s="331"/>
      <c r="J66" s="331"/>
      <c r="K66" s="331"/>
      <c r="L66" s="331"/>
      <c r="M66" s="331"/>
    </row>
    <row r="67" spans="1:13">
      <c r="A67" s="331"/>
      <c r="B67" s="331"/>
      <c r="C67" s="331"/>
      <c r="D67" s="331"/>
      <c r="E67" s="331"/>
      <c r="F67" s="331"/>
      <c r="G67" s="331"/>
      <c r="H67" s="331"/>
      <c r="I67" s="331"/>
      <c r="J67" s="331"/>
      <c r="K67" s="331"/>
      <c r="L67" s="331"/>
      <c r="M67" s="331"/>
    </row>
    <row r="68" spans="1:13">
      <c r="A68" s="331"/>
      <c r="B68" s="331"/>
      <c r="C68" s="331"/>
      <c r="D68" s="331"/>
      <c r="E68" s="331"/>
      <c r="F68" s="331"/>
      <c r="G68" s="331"/>
      <c r="H68" s="331"/>
      <c r="I68" s="331"/>
      <c r="J68" s="331"/>
      <c r="K68" s="331"/>
      <c r="L68" s="331"/>
      <c r="M68" s="331"/>
    </row>
    <row r="74" spans="1:13" ht="3" customHeight="1"/>
    <row r="78" spans="1:13" ht="3" customHeight="1"/>
  </sheetData>
  <mergeCells count="43">
    <mergeCell ref="A1:F3"/>
    <mergeCell ref="K2:L2"/>
    <mergeCell ref="I2:J2"/>
    <mergeCell ref="G2:H2"/>
    <mergeCell ref="G3:L3"/>
    <mergeCell ref="G1:M1"/>
    <mergeCell ref="A25:L25"/>
    <mergeCell ref="A26:L26"/>
    <mergeCell ref="A33:L33"/>
    <mergeCell ref="A34:L34"/>
    <mergeCell ref="A8:L8"/>
    <mergeCell ref="A13:L13"/>
    <mergeCell ref="A18:L18"/>
    <mergeCell ref="A23:L23"/>
    <mergeCell ref="A29:M29"/>
    <mergeCell ref="A30:C30"/>
    <mergeCell ref="D30:F30"/>
    <mergeCell ref="A24:L24"/>
    <mergeCell ref="D16:F16"/>
    <mergeCell ref="A15:M15"/>
    <mergeCell ref="A11:C11"/>
    <mergeCell ref="A40:C40"/>
    <mergeCell ref="D40:F40"/>
    <mergeCell ref="A5:M5"/>
    <mergeCell ref="A6:C6"/>
    <mergeCell ref="D6:F6"/>
    <mergeCell ref="A27:M27"/>
    <mergeCell ref="A20:M20"/>
    <mergeCell ref="A21:C21"/>
    <mergeCell ref="D21:F21"/>
    <mergeCell ref="A37:M37"/>
    <mergeCell ref="A39:M39"/>
    <mergeCell ref="A36:L36"/>
    <mergeCell ref="A35:L35"/>
    <mergeCell ref="A10:M10"/>
    <mergeCell ref="D11:F11"/>
    <mergeCell ref="A16:C16"/>
    <mergeCell ref="A43:L43"/>
    <mergeCell ref="A48:M48"/>
    <mergeCell ref="A45:L45"/>
    <mergeCell ref="A46:L46"/>
    <mergeCell ref="A47:L47"/>
    <mergeCell ref="A44:L44"/>
  </mergeCells>
  <printOptions horizontalCentered="1"/>
  <pageMargins left="0.78740157480314965" right="0.78740157480314965" top="0.78740157480314965" bottom="1.1811023622047245" header="0" footer="0.19685039370078741"/>
  <pageSetup paperSize="9" scale="80" orientation="portrait" r:id="rId1"/>
  <headerFooter alignWithMargins="0">
    <oddFooter>&amp;CEng° Darcio Pagani Vieira
Crea/SC - 077.222-9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showGridLines="0" view="pageBreakPreview" zoomScale="130" zoomScaleSheetLayoutView="130" workbookViewId="0">
      <pane ySplit="3" topLeftCell="A4" activePane="bottomLeft" state="frozen"/>
      <selection activeCell="A10" sqref="A10:M10"/>
      <selection pane="bottomLeft" activeCell="A10" sqref="A10:M10"/>
    </sheetView>
  </sheetViews>
  <sheetFormatPr defaultRowHeight="12.75"/>
  <cols>
    <col min="1" max="6" width="4" style="332" customWidth="1"/>
    <col min="7" max="7" width="33.28515625" style="332" customWidth="1"/>
    <col min="8" max="11" width="12.28515625" style="332" customWidth="1"/>
    <col min="12" max="12" width="24.140625" style="332" bestFit="1" customWidth="1"/>
    <col min="13" max="13" width="20.42578125" style="332" customWidth="1"/>
    <col min="14" max="257" width="9.140625" style="332"/>
    <col min="258" max="263" width="4.85546875" style="332" customWidth="1"/>
    <col min="264" max="264" width="8.42578125" style="332" bestFit="1" customWidth="1"/>
    <col min="265" max="265" width="12.7109375" style="332" customWidth="1"/>
    <col min="266" max="266" width="15.42578125" style="332" bestFit="1" customWidth="1"/>
    <col min="267" max="269" width="12.7109375" style="332" customWidth="1"/>
    <col min="270" max="513" width="9.140625" style="332"/>
    <col min="514" max="519" width="4.85546875" style="332" customWidth="1"/>
    <col min="520" max="520" width="8.42578125" style="332" bestFit="1" customWidth="1"/>
    <col min="521" max="521" width="12.7109375" style="332" customWidth="1"/>
    <col min="522" max="522" width="15.42578125" style="332" bestFit="1" customWidth="1"/>
    <col min="523" max="525" width="12.7109375" style="332" customWidth="1"/>
    <col min="526" max="769" width="9.140625" style="332"/>
    <col min="770" max="775" width="4.85546875" style="332" customWidth="1"/>
    <col min="776" max="776" width="8.42578125" style="332" bestFit="1" customWidth="1"/>
    <col min="777" max="777" width="12.7109375" style="332" customWidth="1"/>
    <col min="778" max="778" width="15.42578125" style="332" bestFit="1" customWidth="1"/>
    <col min="779" max="781" width="12.7109375" style="332" customWidth="1"/>
    <col min="782" max="1025" width="9.140625" style="332"/>
    <col min="1026" max="1031" width="4.85546875" style="332" customWidth="1"/>
    <col min="1032" max="1032" width="8.42578125" style="332" bestFit="1" customWidth="1"/>
    <col min="1033" max="1033" width="12.7109375" style="332" customWidth="1"/>
    <col min="1034" max="1034" width="15.42578125" style="332" bestFit="1" customWidth="1"/>
    <col min="1035" max="1037" width="12.7109375" style="332" customWidth="1"/>
    <col min="1038" max="1281" width="9.140625" style="332"/>
    <col min="1282" max="1287" width="4.85546875" style="332" customWidth="1"/>
    <col min="1288" max="1288" width="8.42578125" style="332" bestFit="1" customWidth="1"/>
    <col min="1289" max="1289" width="12.7109375" style="332" customWidth="1"/>
    <col min="1290" max="1290" width="15.42578125" style="332" bestFit="1" customWidth="1"/>
    <col min="1291" max="1293" width="12.7109375" style="332" customWidth="1"/>
    <col min="1294" max="1537" width="9.140625" style="332"/>
    <col min="1538" max="1543" width="4.85546875" style="332" customWidth="1"/>
    <col min="1544" max="1544" width="8.42578125" style="332" bestFit="1" customWidth="1"/>
    <col min="1545" max="1545" width="12.7109375" style="332" customWidth="1"/>
    <col min="1546" max="1546" width="15.42578125" style="332" bestFit="1" customWidth="1"/>
    <col min="1547" max="1549" width="12.7109375" style="332" customWidth="1"/>
    <col min="1550" max="1793" width="9.140625" style="332"/>
    <col min="1794" max="1799" width="4.85546875" style="332" customWidth="1"/>
    <col min="1800" max="1800" width="8.42578125" style="332" bestFit="1" customWidth="1"/>
    <col min="1801" max="1801" width="12.7109375" style="332" customWidth="1"/>
    <col min="1802" max="1802" width="15.42578125" style="332" bestFit="1" customWidth="1"/>
    <col min="1803" max="1805" width="12.7109375" style="332" customWidth="1"/>
    <col min="1806" max="2049" width="9.140625" style="332"/>
    <col min="2050" max="2055" width="4.85546875" style="332" customWidth="1"/>
    <col min="2056" max="2056" width="8.42578125" style="332" bestFit="1" customWidth="1"/>
    <col min="2057" max="2057" width="12.7109375" style="332" customWidth="1"/>
    <col min="2058" max="2058" width="15.42578125" style="332" bestFit="1" customWidth="1"/>
    <col min="2059" max="2061" width="12.7109375" style="332" customWidth="1"/>
    <col min="2062" max="2305" width="9.140625" style="332"/>
    <col min="2306" max="2311" width="4.85546875" style="332" customWidth="1"/>
    <col min="2312" max="2312" width="8.42578125" style="332" bestFit="1" customWidth="1"/>
    <col min="2313" max="2313" width="12.7109375" style="332" customWidth="1"/>
    <col min="2314" max="2314" width="15.42578125" style="332" bestFit="1" customWidth="1"/>
    <col min="2315" max="2317" width="12.7109375" style="332" customWidth="1"/>
    <col min="2318" max="2561" width="9.140625" style="332"/>
    <col min="2562" max="2567" width="4.85546875" style="332" customWidth="1"/>
    <col min="2568" max="2568" width="8.42578125" style="332" bestFit="1" customWidth="1"/>
    <col min="2569" max="2569" width="12.7109375" style="332" customWidth="1"/>
    <col min="2570" max="2570" width="15.42578125" style="332" bestFit="1" customWidth="1"/>
    <col min="2571" max="2573" width="12.7109375" style="332" customWidth="1"/>
    <col min="2574" max="2817" width="9.140625" style="332"/>
    <col min="2818" max="2823" width="4.85546875" style="332" customWidth="1"/>
    <col min="2824" max="2824" width="8.42578125" style="332" bestFit="1" customWidth="1"/>
    <col min="2825" max="2825" width="12.7109375" style="332" customWidth="1"/>
    <col min="2826" max="2826" width="15.42578125" style="332" bestFit="1" customWidth="1"/>
    <col min="2827" max="2829" width="12.7109375" style="332" customWidth="1"/>
    <col min="2830" max="3073" width="9.140625" style="332"/>
    <col min="3074" max="3079" width="4.85546875" style="332" customWidth="1"/>
    <col min="3080" max="3080" width="8.42578125" style="332" bestFit="1" customWidth="1"/>
    <col min="3081" max="3081" width="12.7109375" style="332" customWidth="1"/>
    <col min="3082" max="3082" width="15.42578125" style="332" bestFit="1" customWidth="1"/>
    <col min="3083" max="3085" width="12.7109375" style="332" customWidth="1"/>
    <col min="3086" max="3329" width="9.140625" style="332"/>
    <col min="3330" max="3335" width="4.85546875" style="332" customWidth="1"/>
    <col min="3336" max="3336" width="8.42578125" style="332" bestFit="1" customWidth="1"/>
    <col min="3337" max="3337" width="12.7109375" style="332" customWidth="1"/>
    <col min="3338" max="3338" width="15.42578125" style="332" bestFit="1" customWidth="1"/>
    <col min="3339" max="3341" width="12.7109375" style="332" customWidth="1"/>
    <col min="3342" max="3585" width="9.140625" style="332"/>
    <col min="3586" max="3591" width="4.85546875" style="332" customWidth="1"/>
    <col min="3592" max="3592" width="8.42578125" style="332" bestFit="1" customWidth="1"/>
    <col min="3593" max="3593" width="12.7109375" style="332" customWidth="1"/>
    <col min="3594" max="3594" width="15.42578125" style="332" bestFit="1" customWidth="1"/>
    <col min="3595" max="3597" width="12.7109375" style="332" customWidth="1"/>
    <col min="3598" max="3841" width="9.140625" style="332"/>
    <col min="3842" max="3847" width="4.85546875" style="332" customWidth="1"/>
    <col min="3848" max="3848" width="8.42578125" style="332" bestFit="1" customWidth="1"/>
    <col min="3849" max="3849" width="12.7109375" style="332" customWidth="1"/>
    <col min="3850" max="3850" width="15.42578125" style="332" bestFit="1" customWidth="1"/>
    <col min="3851" max="3853" width="12.7109375" style="332" customWidth="1"/>
    <col min="3854" max="4097" width="9.140625" style="332"/>
    <col min="4098" max="4103" width="4.85546875" style="332" customWidth="1"/>
    <col min="4104" max="4104" width="8.42578125" style="332" bestFit="1" customWidth="1"/>
    <col min="4105" max="4105" width="12.7109375" style="332" customWidth="1"/>
    <col min="4106" max="4106" width="15.42578125" style="332" bestFit="1" customWidth="1"/>
    <col min="4107" max="4109" width="12.7109375" style="332" customWidth="1"/>
    <col min="4110" max="4353" width="9.140625" style="332"/>
    <col min="4354" max="4359" width="4.85546875" style="332" customWidth="1"/>
    <col min="4360" max="4360" width="8.42578125" style="332" bestFit="1" customWidth="1"/>
    <col min="4361" max="4361" width="12.7109375" style="332" customWidth="1"/>
    <col min="4362" max="4362" width="15.42578125" style="332" bestFit="1" customWidth="1"/>
    <col min="4363" max="4365" width="12.7109375" style="332" customWidth="1"/>
    <col min="4366" max="4609" width="9.140625" style="332"/>
    <col min="4610" max="4615" width="4.85546875" style="332" customWidth="1"/>
    <col min="4616" max="4616" width="8.42578125" style="332" bestFit="1" customWidth="1"/>
    <col min="4617" max="4617" width="12.7109375" style="332" customWidth="1"/>
    <col min="4618" max="4618" width="15.42578125" style="332" bestFit="1" customWidth="1"/>
    <col min="4619" max="4621" width="12.7109375" style="332" customWidth="1"/>
    <col min="4622" max="4865" width="9.140625" style="332"/>
    <col min="4866" max="4871" width="4.85546875" style="332" customWidth="1"/>
    <col min="4872" max="4872" width="8.42578125" style="332" bestFit="1" customWidth="1"/>
    <col min="4873" max="4873" width="12.7109375" style="332" customWidth="1"/>
    <col min="4874" max="4874" width="15.42578125" style="332" bestFit="1" customWidth="1"/>
    <col min="4875" max="4877" width="12.7109375" style="332" customWidth="1"/>
    <col min="4878" max="5121" width="9.140625" style="332"/>
    <col min="5122" max="5127" width="4.85546875" style="332" customWidth="1"/>
    <col min="5128" max="5128" width="8.42578125" style="332" bestFit="1" customWidth="1"/>
    <col min="5129" max="5129" width="12.7109375" style="332" customWidth="1"/>
    <col min="5130" max="5130" width="15.42578125" style="332" bestFit="1" customWidth="1"/>
    <col min="5131" max="5133" width="12.7109375" style="332" customWidth="1"/>
    <col min="5134" max="5377" width="9.140625" style="332"/>
    <col min="5378" max="5383" width="4.85546875" style="332" customWidth="1"/>
    <col min="5384" max="5384" width="8.42578125" style="332" bestFit="1" customWidth="1"/>
    <col min="5385" max="5385" width="12.7109375" style="332" customWidth="1"/>
    <col min="5386" max="5386" width="15.42578125" style="332" bestFit="1" customWidth="1"/>
    <col min="5387" max="5389" width="12.7109375" style="332" customWidth="1"/>
    <col min="5390" max="5633" width="9.140625" style="332"/>
    <col min="5634" max="5639" width="4.85546875" style="332" customWidth="1"/>
    <col min="5640" max="5640" width="8.42578125" style="332" bestFit="1" customWidth="1"/>
    <col min="5641" max="5641" width="12.7109375" style="332" customWidth="1"/>
    <col min="5642" max="5642" width="15.42578125" style="332" bestFit="1" customWidth="1"/>
    <col min="5643" max="5645" width="12.7109375" style="332" customWidth="1"/>
    <col min="5646" max="5889" width="9.140625" style="332"/>
    <col min="5890" max="5895" width="4.85546875" style="332" customWidth="1"/>
    <col min="5896" max="5896" width="8.42578125" style="332" bestFit="1" customWidth="1"/>
    <col min="5897" max="5897" width="12.7109375" style="332" customWidth="1"/>
    <col min="5898" max="5898" width="15.42578125" style="332" bestFit="1" customWidth="1"/>
    <col min="5899" max="5901" width="12.7109375" style="332" customWidth="1"/>
    <col min="5902" max="6145" width="9.140625" style="332"/>
    <col min="6146" max="6151" width="4.85546875" style="332" customWidth="1"/>
    <col min="6152" max="6152" width="8.42578125" style="332" bestFit="1" customWidth="1"/>
    <col min="6153" max="6153" width="12.7109375" style="332" customWidth="1"/>
    <col min="6154" max="6154" width="15.42578125" style="332" bestFit="1" customWidth="1"/>
    <col min="6155" max="6157" width="12.7109375" style="332" customWidth="1"/>
    <col min="6158" max="6401" width="9.140625" style="332"/>
    <col min="6402" max="6407" width="4.85546875" style="332" customWidth="1"/>
    <col min="6408" max="6408" width="8.42578125" style="332" bestFit="1" customWidth="1"/>
    <col min="6409" max="6409" width="12.7109375" style="332" customWidth="1"/>
    <col min="6410" max="6410" width="15.42578125" style="332" bestFit="1" customWidth="1"/>
    <col min="6411" max="6413" width="12.7109375" style="332" customWidth="1"/>
    <col min="6414" max="6657" width="9.140625" style="332"/>
    <col min="6658" max="6663" width="4.85546875" style="332" customWidth="1"/>
    <col min="6664" max="6664" width="8.42578125" style="332" bestFit="1" customWidth="1"/>
    <col min="6665" max="6665" width="12.7109375" style="332" customWidth="1"/>
    <col min="6666" max="6666" width="15.42578125" style="332" bestFit="1" customWidth="1"/>
    <col min="6667" max="6669" width="12.7109375" style="332" customWidth="1"/>
    <col min="6670" max="6913" width="9.140625" style="332"/>
    <col min="6914" max="6919" width="4.85546875" style="332" customWidth="1"/>
    <col min="6920" max="6920" width="8.42578125" style="332" bestFit="1" customWidth="1"/>
    <col min="6921" max="6921" width="12.7109375" style="332" customWidth="1"/>
    <col min="6922" max="6922" width="15.42578125" style="332" bestFit="1" customWidth="1"/>
    <col min="6923" max="6925" width="12.7109375" style="332" customWidth="1"/>
    <col min="6926" max="7169" width="9.140625" style="332"/>
    <col min="7170" max="7175" width="4.85546875" style="332" customWidth="1"/>
    <col min="7176" max="7176" width="8.42578125" style="332" bestFit="1" customWidth="1"/>
    <col min="7177" max="7177" width="12.7109375" style="332" customWidth="1"/>
    <col min="7178" max="7178" width="15.42578125" style="332" bestFit="1" customWidth="1"/>
    <col min="7179" max="7181" width="12.7109375" style="332" customWidth="1"/>
    <col min="7182" max="7425" width="9.140625" style="332"/>
    <col min="7426" max="7431" width="4.85546875" style="332" customWidth="1"/>
    <col min="7432" max="7432" width="8.42578125" style="332" bestFit="1" customWidth="1"/>
    <col min="7433" max="7433" width="12.7109375" style="332" customWidth="1"/>
    <col min="7434" max="7434" width="15.42578125" style="332" bestFit="1" customWidth="1"/>
    <col min="7435" max="7437" width="12.7109375" style="332" customWidth="1"/>
    <col min="7438" max="7681" width="9.140625" style="332"/>
    <col min="7682" max="7687" width="4.85546875" style="332" customWidth="1"/>
    <col min="7688" max="7688" width="8.42578125" style="332" bestFit="1" customWidth="1"/>
    <col min="7689" max="7689" width="12.7109375" style="332" customWidth="1"/>
    <col min="7690" max="7690" width="15.42578125" style="332" bestFit="1" customWidth="1"/>
    <col min="7691" max="7693" width="12.7109375" style="332" customWidth="1"/>
    <col min="7694" max="7937" width="9.140625" style="332"/>
    <col min="7938" max="7943" width="4.85546875" style="332" customWidth="1"/>
    <col min="7944" max="7944" width="8.42578125" style="332" bestFit="1" customWidth="1"/>
    <col min="7945" max="7945" width="12.7109375" style="332" customWidth="1"/>
    <col min="7946" max="7946" width="15.42578125" style="332" bestFit="1" customWidth="1"/>
    <col min="7947" max="7949" width="12.7109375" style="332" customWidth="1"/>
    <col min="7950" max="8193" width="9.140625" style="332"/>
    <col min="8194" max="8199" width="4.85546875" style="332" customWidth="1"/>
    <col min="8200" max="8200" width="8.42578125" style="332" bestFit="1" customWidth="1"/>
    <col min="8201" max="8201" width="12.7109375" style="332" customWidth="1"/>
    <col min="8202" max="8202" width="15.42578125" style="332" bestFit="1" customWidth="1"/>
    <col min="8203" max="8205" width="12.7109375" style="332" customWidth="1"/>
    <col min="8206" max="8449" width="9.140625" style="332"/>
    <col min="8450" max="8455" width="4.85546875" style="332" customWidth="1"/>
    <col min="8456" max="8456" width="8.42578125" style="332" bestFit="1" customWidth="1"/>
    <col min="8457" max="8457" width="12.7109375" style="332" customWidth="1"/>
    <col min="8458" max="8458" width="15.42578125" style="332" bestFit="1" customWidth="1"/>
    <col min="8459" max="8461" width="12.7109375" style="332" customWidth="1"/>
    <col min="8462" max="8705" width="9.140625" style="332"/>
    <col min="8706" max="8711" width="4.85546875" style="332" customWidth="1"/>
    <col min="8712" max="8712" width="8.42578125" style="332" bestFit="1" customWidth="1"/>
    <col min="8713" max="8713" width="12.7109375" style="332" customWidth="1"/>
    <col min="8714" max="8714" width="15.42578125" style="332" bestFit="1" customWidth="1"/>
    <col min="8715" max="8717" width="12.7109375" style="332" customWidth="1"/>
    <col min="8718" max="8961" width="9.140625" style="332"/>
    <col min="8962" max="8967" width="4.85546875" style="332" customWidth="1"/>
    <col min="8968" max="8968" width="8.42578125" style="332" bestFit="1" customWidth="1"/>
    <col min="8969" max="8969" width="12.7109375" style="332" customWidth="1"/>
    <col min="8970" max="8970" width="15.42578125" style="332" bestFit="1" customWidth="1"/>
    <col min="8971" max="8973" width="12.7109375" style="332" customWidth="1"/>
    <col min="8974" max="9217" width="9.140625" style="332"/>
    <col min="9218" max="9223" width="4.85546875" style="332" customWidth="1"/>
    <col min="9224" max="9224" width="8.42578125" style="332" bestFit="1" customWidth="1"/>
    <col min="9225" max="9225" width="12.7109375" style="332" customWidth="1"/>
    <col min="9226" max="9226" width="15.42578125" style="332" bestFit="1" customWidth="1"/>
    <col min="9227" max="9229" width="12.7109375" style="332" customWidth="1"/>
    <col min="9230" max="9473" width="9.140625" style="332"/>
    <col min="9474" max="9479" width="4.85546875" style="332" customWidth="1"/>
    <col min="9480" max="9480" width="8.42578125" style="332" bestFit="1" customWidth="1"/>
    <col min="9481" max="9481" width="12.7109375" style="332" customWidth="1"/>
    <col min="9482" max="9482" width="15.42578125" style="332" bestFit="1" customWidth="1"/>
    <col min="9483" max="9485" width="12.7109375" style="332" customWidth="1"/>
    <col min="9486" max="9729" width="9.140625" style="332"/>
    <col min="9730" max="9735" width="4.85546875" style="332" customWidth="1"/>
    <col min="9736" max="9736" width="8.42578125" style="332" bestFit="1" customWidth="1"/>
    <col min="9737" max="9737" width="12.7109375" style="332" customWidth="1"/>
    <col min="9738" max="9738" width="15.42578125" style="332" bestFit="1" customWidth="1"/>
    <col min="9739" max="9741" width="12.7109375" style="332" customWidth="1"/>
    <col min="9742" max="9985" width="9.140625" style="332"/>
    <col min="9986" max="9991" width="4.85546875" style="332" customWidth="1"/>
    <col min="9992" max="9992" width="8.42578125" style="332" bestFit="1" customWidth="1"/>
    <col min="9993" max="9993" width="12.7109375" style="332" customWidth="1"/>
    <col min="9994" max="9994" width="15.42578125" style="332" bestFit="1" customWidth="1"/>
    <col min="9995" max="9997" width="12.7109375" style="332" customWidth="1"/>
    <col min="9998" max="10241" width="9.140625" style="332"/>
    <col min="10242" max="10247" width="4.85546875" style="332" customWidth="1"/>
    <col min="10248" max="10248" width="8.42578125" style="332" bestFit="1" customWidth="1"/>
    <col min="10249" max="10249" width="12.7109375" style="332" customWidth="1"/>
    <col min="10250" max="10250" width="15.42578125" style="332" bestFit="1" customWidth="1"/>
    <col min="10251" max="10253" width="12.7109375" style="332" customWidth="1"/>
    <col min="10254" max="10497" width="9.140625" style="332"/>
    <col min="10498" max="10503" width="4.85546875" style="332" customWidth="1"/>
    <col min="10504" max="10504" width="8.42578125" style="332" bestFit="1" customWidth="1"/>
    <col min="10505" max="10505" width="12.7109375" style="332" customWidth="1"/>
    <col min="10506" max="10506" width="15.42578125" style="332" bestFit="1" customWidth="1"/>
    <col min="10507" max="10509" width="12.7109375" style="332" customWidth="1"/>
    <col min="10510" max="10753" width="9.140625" style="332"/>
    <col min="10754" max="10759" width="4.85546875" style="332" customWidth="1"/>
    <col min="10760" max="10760" width="8.42578125" style="332" bestFit="1" customWidth="1"/>
    <col min="10761" max="10761" width="12.7109375" style="332" customWidth="1"/>
    <col min="10762" max="10762" width="15.42578125" style="332" bestFit="1" customWidth="1"/>
    <col min="10763" max="10765" width="12.7109375" style="332" customWidth="1"/>
    <col min="10766" max="11009" width="9.140625" style="332"/>
    <col min="11010" max="11015" width="4.85546875" style="332" customWidth="1"/>
    <col min="11016" max="11016" width="8.42578125" style="332" bestFit="1" customWidth="1"/>
    <col min="11017" max="11017" width="12.7109375" style="332" customWidth="1"/>
    <col min="11018" max="11018" width="15.42578125" style="332" bestFit="1" customWidth="1"/>
    <col min="11019" max="11021" width="12.7109375" style="332" customWidth="1"/>
    <col min="11022" max="11265" width="9.140625" style="332"/>
    <col min="11266" max="11271" width="4.85546875" style="332" customWidth="1"/>
    <col min="11272" max="11272" width="8.42578125" style="332" bestFit="1" customWidth="1"/>
    <col min="11273" max="11273" width="12.7109375" style="332" customWidth="1"/>
    <col min="11274" max="11274" width="15.42578125" style="332" bestFit="1" customWidth="1"/>
    <col min="11275" max="11277" width="12.7109375" style="332" customWidth="1"/>
    <col min="11278" max="11521" width="9.140625" style="332"/>
    <col min="11522" max="11527" width="4.85546875" style="332" customWidth="1"/>
    <col min="11528" max="11528" width="8.42578125" style="332" bestFit="1" customWidth="1"/>
    <col min="11529" max="11529" width="12.7109375" style="332" customWidth="1"/>
    <col min="11530" max="11530" width="15.42578125" style="332" bestFit="1" customWidth="1"/>
    <col min="11531" max="11533" width="12.7109375" style="332" customWidth="1"/>
    <col min="11534" max="11777" width="9.140625" style="332"/>
    <col min="11778" max="11783" width="4.85546875" style="332" customWidth="1"/>
    <col min="11784" max="11784" width="8.42578125" style="332" bestFit="1" customWidth="1"/>
    <col min="11785" max="11785" width="12.7109375" style="332" customWidth="1"/>
    <col min="11786" max="11786" width="15.42578125" style="332" bestFit="1" customWidth="1"/>
    <col min="11787" max="11789" width="12.7109375" style="332" customWidth="1"/>
    <col min="11790" max="12033" width="9.140625" style="332"/>
    <col min="12034" max="12039" width="4.85546875" style="332" customWidth="1"/>
    <col min="12040" max="12040" width="8.42578125" style="332" bestFit="1" customWidth="1"/>
    <col min="12041" max="12041" width="12.7109375" style="332" customWidth="1"/>
    <col min="12042" max="12042" width="15.42578125" style="332" bestFit="1" customWidth="1"/>
    <col min="12043" max="12045" width="12.7109375" style="332" customWidth="1"/>
    <col min="12046" max="12289" width="9.140625" style="332"/>
    <col min="12290" max="12295" width="4.85546875" style="332" customWidth="1"/>
    <col min="12296" max="12296" width="8.42578125" style="332" bestFit="1" customWidth="1"/>
    <col min="12297" max="12297" width="12.7109375" style="332" customWidth="1"/>
    <col min="12298" max="12298" width="15.42578125" style="332" bestFit="1" customWidth="1"/>
    <col min="12299" max="12301" width="12.7109375" style="332" customWidth="1"/>
    <col min="12302" max="12545" width="9.140625" style="332"/>
    <col min="12546" max="12551" width="4.85546875" style="332" customWidth="1"/>
    <col min="12552" max="12552" width="8.42578125" style="332" bestFit="1" customWidth="1"/>
    <col min="12553" max="12553" width="12.7109375" style="332" customWidth="1"/>
    <col min="12554" max="12554" width="15.42578125" style="332" bestFit="1" customWidth="1"/>
    <col min="12555" max="12557" width="12.7109375" style="332" customWidth="1"/>
    <col min="12558" max="12801" width="9.140625" style="332"/>
    <col min="12802" max="12807" width="4.85546875" style="332" customWidth="1"/>
    <col min="12808" max="12808" width="8.42578125" style="332" bestFit="1" customWidth="1"/>
    <col min="12809" max="12809" width="12.7109375" style="332" customWidth="1"/>
    <col min="12810" max="12810" width="15.42578125" style="332" bestFit="1" customWidth="1"/>
    <col min="12811" max="12813" width="12.7109375" style="332" customWidth="1"/>
    <col min="12814" max="13057" width="9.140625" style="332"/>
    <col min="13058" max="13063" width="4.85546875" style="332" customWidth="1"/>
    <col min="13064" max="13064" width="8.42578125" style="332" bestFit="1" customWidth="1"/>
    <col min="13065" max="13065" width="12.7109375" style="332" customWidth="1"/>
    <col min="13066" max="13066" width="15.42578125" style="332" bestFit="1" customWidth="1"/>
    <col min="13067" max="13069" width="12.7109375" style="332" customWidth="1"/>
    <col min="13070" max="13313" width="9.140625" style="332"/>
    <col min="13314" max="13319" width="4.85546875" style="332" customWidth="1"/>
    <col min="13320" max="13320" width="8.42578125" style="332" bestFit="1" customWidth="1"/>
    <col min="13321" max="13321" width="12.7109375" style="332" customWidth="1"/>
    <col min="13322" max="13322" width="15.42578125" style="332" bestFit="1" customWidth="1"/>
    <col min="13323" max="13325" width="12.7109375" style="332" customWidth="1"/>
    <col min="13326" max="13569" width="9.140625" style="332"/>
    <col min="13570" max="13575" width="4.85546875" style="332" customWidth="1"/>
    <col min="13576" max="13576" width="8.42578125" style="332" bestFit="1" customWidth="1"/>
    <col min="13577" max="13577" width="12.7109375" style="332" customWidth="1"/>
    <col min="13578" max="13578" width="15.42578125" style="332" bestFit="1" customWidth="1"/>
    <col min="13579" max="13581" width="12.7109375" style="332" customWidth="1"/>
    <col min="13582" max="13825" width="9.140625" style="332"/>
    <col min="13826" max="13831" width="4.85546875" style="332" customWidth="1"/>
    <col min="13832" max="13832" width="8.42578125" style="332" bestFit="1" customWidth="1"/>
    <col min="13833" max="13833" width="12.7109375" style="332" customWidth="1"/>
    <col min="13834" max="13834" width="15.42578125" style="332" bestFit="1" customWidth="1"/>
    <col min="13835" max="13837" width="12.7109375" style="332" customWidth="1"/>
    <col min="13838" max="14081" width="9.140625" style="332"/>
    <col min="14082" max="14087" width="4.85546875" style="332" customWidth="1"/>
    <col min="14088" max="14088" width="8.42578125" style="332" bestFit="1" customWidth="1"/>
    <col min="14089" max="14089" width="12.7109375" style="332" customWidth="1"/>
    <col min="14090" max="14090" width="15.42578125" style="332" bestFit="1" customWidth="1"/>
    <col min="14091" max="14093" width="12.7109375" style="332" customWidth="1"/>
    <col min="14094" max="14337" width="9.140625" style="332"/>
    <col min="14338" max="14343" width="4.85546875" style="332" customWidth="1"/>
    <col min="14344" max="14344" width="8.42578125" style="332" bestFit="1" customWidth="1"/>
    <col min="14345" max="14345" width="12.7109375" style="332" customWidth="1"/>
    <col min="14346" max="14346" width="15.42578125" style="332" bestFit="1" customWidth="1"/>
    <col min="14347" max="14349" width="12.7109375" style="332" customWidth="1"/>
    <col min="14350" max="14593" width="9.140625" style="332"/>
    <col min="14594" max="14599" width="4.85546875" style="332" customWidth="1"/>
    <col min="14600" max="14600" width="8.42578125" style="332" bestFit="1" customWidth="1"/>
    <col min="14601" max="14601" width="12.7109375" style="332" customWidth="1"/>
    <col min="14602" max="14602" width="15.42578125" style="332" bestFit="1" customWidth="1"/>
    <col min="14603" max="14605" width="12.7109375" style="332" customWidth="1"/>
    <col min="14606" max="14849" width="9.140625" style="332"/>
    <col min="14850" max="14855" width="4.85546875" style="332" customWidth="1"/>
    <col min="14856" max="14856" width="8.42578125" style="332" bestFit="1" customWidth="1"/>
    <col min="14857" max="14857" width="12.7109375" style="332" customWidth="1"/>
    <col min="14858" max="14858" width="15.42578125" style="332" bestFit="1" customWidth="1"/>
    <col min="14859" max="14861" width="12.7109375" style="332" customWidth="1"/>
    <col min="14862" max="15105" width="9.140625" style="332"/>
    <col min="15106" max="15111" width="4.85546875" style="332" customWidth="1"/>
    <col min="15112" max="15112" width="8.42578125" style="332" bestFit="1" customWidth="1"/>
    <col min="15113" max="15113" width="12.7109375" style="332" customWidth="1"/>
    <col min="15114" max="15114" width="15.42578125" style="332" bestFit="1" customWidth="1"/>
    <col min="15115" max="15117" width="12.7109375" style="332" customWidth="1"/>
    <col min="15118" max="15361" width="9.140625" style="332"/>
    <col min="15362" max="15367" width="4.85546875" style="332" customWidth="1"/>
    <col min="15368" max="15368" width="8.42578125" style="332" bestFit="1" customWidth="1"/>
    <col min="15369" max="15369" width="12.7109375" style="332" customWidth="1"/>
    <col min="15370" max="15370" width="15.42578125" style="332" bestFit="1" customWidth="1"/>
    <col min="15371" max="15373" width="12.7109375" style="332" customWidth="1"/>
    <col min="15374" max="15617" width="9.140625" style="332"/>
    <col min="15618" max="15623" width="4.85546875" style="332" customWidth="1"/>
    <col min="15624" max="15624" width="8.42578125" style="332" bestFit="1" customWidth="1"/>
    <col min="15625" max="15625" width="12.7109375" style="332" customWidth="1"/>
    <col min="15626" max="15626" width="15.42578125" style="332" bestFit="1" customWidth="1"/>
    <col min="15627" max="15629" width="12.7109375" style="332" customWidth="1"/>
    <col min="15630" max="15873" width="9.140625" style="332"/>
    <col min="15874" max="15879" width="4.85546875" style="332" customWidth="1"/>
    <col min="15880" max="15880" width="8.42578125" style="332" bestFit="1" customWidth="1"/>
    <col min="15881" max="15881" width="12.7109375" style="332" customWidth="1"/>
    <col min="15882" max="15882" width="15.42578125" style="332" bestFit="1" customWidth="1"/>
    <col min="15883" max="15885" width="12.7109375" style="332" customWidth="1"/>
    <col min="15886" max="16129" width="9.140625" style="332"/>
    <col min="16130" max="16135" width="4.85546875" style="332" customWidth="1"/>
    <col min="16136" max="16136" width="8.42578125" style="332" bestFit="1" customWidth="1"/>
    <col min="16137" max="16137" width="12.7109375" style="332" customWidth="1"/>
    <col min="16138" max="16138" width="15.42578125" style="332" bestFit="1" customWidth="1"/>
    <col min="16139" max="16141" width="12.7109375" style="332" customWidth="1"/>
    <col min="16142" max="16384" width="9.140625" style="332"/>
  </cols>
  <sheetData>
    <row r="1" spans="1:15" ht="33" customHeight="1">
      <c r="A1" s="758"/>
      <c r="B1" s="758"/>
      <c r="C1" s="758"/>
      <c r="D1" s="758" t="s">
        <v>454</v>
      </c>
      <c r="E1" s="758"/>
      <c r="F1" s="758"/>
      <c r="G1" s="758"/>
      <c r="H1" s="758"/>
      <c r="I1" s="758"/>
      <c r="J1" s="758"/>
      <c r="K1" s="758"/>
      <c r="L1" s="758"/>
      <c r="M1" s="758"/>
    </row>
    <row r="2" spans="1:15" ht="12.75" customHeight="1">
      <c r="A2" s="758"/>
      <c r="B2" s="758"/>
      <c r="C2" s="758"/>
      <c r="D2" s="756" t="str">
        <f>PAVIM.!G2</f>
        <v>PREFEITURA MUNICIPAL DE MARACAJÁ</v>
      </c>
      <c r="E2" s="756"/>
      <c r="F2" s="756"/>
      <c r="G2" s="756"/>
      <c r="H2" s="756"/>
      <c r="I2" s="755" t="str">
        <f>PAVIM.!I2</f>
        <v>BAIRRO: ESPIGÃO DA TOCA</v>
      </c>
      <c r="J2" s="755"/>
      <c r="K2" s="755"/>
      <c r="L2" s="346" t="str">
        <f>PAVIM.!K2</f>
        <v>MUNICIPIO: MARACAJÁ</v>
      </c>
      <c r="M2" s="353" t="str">
        <f>PAVIM.!M2</f>
        <v>ESTADO: SANTA CATARINA</v>
      </c>
    </row>
    <row r="3" spans="1:15" ht="12.75" customHeight="1">
      <c r="A3" s="758"/>
      <c r="B3" s="758"/>
      <c r="C3" s="758"/>
      <c r="D3" s="754" t="str">
        <f>PAVIM.!G3</f>
        <v>RODOVIA ANGELINO ACORDI</v>
      </c>
      <c r="E3" s="754"/>
      <c r="F3" s="754"/>
      <c r="G3" s="754"/>
      <c r="H3" s="754"/>
      <c r="I3" s="754"/>
      <c r="J3" s="754"/>
      <c r="K3" s="754"/>
      <c r="L3" s="754"/>
      <c r="M3" s="353" t="str">
        <f ca="1">PAVIM.!M3</f>
        <v>DATA: 08/10/26</v>
      </c>
    </row>
    <row r="4" spans="1:15" ht="12.75" customHeight="1">
      <c r="A4" s="379"/>
      <c r="B4" s="333"/>
      <c r="C4" s="333"/>
      <c r="D4" s="333"/>
      <c r="E4" s="333"/>
      <c r="F4" s="333"/>
      <c r="G4" s="333"/>
      <c r="H4" s="333"/>
      <c r="I4" s="333"/>
      <c r="J4" s="334"/>
      <c r="K4" s="334"/>
      <c r="L4" s="334"/>
      <c r="M4" s="380"/>
    </row>
    <row r="5" spans="1:15">
      <c r="A5" s="757" t="s">
        <v>120</v>
      </c>
      <c r="B5" s="757"/>
      <c r="C5" s="757"/>
      <c r="D5" s="757"/>
      <c r="E5" s="757"/>
      <c r="F5" s="757"/>
      <c r="G5" s="757"/>
      <c r="H5" s="757"/>
      <c r="I5" s="757"/>
      <c r="J5" s="757"/>
      <c r="K5" s="757"/>
      <c r="L5" s="757"/>
      <c r="M5" s="757"/>
    </row>
    <row r="6" spans="1:15" ht="13.5" customHeight="1">
      <c r="A6" s="757" t="s">
        <v>128</v>
      </c>
      <c r="B6" s="757"/>
      <c r="C6" s="757"/>
      <c r="D6" s="757" t="s">
        <v>47</v>
      </c>
      <c r="E6" s="757"/>
      <c r="F6" s="757"/>
      <c r="G6" s="343" t="s">
        <v>400</v>
      </c>
      <c r="H6" s="345" t="s">
        <v>4</v>
      </c>
      <c r="I6" s="345" t="s">
        <v>49</v>
      </c>
      <c r="J6" s="345" t="s">
        <v>45</v>
      </c>
      <c r="K6" s="345" t="s">
        <v>124</v>
      </c>
      <c r="L6" s="345" t="s">
        <v>122</v>
      </c>
      <c r="M6" s="345" t="s">
        <v>121</v>
      </c>
    </row>
    <row r="7" spans="1:15" s="336" customFormat="1">
      <c r="A7" s="294">
        <f>PAVIM.!A7</f>
        <v>0</v>
      </c>
      <c r="B7" s="294" t="str">
        <f>PAVIM.!B7</f>
        <v>+</v>
      </c>
      <c r="C7" s="295">
        <f>PAVIM.!C7</f>
        <v>0</v>
      </c>
      <c r="D7" s="294">
        <f>PAVIM.!D7</f>
        <v>20</v>
      </c>
      <c r="E7" s="294" t="str">
        <f>PAVIM.!E7</f>
        <v>+</v>
      </c>
      <c r="F7" s="295">
        <f>PAVIM.!F7</f>
        <v>0</v>
      </c>
      <c r="G7" s="342" t="str">
        <f>PAVIM.!G7</f>
        <v>RODOVIA ANGELINO ACORDI</v>
      </c>
      <c r="H7" s="294">
        <v>1</v>
      </c>
      <c r="I7" s="335">
        <f>D7*20+F7</f>
        <v>400</v>
      </c>
      <c r="J7" s="295">
        <v>0.1</v>
      </c>
      <c r="K7" s="294">
        <v>1</v>
      </c>
      <c r="L7" s="296" t="s">
        <v>417</v>
      </c>
      <c r="M7" s="378">
        <f>TRUNC(I7*H7,2)</f>
        <v>400</v>
      </c>
    </row>
    <row r="8" spans="1:15" s="336" customFormat="1">
      <c r="A8" s="294">
        <f>A7</f>
        <v>0</v>
      </c>
      <c r="B8" s="294" t="str">
        <f t="shared" ref="B8:F8" si="0">B7</f>
        <v>+</v>
      </c>
      <c r="C8" s="295">
        <f t="shared" si="0"/>
        <v>0</v>
      </c>
      <c r="D8" s="294">
        <f t="shared" si="0"/>
        <v>20</v>
      </c>
      <c r="E8" s="294" t="str">
        <f t="shared" si="0"/>
        <v>+</v>
      </c>
      <c r="F8" s="295">
        <f t="shared" si="0"/>
        <v>0</v>
      </c>
      <c r="G8" s="342" t="str">
        <f>G7</f>
        <v>RODOVIA ANGELINO ACORDI</v>
      </c>
      <c r="H8" s="294">
        <v>2</v>
      </c>
      <c r="I8" s="335">
        <f>D8*20+F8</f>
        <v>400</v>
      </c>
      <c r="J8" s="295">
        <v>0.1</v>
      </c>
      <c r="K8" s="294">
        <v>1</v>
      </c>
      <c r="L8" s="296" t="s">
        <v>557</v>
      </c>
      <c r="M8" s="378">
        <f>TRUNC(I8*H8,2)</f>
        <v>800</v>
      </c>
    </row>
    <row r="9" spans="1:15" s="36" customFormat="1" ht="13.5" customHeight="1">
      <c r="A9" s="749" t="s">
        <v>17</v>
      </c>
      <c r="B9" s="749"/>
      <c r="C9" s="749"/>
      <c r="D9" s="749"/>
      <c r="E9" s="749"/>
      <c r="F9" s="749"/>
      <c r="G9" s="749"/>
      <c r="H9" s="749"/>
      <c r="I9" s="749"/>
      <c r="J9" s="749"/>
      <c r="K9" s="749"/>
      <c r="L9" s="749"/>
      <c r="M9" s="282">
        <f>SUM(M7:M8)</f>
        <v>1200</v>
      </c>
      <c r="O9" s="337"/>
    </row>
    <row r="10" spans="1:15" ht="12.75" customHeight="1">
      <c r="A10" s="379"/>
      <c r="B10" s="333"/>
      <c r="C10" s="333"/>
      <c r="D10" s="333"/>
      <c r="E10" s="333"/>
      <c r="F10" s="333"/>
      <c r="G10" s="333"/>
      <c r="H10" s="333"/>
      <c r="I10" s="333"/>
      <c r="J10" s="334"/>
      <c r="K10" s="334"/>
      <c r="L10" s="334"/>
      <c r="M10" s="380"/>
    </row>
    <row r="11" spans="1:15">
      <c r="A11" s="757" t="s">
        <v>586</v>
      </c>
      <c r="B11" s="757"/>
      <c r="C11" s="757"/>
      <c r="D11" s="757"/>
      <c r="E11" s="757"/>
      <c r="F11" s="757"/>
      <c r="G11" s="757"/>
      <c r="H11" s="757"/>
      <c r="I11" s="757"/>
      <c r="J11" s="757"/>
      <c r="K11" s="757"/>
      <c r="L11" s="757"/>
      <c r="M11" s="757"/>
    </row>
    <row r="12" spans="1:15" ht="13.5" customHeight="1">
      <c r="A12" s="757" t="s">
        <v>128</v>
      </c>
      <c r="B12" s="757"/>
      <c r="C12" s="757"/>
      <c r="D12" s="757" t="s">
        <v>47</v>
      </c>
      <c r="E12" s="757"/>
      <c r="F12" s="757"/>
      <c r="G12" s="556" t="s">
        <v>400</v>
      </c>
      <c r="H12" s="557" t="s">
        <v>4</v>
      </c>
      <c r="I12" s="557" t="s">
        <v>49</v>
      </c>
      <c r="J12" s="557" t="s">
        <v>45</v>
      </c>
      <c r="K12" s="557" t="s">
        <v>124</v>
      </c>
      <c r="L12" s="557" t="s">
        <v>122</v>
      </c>
      <c r="M12" s="557" t="s">
        <v>121</v>
      </c>
    </row>
    <row r="13" spans="1:15" s="336" customFormat="1">
      <c r="A13" s="294">
        <v>15</v>
      </c>
      <c r="B13" s="294" t="s">
        <v>48</v>
      </c>
      <c r="C13" s="295">
        <v>0</v>
      </c>
      <c r="D13" s="294">
        <v>15</v>
      </c>
      <c r="E13" s="294" t="s">
        <v>48</v>
      </c>
      <c r="F13" s="295">
        <v>0</v>
      </c>
      <c r="G13" s="555" t="str">
        <f>G8</f>
        <v>RODOVIA ANGELINO ACORDI</v>
      </c>
      <c r="H13" s="294">
        <v>1</v>
      </c>
      <c r="I13" s="335">
        <v>3.7</v>
      </c>
      <c r="J13" s="295">
        <v>7.7</v>
      </c>
      <c r="K13" s="294">
        <v>1</v>
      </c>
      <c r="L13" s="296" t="s">
        <v>554</v>
      </c>
      <c r="M13" s="378">
        <f>TRUNC(H13*I13*J13*K13,2)</f>
        <v>28.49</v>
      </c>
    </row>
    <row r="14" spans="1:15" s="36" customFormat="1" ht="13.5" customHeight="1">
      <c r="A14" s="749" t="s">
        <v>17</v>
      </c>
      <c r="B14" s="749"/>
      <c r="C14" s="749"/>
      <c r="D14" s="749"/>
      <c r="E14" s="749"/>
      <c r="F14" s="749"/>
      <c r="G14" s="749"/>
      <c r="H14" s="749"/>
      <c r="I14" s="749"/>
      <c r="J14" s="749"/>
      <c r="K14" s="749"/>
      <c r="L14" s="749"/>
      <c r="M14" s="282">
        <f>SUM(M13:M13)</f>
        <v>28.49</v>
      </c>
      <c r="O14" s="337"/>
    </row>
    <row r="15" spans="1:15" ht="12.75" customHeight="1">
      <c r="A15" s="379"/>
      <c r="B15" s="333"/>
      <c r="C15" s="333"/>
      <c r="D15" s="333"/>
      <c r="E15" s="333"/>
      <c r="F15" s="333"/>
      <c r="G15" s="333"/>
      <c r="H15" s="333"/>
      <c r="I15" s="333"/>
      <c r="J15" s="334"/>
      <c r="K15" s="334"/>
      <c r="L15" s="334"/>
      <c r="M15" s="380"/>
    </row>
    <row r="16" spans="1:15">
      <c r="A16" s="757" t="s">
        <v>555</v>
      </c>
      <c r="B16" s="757"/>
      <c r="C16" s="757"/>
      <c r="D16" s="757"/>
      <c r="E16" s="757"/>
      <c r="F16" s="757"/>
      <c r="G16" s="757"/>
      <c r="H16" s="757"/>
      <c r="I16" s="757"/>
      <c r="J16" s="757"/>
      <c r="K16" s="757"/>
      <c r="L16" s="757"/>
      <c r="M16" s="757"/>
    </row>
    <row r="17" spans="1:15" ht="13.5" customHeight="1">
      <c r="A17" s="757" t="s">
        <v>128</v>
      </c>
      <c r="B17" s="757"/>
      <c r="C17" s="757"/>
      <c r="D17" s="757" t="s">
        <v>47</v>
      </c>
      <c r="E17" s="757"/>
      <c r="F17" s="757"/>
      <c r="G17" s="510" t="s">
        <v>400</v>
      </c>
      <c r="H17" s="557" t="s">
        <v>4</v>
      </c>
      <c r="I17" s="511" t="s">
        <v>49</v>
      </c>
      <c r="J17" s="511" t="s">
        <v>45</v>
      </c>
      <c r="K17" s="511" t="s">
        <v>556</v>
      </c>
      <c r="L17" s="511" t="s">
        <v>122</v>
      </c>
      <c r="M17" s="511" t="s">
        <v>123</v>
      </c>
    </row>
    <row r="18" spans="1:15" s="336" customFormat="1">
      <c r="A18" s="294">
        <f>PAVIM.!A12</f>
        <v>0</v>
      </c>
      <c r="B18" s="294" t="str">
        <f>PAVIM.!B12</f>
        <v>+</v>
      </c>
      <c r="C18" s="295">
        <f>PAVIM.!C12</f>
        <v>0</v>
      </c>
      <c r="D18" s="294">
        <f>PAVIM.!D12</f>
        <v>20</v>
      </c>
      <c r="E18" s="294" t="str">
        <f>PAVIM.!E12</f>
        <v>+</v>
      </c>
      <c r="F18" s="295">
        <f>PAVIM.!F12</f>
        <v>0</v>
      </c>
      <c r="G18" s="509" t="str">
        <f>PAVIM.!G12</f>
        <v>RODOVIA ANGELINO ACORDI</v>
      </c>
      <c r="H18" s="294">
        <v>3</v>
      </c>
      <c r="I18" s="335">
        <f>D18*20+F18</f>
        <v>400</v>
      </c>
      <c r="J18" s="295" t="s">
        <v>42</v>
      </c>
      <c r="K18" s="294">
        <v>6</v>
      </c>
      <c r="L18" s="296" t="s">
        <v>587</v>
      </c>
      <c r="M18" s="377">
        <f>ROUNDUP(I18*H18/K18,0)</f>
        <v>200</v>
      </c>
    </row>
    <row r="19" spans="1:15" s="36" customFormat="1" ht="13.5" customHeight="1">
      <c r="A19" s="749" t="s">
        <v>17</v>
      </c>
      <c r="B19" s="749"/>
      <c r="C19" s="749"/>
      <c r="D19" s="749"/>
      <c r="E19" s="749"/>
      <c r="F19" s="749"/>
      <c r="G19" s="749"/>
      <c r="H19" s="749"/>
      <c r="I19" s="749"/>
      <c r="J19" s="749"/>
      <c r="K19" s="749"/>
      <c r="L19" s="749"/>
      <c r="M19" s="444">
        <f>SUM(M18:M18)</f>
        <v>200</v>
      </c>
      <c r="O19" s="337"/>
    </row>
    <row r="20" spans="1:15" s="336" customFormat="1">
      <c r="A20" s="379"/>
      <c r="B20" s="333"/>
      <c r="C20" s="333"/>
      <c r="D20" s="333"/>
      <c r="E20" s="333"/>
      <c r="F20" s="333"/>
      <c r="G20" s="333"/>
      <c r="H20" s="333"/>
      <c r="I20" s="333"/>
      <c r="J20" s="334"/>
      <c r="K20" s="334"/>
      <c r="L20" s="334"/>
      <c r="M20" s="380"/>
    </row>
    <row r="21" spans="1:15" s="336" customFormat="1">
      <c r="A21" s="757" t="s">
        <v>127</v>
      </c>
      <c r="B21" s="757"/>
      <c r="C21" s="757"/>
      <c r="D21" s="757"/>
      <c r="E21" s="757"/>
      <c r="F21" s="757"/>
      <c r="G21" s="757"/>
      <c r="H21" s="757"/>
      <c r="I21" s="757"/>
      <c r="J21" s="757"/>
      <c r="K21" s="757"/>
      <c r="L21" s="757"/>
      <c r="M21" s="757"/>
    </row>
    <row r="22" spans="1:15" s="336" customFormat="1">
      <c r="A22" s="757" t="s">
        <v>128</v>
      </c>
      <c r="B22" s="757"/>
      <c r="C22" s="757"/>
      <c r="D22" s="757" t="s">
        <v>47</v>
      </c>
      <c r="E22" s="757"/>
      <c r="F22" s="757"/>
      <c r="G22" s="343" t="s">
        <v>400</v>
      </c>
      <c r="H22" s="345" t="s">
        <v>4</v>
      </c>
      <c r="I22" s="345" t="s">
        <v>49</v>
      </c>
      <c r="J22" s="345" t="s">
        <v>45</v>
      </c>
      <c r="K22" s="345" t="s">
        <v>111</v>
      </c>
      <c r="L22" s="345" t="s">
        <v>122</v>
      </c>
      <c r="M22" s="345" t="s">
        <v>123</v>
      </c>
    </row>
    <row r="23" spans="1:15" s="336" customFormat="1">
      <c r="A23" s="294">
        <v>13</v>
      </c>
      <c r="B23" s="294" t="s">
        <v>48</v>
      </c>
      <c r="C23" s="295">
        <v>0</v>
      </c>
      <c r="D23" s="294">
        <v>13</v>
      </c>
      <c r="E23" s="294" t="s">
        <v>48</v>
      </c>
      <c r="F23" s="295">
        <v>0</v>
      </c>
      <c r="G23" s="509" t="str">
        <f>G18</f>
        <v>RODOVIA ANGELINO ACORDI</v>
      </c>
      <c r="H23" s="297">
        <v>1</v>
      </c>
      <c r="I23" s="295">
        <v>0.6</v>
      </c>
      <c r="J23" s="295">
        <v>0.6</v>
      </c>
      <c r="K23" s="509" t="s">
        <v>109</v>
      </c>
      <c r="L23" s="296" t="s">
        <v>552</v>
      </c>
      <c r="M23" s="377">
        <v>1</v>
      </c>
    </row>
    <row r="24" spans="1:15" s="336" customFormat="1">
      <c r="A24" s="294">
        <v>16</v>
      </c>
      <c r="B24" s="294" t="s">
        <v>48</v>
      </c>
      <c r="C24" s="295">
        <v>0</v>
      </c>
      <c r="D24" s="294">
        <v>16</v>
      </c>
      <c r="E24" s="294" t="s">
        <v>48</v>
      </c>
      <c r="F24" s="295">
        <v>0</v>
      </c>
      <c r="G24" s="512" t="str">
        <f t="shared" ref="G24" si="1">G23</f>
        <v>RODOVIA ANGELINO ACORDI</v>
      </c>
      <c r="H24" s="297">
        <v>1</v>
      </c>
      <c r="I24" s="295">
        <v>0.6</v>
      </c>
      <c r="J24" s="295">
        <v>0.6</v>
      </c>
      <c r="K24" s="512" t="s">
        <v>110</v>
      </c>
      <c r="L24" s="296" t="s">
        <v>552</v>
      </c>
      <c r="M24" s="377">
        <v>1</v>
      </c>
    </row>
    <row r="25" spans="1:15" s="36" customFormat="1" ht="13.5" customHeight="1">
      <c r="A25" s="749" t="s">
        <v>17</v>
      </c>
      <c r="B25" s="749"/>
      <c r="C25" s="749"/>
      <c r="D25" s="749"/>
      <c r="E25" s="749"/>
      <c r="F25" s="749"/>
      <c r="G25" s="749"/>
      <c r="H25" s="749"/>
      <c r="I25" s="749"/>
      <c r="J25" s="749"/>
      <c r="K25" s="749"/>
      <c r="L25" s="749"/>
      <c r="M25" s="444">
        <f>SUM(M23:M24)</f>
        <v>2</v>
      </c>
      <c r="O25" s="337"/>
    </row>
    <row r="26" spans="1:15" s="336" customFormat="1">
      <c r="A26" s="379"/>
      <c r="B26" s="333"/>
      <c r="C26" s="333"/>
      <c r="D26" s="333"/>
      <c r="E26" s="333"/>
      <c r="F26" s="333"/>
      <c r="G26" s="333"/>
      <c r="H26" s="333"/>
      <c r="I26" s="333"/>
      <c r="J26" s="334"/>
      <c r="K26" s="334"/>
      <c r="L26" s="334"/>
      <c r="M26" s="380"/>
    </row>
    <row r="27" spans="1:15" s="336" customFormat="1">
      <c r="A27" s="757" t="s">
        <v>553</v>
      </c>
      <c r="B27" s="757"/>
      <c r="C27" s="757"/>
      <c r="D27" s="757"/>
      <c r="E27" s="757"/>
      <c r="F27" s="757"/>
      <c r="G27" s="757"/>
      <c r="H27" s="757"/>
      <c r="I27" s="757"/>
      <c r="J27" s="757"/>
      <c r="K27" s="757"/>
      <c r="L27" s="757"/>
      <c r="M27" s="757"/>
    </row>
    <row r="28" spans="1:15" s="336" customFormat="1">
      <c r="A28" s="757" t="s">
        <v>128</v>
      </c>
      <c r="B28" s="757"/>
      <c r="C28" s="757"/>
      <c r="D28" s="757" t="s">
        <v>47</v>
      </c>
      <c r="E28" s="757"/>
      <c r="F28" s="757"/>
      <c r="G28" s="343" t="s">
        <v>400</v>
      </c>
      <c r="H28" s="345" t="s">
        <v>4</v>
      </c>
      <c r="I28" s="345" t="s">
        <v>49</v>
      </c>
      <c r="J28" s="345" t="s">
        <v>45</v>
      </c>
      <c r="K28" s="345" t="s">
        <v>111</v>
      </c>
      <c r="L28" s="345" t="s">
        <v>122</v>
      </c>
      <c r="M28" s="345" t="s">
        <v>123</v>
      </c>
    </row>
    <row r="29" spans="1:15" s="336" customFormat="1">
      <c r="A29" s="294">
        <v>15</v>
      </c>
      <c r="B29" s="294" t="s">
        <v>48</v>
      </c>
      <c r="C29" s="295">
        <v>0</v>
      </c>
      <c r="D29" s="294">
        <v>15</v>
      </c>
      <c r="E29" s="294" t="s">
        <v>48</v>
      </c>
      <c r="F29" s="295">
        <v>0</v>
      </c>
      <c r="G29" s="509" t="str">
        <f>G23</f>
        <v>RODOVIA ANGELINO ACORDI</v>
      </c>
      <c r="H29" s="297">
        <v>1</v>
      </c>
      <c r="I29" s="295">
        <v>0.6</v>
      </c>
      <c r="J29" s="295">
        <v>0.6</v>
      </c>
      <c r="K29" s="509" t="s">
        <v>110</v>
      </c>
      <c r="L29" s="296" t="s">
        <v>554</v>
      </c>
      <c r="M29" s="377">
        <f t="shared" ref="M29:M30" si="2">H29</f>
        <v>1</v>
      </c>
    </row>
    <row r="30" spans="1:15" s="336" customFormat="1">
      <c r="A30" s="294">
        <v>15</v>
      </c>
      <c r="B30" s="294" t="s">
        <v>48</v>
      </c>
      <c r="C30" s="295">
        <v>0</v>
      </c>
      <c r="D30" s="294">
        <v>15</v>
      </c>
      <c r="E30" s="294" t="s">
        <v>48</v>
      </c>
      <c r="F30" s="295">
        <v>0</v>
      </c>
      <c r="G30" s="509" t="str">
        <f t="shared" ref="G30" si="3">G29</f>
        <v>RODOVIA ANGELINO ACORDI</v>
      </c>
      <c r="H30" s="297">
        <v>1</v>
      </c>
      <c r="I30" s="295">
        <v>0.6</v>
      </c>
      <c r="J30" s="295">
        <v>0.6</v>
      </c>
      <c r="K30" s="509" t="s">
        <v>109</v>
      </c>
      <c r="L30" s="296" t="s">
        <v>554</v>
      </c>
      <c r="M30" s="377">
        <f t="shared" si="2"/>
        <v>1</v>
      </c>
    </row>
    <row r="31" spans="1:15" s="336" customFormat="1">
      <c r="A31" s="749" t="s">
        <v>17</v>
      </c>
      <c r="B31" s="749"/>
      <c r="C31" s="749"/>
      <c r="D31" s="749"/>
      <c r="E31" s="749"/>
      <c r="F31" s="749"/>
      <c r="G31" s="749"/>
      <c r="H31" s="749"/>
      <c r="I31" s="749"/>
      <c r="J31" s="749"/>
      <c r="K31" s="749"/>
      <c r="L31" s="749"/>
      <c r="M31" s="377">
        <f>SUM(M29:M30)</f>
        <v>2</v>
      </c>
    </row>
    <row r="32" spans="1:15" s="336" customFormat="1">
      <c r="A32" s="379"/>
      <c r="B32" s="333"/>
      <c r="C32" s="333"/>
      <c r="D32" s="333"/>
      <c r="E32" s="333"/>
      <c r="F32" s="333"/>
      <c r="G32" s="333"/>
      <c r="H32" s="333"/>
      <c r="I32" s="333"/>
      <c r="J32" s="334"/>
      <c r="K32" s="334"/>
      <c r="L32" s="334"/>
      <c r="M32" s="380"/>
    </row>
    <row r="33" spans="1:13" s="336" customFormat="1">
      <c r="A33" s="757" t="s">
        <v>186</v>
      </c>
      <c r="B33" s="757"/>
      <c r="C33" s="757"/>
      <c r="D33" s="757"/>
      <c r="E33" s="757"/>
      <c r="F33" s="757"/>
      <c r="G33" s="757"/>
      <c r="H33" s="757"/>
      <c r="I33" s="757"/>
      <c r="J33" s="757"/>
      <c r="K33" s="757"/>
      <c r="L33" s="757"/>
      <c r="M33" s="757"/>
    </row>
    <row r="34" spans="1:13" s="336" customFormat="1">
      <c r="A34" s="757" t="s">
        <v>128</v>
      </c>
      <c r="B34" s="757"/>
      <c r="C34" s="757"/>
      <c r="D34" s="757" t="s">
        <v>47</v>
      </c>
      <c r="E34" s="757"/>
      <c r="F34" s="757"/>
      <c r="G34" s="343" t="s">
        <v>400</v>
      </c>
      <c r="H34" s="345" t="s">
        <v>4</v>
      </c>
      <c r="I34" s="345" t="s">
        <v>49</v>
      </c>
      <c r="J34" s="345" t="s">
        <v>45</v>
      </c>
      <c r="K34" s="345" t="s">
        <v>111</v>
      </c>
      <c r="L34" s="345" t="s">
        <v>122</v>
      </c>
      <c r="M34" s="345" t="s">
        <v>123</v>
      </c>
    </row>
    <row r="35" spans="1:13" s="336" customFormat="1">
      <c r="A35" s="294">
        <f t="shared" ref="A35:G35" si="4">A7</f>
        <v>0</v>
      </c>
      <c r="B35" s="294" t="str">
        <f t="shared" si="4"/>
        <v>+</v>
      </c>
      <c r="C35" s="295">
        <f t="shared" si="4"/>
        <v>0</v>
      </c>
      <c r="D35" s="294">
        <f t="shared" si="4"/>
        <v>20</v>
      </c>
      <c r="E35" s="294" t="str">
        <f t="shared" si="4"/>
        <v>+</v>
      </c>
      <c r="F35" s="295">
        <f t="shared" si="4"/>
        <v>0</v>
      </c>
      <c r="G35" s="342" t="str">
        <f t="shared" si="4"/>
        <v>RODOVIA ANGELINO ACORDI</v>
      </c>
      <c r="H35" s="294">
        <v>1</v>
      </c>
      <c r="I35" s="294">
        <v>2</v>
      </c>
      <c r="J35" s="294">
        <v>1</v>
      </c>
      <c r="K35" s="342" t="s">
        <v>110</v>
      </c>
      <c r="L35" s="296" t="s">
        <v>182</v>
      </c>
      <c r="M35" s="377">
        <v>1</v>
      </c>
    </row>
    <row r="36" spans="1:13" s="336" customFormat="1">
      <c r="A36" s="749" t="s">
        <v>17</v>
      </c>
      <c r="B36" s="749"/>
      <c r="C36" s="749"/>
      <c r="D36" s="749"/>
      <c r="E36" s="749"/>
      <c r="F36" s="749"/>
      <c r="G36" s="749"/>
      <c r="H36" s="749"/>
      <c r="I36" s="749"/>
      <c r="J36" s="749"/>
      <c r="K36" s="749"/>
      <c r="L36" s="749"/>
      <c r="M36" s="377">
        <f>SUM(M35:M35)</f>
        <v>1</v>
      </c>
    </row>
    <row r="37" spans="1:13" ht="14.25" customHeight="1"/>
    <row r="69" ht="3" customHeight="1"/>
    <row r="73" ht="3" customHeight="1"/>
  </sheetData>
  <mergeCells count="29">
    <mergeCell ref="A19:L19"/>
    <mergeCell ref="D17:F17"/>
    <mergeCell ref="A17:C17"/>
    <mergeCell ref="A27:M27"/>
    <mergeCell ref="A25:L25"/>
    <mergeCell ref="A21:M21"/>
    <mergeCell ref="A22:C22"/>
    <mergeCell ref="D22:F22"/>
    <mergeCell ref="A36:L36"/>
    <mergeCell ref="A28:C28"/>
    <mergeCell ref="D28:F28"/>
    <mergeCell ref="A31:L31"/>
    <mergeCell ref="A33:M33"/>
    <mergeCell ref="A34:C34"/>
    <mergeCell ref="D34:F34"/>
    <mergeCell ref="A1:C3"/>
    <mergeCell ref="D1:M1"/>
    <mergeCell ref="I2:K2"/>
    <mergeCell ref="D2:H2"/>
    <mergeCell ref="D3:L3"/>
    <mergeCell ref="A16:M16"/>
    <mergeCell ref="D12:F12"/>
    <mergeCell ref="A11:M11"/>
    <mergeCell ref="A12:C12"/>
    <mergeCell ref="A5:M5"/>
    <mergeCell ref="A6:C6"/>
    <mergeCell ref="D6:F6"/>
    <mergeCell ref="A9:L9"/>
    <mergeCell ref="A14:L14"/>
  </mergeCells>
  <printOptions horizontalCentered="1"/>
  <pageMargins left="0.78740157480314965" right="0.78740157480314965" top="0.78740157480314965" bottom="0.59055118110236227" header="0" footer="0.19685039370078741"/>
  <pageSetup paperSize="9" scale="85" orientation="landscape" r:id="rId1"/>
  <headerFooter alignWithMargins="0">
    <oddFooter>&amp;CEng° Darcio Pagani Vieira
Crea/SC - 077.222-9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showGridLines="0" zoomScale="85" zoomScaleNormal="85" workbookViewId="0">
      <selection activeCell="A10" sqref="A10:M10"/>
    </sheetView>
  </sheetViews>
  <sheetFormatPr defaultRowHeight="15"/>
  <cols>
    <col min="1" max="1" width="9.5703125" customWidth="1"/>
    <col min="2" max="2" width="10.7109375" customWidth="1"/>
    <col min="3" max="3" width="6.85546875" customWidth="1"/>
    <col min="4" max="4" width="64.28515625" customWidth="1"/>
    <col min="5" max="5" width="25.42578125" customWidth="1"/>
    <col min="6" max="6" width="12.28515625" customWidth="1"/>
    <col min="7" max="7" width="10.85546875" customWidth="1"/>
    <col min="8" max="8" width="12" customWidth="1"/>
    <col min="9" max="9" width="12.42578125" customWidth="1"/>
    <col min="10" max="10" width="19.140625" customWidth="1"/>
  </cols>
  <sheetData>
    <row r="1" spans="1:10" ht="14.25" customHeight="1">
      <c r="A1" s="28"/>
      <c r="B1" s="28"/>
      <c r="C1" s="28"/>
      <c r="D1" s="38" t="s">
        <v>51</v>
      </c>
      <c r="E1" s="6"/>
      <c r="F1" s="39" t="s">
        <v>52</v>
      </c>
      <c r="G1" s="6"/>
      <c r="H1" s="6"/>
      <c r="I1" s="6"/>
      <c r="J1" s="28"/>
    </row>
    <row r="2" spans="1:10">
      <c r="A2" s="28"/>
      <c r="B2" s="28"/>
      <c r="C2" s="28"/>
      <c r="D2" s="764" t="s">
        <v>15</v>
      </c>
      <c r="E2" s="765"/>
      <c r="F2" s="445"/>
      <c r="G2" s="446"/>
      <c r="H2" s="446"/>
      <c r="I2" s="447"/>
      <c r="J2" s="28"/>
    </row>
    <row r="3" spans="1:10" ht="14.25" customHeight="1">
      <c r="A3" s="28"/>
      <c r="B3" s="28"/>
      <c r="C3" s="28"/>
      <c r="D3" s="40" t="s">
        <v>53</v>
      </c>
      <c r="E3" s="6"/>
      <c r="F3" s="6"/>
      <c r="G3" s="6"/>
      <c r="H3" s="6"/>
      <c r="I3" s="6"/>
      <c r="J3" s="28"/>
    </row>
    <row r="4" spans="1:10">
      <c r="A4" s="28"/>
      <c r="B4" s="28"/>
      <c r="C4" s="28"/>
      <c r="D4" s="766" t="s">
        <v>210</v>
      </c>
      <c r="E4" s="767"/>
      <c r="F4" s="767"/>
      <c r="G4" s="767"/>
      <c r="H4" s="767"/>
      <c r="I4" s="768"/>
      <c r="J4" s="28"/>
    </row>
    <row r="5" spans="1:10" ht="14.25" customHeight="1">
      <c r="A5" s="28"/>
      <c r="B5" s="28"/>
      <c r="C5" s="28"/>
      <c r="D5" s="39" t="s">
        <v>54</v>
      </c>
      <c r="E5" s="39"/>
      <c r="F5" s="6"/>
      <c r="G5" s="6"/>
      <c r="H5" s="6"/>
      <c r="I5" s="6"/>
      <c r="J5" s="28"/>
    </row>
    <row r="6" spans="1:10">
      <c r="A6" s="28"/>
      <c r="B6" s="28"/>
      <c r="C6" s="28"/>
      <c r="D6" s="448" t="str">
        <f>PAVIM.!G3</f>
        <v>RODOVIA ANGELINO ACORDI</v>
      </c>
      <c r="E6" s="769" t="str">
        <f>PAVIM.!I2</f>
        <v>BAIRRO: ESPIGÃO DA TOCA</v>
      </c>
      <c r="F6" s="770"/>
      <c r="G6" s="771"/>
      <c r="H6" s="779" t="str">
        <f ca="1">PAVIM.!M3</f>
        <v>DATA: 08/10/26</v>
      </c>
      <c r="I6" s="780"/>
      <c r="J6" s="28"/>
    </row>
    <row r="7" spans="1:10" s="8" customFormat="1" ht="5.25" customHeight="1">
      <c r="A7" s="362"/>
      <c r="B7" s="362"/>
      <c r="C7" s="362"/>
      <c r="D7" s="449"/>
      <c r="E7" s="775"/>
      <c r="F7" s="775"/>
      <c r="G7" s="775"/>
      <c r="H7" s="781"/>
      <c r="I7" s="780"/>
      <c r="J7" s="362"/>
    </row>
    <row r="8" spans="1:10" s="249" customFormat="1" ht="14.25" customHeight="1">
      <c r="A8" s="28"/>
      <c r="B8" s="28"/>
      <c r="C8" s="28"/>
      <c r="D8" s="450" t="str">
        <f>PAVIM.!K2</f>
        <v>MUNICIPIO: MARACAJÁ</v>
      </c>
      <c r="E8" s="776" t="str">
        <f>PAVIM.!M2</f>
        <v>ESTADO: SANTA CATARINA</v>
      </c>
      <c r="F8" s="777"/>
      <c r="G8" s="778"/>
      <c r="H8" s="782"/>
      <c r="I8" s="783"/>
      <c r="J8" s="28"/>
    </row>
    <row r="9" spans="1:10" ht="5.25" customHeight="1">
      <c r="A9" s="28"/>
      <c r="B9" s="28"/>
      <c r="C9" s="28"/>
      <c r="D9" s="28"/>
      <c r="E9" s="28"/>
      <c r="F9" s="28"/>
      <c r="G9" s="28"/>
      <c r="H9" s="28"/>
      <c r="I9" s="28"/>
      <c r="J9" s="28"/>
    </row>
    <row r="10" spans="1:10">
      <c r="A10" s="772" t="s">
        <v>561</v>
      </c>
      <c r="B10" s="773"/>
      <c r="C10" s="773"/>
      <c r="D10" s="773"/>
      <c r="E10" s="773"/>
      <c r="F10" s="773"/>
      <c r="G10" s="773"/>
      <c r="H10" s="773"/>
      <c r="I10" s="773"/>
      <c r="J10" s="773"/>
    </row>
    <row r="11" spans="1:10" ht="5.25" customHeight="1">
      <c r="A11" s="28"/>
      <c r="B11" s="28"/>
      <c r="C11" s="28"/>
      <c r="D11" s="28"/>
      <c r="E11" s="28"/>
      <c r="F11" s="28"/>
      <c r="G11" s="28"/>
      <c r="H11" s="28"/>
      <c r="I11" s="28"/>
      <c r="J11" s="28"/>
    </row>
    <row r="12" spans="1:10">
      <c r="A12" s="28"/>
      <c r="B12" s="28"/>
      <c r="C12" s="28"/>
      <c r="D12" s="56" t="s">
        <v>55</v>
      </c>
      <c r="E12" s="28"/>
      <c r="F12" s="28"/>
      <c r="G12" s="28"/>
      <c r="H12" s="28"/>
      <c r="I12" s="28"/>
      <c r="J12" s="28"/>
    </row>
    <row r="13" spans="1:10">
      <c r="A13" s="28"/>
      <c r="B13" s="28"/>
      <c r="C13" s="28"/>
      <c r="D13" s="41" t="s">
        <v>112</v>
      </c>
      <c r="E13" s="28"/>
      <c r="F13" s="28"/>
      <c r="G13" s="28"/>
      <c r="H13" s="28"/>
      <c r="I13" s="28"/>
      <c r="J13" s="28"/>
    </row>
    <row r="14" spans="1:10" ht="9" customHeight="1">
      <c r="A14" s="28"/>
      <c r="B14" s="28"/>
      <c r="C14" s="28"/>
      <c r="D14" s="28"/>
      <c r="E14" s="28"/>
      <c r="F14" s="28"/>
      <c r="G14" s="28"/>
      <c r="H14" s="28"/>
      <c r="I14" s="28"/>
      <c r="J14" s="28"/>
    </row>
    <row r="15" spans="1:10">
      <c r="A15" s="28"/>
      <c r="B15" s="28"/>
      <c r="C15" s="774" t="s">
        <v>56</v>
      </c>
      <c r="D15" s="774"/>
      <c r="E15" s="774"/>
      <c r="F15" s="774"/>
      <c r="G15" s="774"/>
      <c r="H15" s="774"/>
      <c r="I15" s="774"/>
      <c r="J15" s="28"/>
    </row>
    <row r="16" spans="1:10" ht="35.25" customHeight="1">
      <c r="A16" s="28"/>
      <c r="B16" s="28"/>
      <c r="C16" s="43" t="s">
        <v>57</v>
      </c>
      <c r="D16" s="43" t="s">
        <v>58</v>
      </c>
      <c r="E16" s="43" t="s">
        <v>59</v>
      </c>
      <c r="F16" s="43" t="s">
        <v>60</v>
      </c>
      <c r="G16" s="382" t="s">
        <v>61</v>
      </c>
      <c r="H16" s="458" t="s">
        <v>62</v>
      </c>
      <c r="I16" s="458" t="s">
        <v>63</v>
      </c>
      <c r="J16" s="28"/>
    </row>
    <row r="17" spans="1:14">
      <c r="A17" s="28"/>
      <c r="B17" s="28"/>
      <c r="C17" s="207">
        <v>1</v>
      </c>
      <c r="D17" s="61" t="s">
        <v>64</v>
      </c>
      <c r="E17" s="207" t="s">
        <v>65</v>
      </c>
      <c r="F17" s="208">
        <v>3.7999999999999999E-2</v>
      </c>
      <c r="G17" s="209" t="s">
        <v>66</v>
      </c>
      <c r="H17" s="208">
        <v>3.7999999999999999E-2</v>
      </c>
      <c r="I17" s="208">
        <v>4.6699999999999998E-2</v>
      </c>
      <c r="J17" s="28"/>
    </row>
    <row r="18" spans="1:14">
      <c r="A18" s="28"/>
      <c r="B18" s="28"/>
      <c r="C18" s="43">
        <v>2</v>
      </c>
      <c r="D18" s="42" t="s">
        <v>67</v>
      </c>
      <c r="E18" s="43" t="s">
        <v>68</v>
      </c>
      <c r="F18" s="44">
        <v>3.2000000000000002E-3</v>
      </c>
      <c r="G18" s="43" t="s">
        <v>66</v>
      </c>
      <c r="H18" s="44">
        <v>3.2000000000000002E-3</v>
      </c>
      <c r="I18" s="44">
        <v>7.4000000000000003E-3</v>
      </c>
      <c r="J18" s="28"/>
    </row>
    <row r="19" spans="1:14">
      <c r="A19" s="28"/>
      <c r="B19" s="28"/>
      <c r="C19" s="43">
        <v>3</v>
      </c>
      <c r="D19" s="42" t="s">
        <v>69</v>
      </c>
      <c r="E19" s="43" t="s">
        <v>70</v>
      </c>
      <c r="F19" s="44">
        <v>5.0000000000000001E-3</v>
      </c>
      <c r="G19" s="43" t="s">
        <v>66</v>
      </c>
      <c r="H19" s="44">
        <v>5.0000000000000001E-3</v>
      </c>
      <c r="I19" s="44">
        <v>9.7000000000000003E-3</v>
      </c>
      <c r="J19" s="45"/>
    </row>
    <row r="20" spans="1:14">
      <c r="A20" s="28"/>
      <c r="B20" s="28"/>
      <c r="C20" s="43">
        <v>4</v>
      </c>
      <c r="D20" s="42" t="s">
        <v>71</v>
      </c>
      <c r="E20" s="43" t="s">
        <v>72</v>
      </c>
      <c r="F20" s="44">
        <v>1.0200000000000001E-2</v>
      </c>
      <c r="G20" s="43" t="s">
        <v>66</v>
      </c>
      <c r="H20" s="44">
        <v>1.0200000000000001E-2</v>
      </c>
      <c r="I20" s="44">
        <v>1.21E-2</v>
      </c>
      <c r="J20" s="45"/>
    </row>
    <row r="21" spans="1:14">
      <c r="A21" s="28"/>
      <c r="B21" s="28"/>
      <c r="C21" s="43">
        <v>5</v>
      </c>
      <c r="D21" s="42" t="s">
        <v>73</v>
      </c>
      <c r="E21" s="43" t="s">
        <v>74</v>
      </c>
      <c r="F21" s="44">
        <v>6.6400000000000001E-2</v>
      </c>
      <c r="G21" s="43" t="s">
        <v>66</v>
      </c>
      <c r="H21" s="44">
        <v>6.6400000000000001E-2</v>
      </c>
      <c r="I21" s="44">
        <v>8.6900000000000005E-2</v>
      </c>
      <c r="J21" s="45"/>
    </row>
    <row r="22" spans="1:14">
      <c r="A22" s="28"/>
      <c r="B22" s="28"/>
      <c r="C22" s="43">
        <v>6</v>
      </c>
      <c r="D22" s="42" t="s">
        <v>75</v>
      </c>
      <c r="E22" s="46" t="s">
        <v>76</v>
      </c>
      <c r="F22" s="44">
        <f>SUM(F23:F26)</f>
        <v>6.6500000000000004E-2</v>
      </c>
      <c r="G22" s="43" t="s">
        <v>66</v>
      </c>
      <c r="H22" s="44">
        <v>3.6499999999999998E-2</v>
      </c>
      <c r="I22" s="44">
        <v>8.6499999999999994E-2</v>
      </c>
      <c r="N22" s="759" t="s">
        <v>77</v>
      </c>
    </row>
    <row r="23" spans="1:14" ht="15" customHeight="1" thickBot="1">
      <c r="A23" s="28"/>
      <c r="B23" s="28"/>
      <c r="C23" s="43" t="s">
        <v>78</v>
      </c>
      <c r="D23" s="42" t="s">
        <v>79</v>
      </c>
      <c r="E23" s="43" t="s">
        <v>79</v>
      </c>
      <c r="F23" s="44">
        <v>6.4999999999999997E-3</v>
      </c>
      <c r="G23" s="43" t="s">
        <v>66</v>
      </c>
      <c r="H23" s="44">
        <v>6.4999999999999997E-3</v>
      </c>
      <c r="I23" s="44">
        <v>6.4999999999999997E-3</v>
      </c>
      <c r="N23" s="759"/>
    </row>
    <row r="24" spans="1:14">
      <c r="A24" s="760" t="s">
        <v>80</v>
      </c>
      <c r="B24" s="762" t="s">
        <v>81</v>
      </c>
      <c r="C24" s="43" t="s">
        <v>82</v>
      </c>
      <c r="D24" s="42" t="s">
        <v>83</v>
      </c>
      <c r="E24" s="43" t="s">
        <v>83</v>
      </c>
      <c r="F24" s="44">
        <v>0.03</v>
      </c>
      <c r="G24" s="43" t="s">
        <v>66</v>
      </c>
      <c r="H24" s="44">
        <v>0.03</v>
      </c>
      <c r="I24" s="44">
        <v>0.03</v>
      </c>
      <c r="N24" s="759"/>
    </row>
    <row r="25" spans="1:14" ht="15.75" thickBot="1">
      <c r="A25" s="761"/>
      <c r="B25" s="763"/>
      <c r="C25" s="43" t="s">
        <v>84</v>
      </c>
      <c r="D25" s="47" t="s">
        <v>85</v>
      </c>
      <c r="E25" s="48" t="s">
        <v>86</v>
      </c>
      <c r="F25" s="49">
        <v>0</v>
      </c>
      <c r="G25" s="43" t="s">
        <v>66</v>
      </c>
      <c r="H25" s="49">
        <v>4.4999999999999998E-2</v>
      </c>
      <c r="I25" s="49">
        <v>4.4999999999999998E-2</v>
      </c>
      <c r="N25" s="50" t="s">
        <v>87</v>
      </c>
    </row>
    <row r="26" spans="1:14" ht="15.75" thickBot="1">
      <c r="A26" s="51">
        <v>0.03</v>
      </c>
      <c r="B26" s="52">
        <v>1</v>
      </c>
      <c r="C26" s="206" t="s">
        <v>88</v>
      </c>
      <c r="D26" s="54" t="s">
        <v>89</v>
      </c>
      <c r="E26" s="53" t="s">
        <v>89</v>
      </c>
      <c r="F26" s="55">
        <v>0.03</v>
      </c>
      <c r="G26" s="43" t="s">
        <v>66</v>
      </c>
      <c r="H26" s="44">
        <v>0.02</v>
      </c>
      <c r="I26" s="44">
        <v>0.05</v>
      </c>
      <c r="J26" s="56"/>
    </row>
    <row r="27" spans="1:14">
      <c r="A27" s="45"/>
      <c r="B27" s="45"/>
      <c r="C27" s="45"/>
      <c r="D27" s="45"/>
      <c r="E27" s="784" t="s">
        <v>90</v>
      </c>
      <c r="F27" s="784"/>
      <c r="G27" s="784"/>
      <c r="H27" s="785" t="s">
        <v>91</v>
      </c>
      <c r="I27" s="786"/>
      <c r="J27" s="45"/>
    </row>
    <row r="28" spans="1:14" ht="12" customHeight="1">
      <c r="A28" s="45"/>
      <c r="B28" s="787" t="s">
        <v>92</v>
      </c>
      <c r="C28" s="788"/>
      <c r="D28" s="789"/>
      <c r="E28" s="45"/>
      <c r="F28" s="45"/>
      <c r="G28" s="45"/>
      <c r="H28" s="45"/>
      <c r="I28" s="45"/>
      <c r="J28" s="28"/>
    </row>
    <row r="29" spans="1:14">
      <c r="A29" s="45"/>
      <c r="B29" s="57"/>
      <c r="C29" s="58"/>
      <c r="D29" s="59"/>
      <c r="E29" s="45"/>
      <c r="F29" s="45"/>
      <c r="G29" s="45"/>
      <c r="H29" s="45"/>
      <c r="I29" s="45"/>
      <c r="J29" s="28"/>
    </row>
    <row r="30" spans="1:14">
      <c r="A30" s="45"/>
      <c r="B30" s="57"/>
      <c r="C30" s="790" t="s">
        <v>93</v>
      </c>
      <c r="D30" s="60" t="s">
        <v>94</v>
      </c>
      <c r="E30" s="794" t="s">
        <v>7</v>
      </c>
      <c r="F30" s="795">
        <f>TRUNC((((1+F17+F18+F19)*(1+F20)*(1+F21))/(1-F22))-1,4)</f>
        <v>0.20730000000000001</v>
      </c>
      <c r="G30" s="796" t="s">
        <v>95</v>
      </c>
      <c r="H30" s="797"/>
      <c r="I30" s="798"/>
      <c r="J30" s="28"/>
    </row>
    <row r="31" spans="1:14">
      <c r="A31" s="45"/>
      <c r="B31" s="57"/>
      <c r="C31" s="790"/>
      <c r="D31" s="58" t="s">
        <v>96</v>
      </c>
      <c r="E31" s="794"/>
      <c r="F31" s="795"/>
      <c r="G31" s="799"/>
      <c r="H31" s="799"/>
      <c r="I31" s="800"/>
      <c r="J31" s="28"/>
    </row>
    <row r="32" spans="1:14" ht="15" customHeight="1">
      <c r="A32" s="45"/>
      <c r="B32" s="61"/>
      <c r="C32" s="62"/>
      <c r="D32" s="63"/>
      <c r="E32" s="45"/>
      <c r="F32" s="45"/>
      <c r="G32" s="801"/>
      <c r="H32" s="802"/>
      <c r="I32" s="803"/>
      <c r="J32" s="28"/>
    </row>
    <row r="33" spans="1:10">
      <c r="A33" s="28"/>
      <c r="B33" s="28"/>
      <c r="C33" s="28"/>
      <c r="D33" s="28"/>
      <c r="E33" s="28"/>
      <c r="F33" s="28"/>
      <c r="G33" s="28"/>
      <c r="H33" s="28"/>
      <c r="I33" s="28"/>
      <c r="J33" s="28"/>
    </row>
    <row r="34" spans="1:10">
      <c r="A34" s="28"/>
      <c r="B34" s="451"/>
      <c r="C34" s="452"/>
      <c r="D34" s="452"/>
      <c r="E34" s="452"/>
      <c r="F34" s="452"/>
      <c r="G34" s="452"/>
      <c r="H34" s="452"/>
      <c r="I34" s="453"/>
      <c r="J34" s="28"/>
    </row>
    <row r="35" spans="1:10">
      <c r="A35" s="28"/>
      <c r="B35" s="454"/>
      <c r="C35" s="455"/>
      <c r="D35" s="455"/>
      <c r="E35" s="455"/>
      <c r="F35" s="455"/>
      <c r="G35" s="455"/>
      <c r="H35" s="455"/>
      <c r="I35" s="456"/>
      <c r="J35" s="28"/>
    </row>
    <row r="36" spans="1:10">
      <c r="A36" s="28"/>
      <c r="B36" s="28"/>
      <c r="C36" s="28"/>
      <c r="D36" s="28"/>
      <c r="E36" s="28"/>
      <c r="F36" s="28"/>
      <c r="G36" s="28"/>
      <c r="H36" s="28"/>
      <c r="I36" s="28"/>
      <c r="J36" s="28"/>
    </row>
    <row r="37" spans="1:10" ht="15" customHeight="1">
      <c r="A37" s="28"/>
      <c r="B37" s="791" t="s">
        <v>562</v>
      </c>
      <c r="C37" s="792"/>
      <c r="D37" s="792"/>
      <c r="E37" s="792"/>
      <c r="F37" s="792"/>
      <c r="G37" s="792"/>
      <c r="H37" s="792"/>
      <c r="I37" s="793"/>
      <c r="J37" s="28"/>
    </row>
    <row r="38" spans="1:10">
      <c r="A38" s="28"/>
      <c r="B38" s="810" t="s">
        <v>97</v>
      </c>
      <c r="C38" s="810"/>
      <c r="D38" s="810"/>
      <c r="E38" s="810"/>
      <c r="F38" s="810"/>
      <c r="G38" s="810"/>
      <c r="H38" s="810"/>
      <c r="I38" s="810"/>
      <c r="J38" s="28"/>
    </row>
    <row r="39" spans="1:10">
      <c r="A39" s="28"/>
      <c r="B39" s="811" t="s">
        <v>563</v>
      </c>
      <c r="C39" s="811"/>
      <c r="D39" s="811"/>
      <c r="E39" s="811"/>
      <c r="F39" s="811"/>
      <c r="G39" s="811"/>
      <c r="H39" s="811"/>
      <c r="I39" s="811"/>
      <c r="J39" s="28"/>
    </row>
    <row r="40" spans="1:10" ht="28.5" customHeight="1">
      <c r="A40" s="28"/>
      <c r="B40" s="812" t="s">
        <v>98</v>
      </c>
      <c r="C40" s="812"/>
      <c r="D40" s="812"/>
      <c r="E40" s="812"/>
      <c r="F40" s="812"/>
      <c r="G40" s="812"/>
      <c r="H40" s="812"/>
      <c r="I40" s="812"/>
      <c r="J40" s="28"/>
    </row>
    <row r="41" spans="1:10">
      <c r="A41" s="28"/>
      <c r="B41" s="45"/>
      <c r="C41" s="45"/>
      <c r="D41" s="45"/>
      <c r="E41" s="45"/>
      <c r="F41" s="813" t="s">
        <v>99</v>
      </c>
      <c r="G41" s="814"/>
      <c r="H41" s="814"/>
      <c r="I41" s="815"/>
      <c r="J41" s="28"/>
    </row>
    <row r="42" spans="1:10">
      <c r="A42" s="28"/>
      <c r="B42" s="816"/>
      <c r="C42" s="817"/>
      <c r="D42" s="45"/>
      <c r="E42" s="45"/>
      <c r="F42" s="818" t="s">
        <v>100</v>
      </c>
      <c r="G42" s="819"/>
      <c r="H42" s="819"/>
      <c r="I42" s="820"/>
      <c r="J42" s="28"/>
    </row>
    <row r="43" spans="1:10">
      <c r="A43" s="28"/>
      <c r="B43" s="821"/>
      <c r="C43" s="821"/>
      <c r="D43" s="45"/>
      <c r="E43" s="45"/>
      <c r="F43" s="818"/>
      <c r="G43" s="819"/>
      <c r="H43" s="819"/>
      <c r="I43" s="820"/>
      <c r="J43" s="28"/>
    </row>
    <row r="44" spans="1:10">
      <c r="A44" s="28"/>
      <c r="B44" s="45"/>
      <c r="C44" s="45"/>
      <c r="D44" s="45"/>
      <c r="E44" s="45"/>
      <c r="F44" s="818"/>
      <c r="G44" s="819"/>
      <c r="H44" s="819"/>
      <c r="I44" s="820"/>
      <c r="J44" s="28"/>
    </row>
    <row r="45" spans="1:10">
      <c r="A45" s="28"/>
      <c r="B45" s="45"/>
      <c r="C45" s="45"/>
      <c r="D45" s="64"/>
      <c r="E45" s="45"/>
      <c r="F45" s="65"/>
      <c r="G45" s="66"/>
      <c r="H45" s="66"/>
      <c r="I45" s="67"/>
      <c r="J45" s="28"/>
    </row>
    <row r="46" spans="1:10">
      <c r="A46" s="28"/>
      <c r="B46" s="45"/>
      <c r="C46" s="45"/>
      <c r="D46" s="457" t="s">
        <v>101</v>
      </c>
      <c r="E46" s="45"/>
      <c r="F46" s="68"/>
      <c r="G46" s="69"/>
      <c r="H46" s="69"/>
      <c r="I46" s="70"/>
      <c r="J46" s="28"/>
    </row>
    <row r="47" spans="1:10">
      <c r="A47" s="28"/>
      <c r="B47" s="45"/>
      <c r="C47" s="45"/>
      <c r="D47" s="45" t="s">
        <v>102</v>
      </c>
      <c r="E47" s="45"/>
      <c r="F47" s="822" t="s">
        <v>103</v>
      </c>
      <c r="G47" s="823"/>
      <c r="H47" s="823"/>
      <c r="I47" s="824"/>
      <c r="J47" s="28"/>
    </row>
    <row r="48" spans="1:10">
      <c r="A48" s="28"/>
      <c r="B48" s="45"/>
      <c r="C48" s="45"/>
      <c r="D48" s="45" t="s">
        <v>104</v>
      </c>
      <c r="E48" s="45"/>
      <c r="F48" s="804" t="s">
        <v>105</v>
      </c>
      <c r="G48" s="805"/>
      <c r="H48" s="805"/>
      <c r="I48" s="806"/>
      <c r="J48" s="28"/>
    </row>
    <row r="49" spans="1:10">
      <c r="A49" s="28"/>
      <c r="B49" s="45"/>
      <c r="C49" s="45"/>
      <c r="D49" s="45" t="s">
        <v>106</v>
      </c>
      <c r="E49" s="45"/>
      <c r="F49" s="71" t="s">
        <v>107</v>
      </c>
      <c r="G49" s="72"/>
      <c r="H49" s="72"/>
      <c r="I49" s="73"/>
      <c r="J49" s="28"/>
    </row>
    <row r="50" spans="1:10">
      <c r="A50" s="28"/>
      <c r="B50" s="45"/>
      <c r="C50" s="45"/>
      <c r="D50" s="45"/>
      <c r="E50" s="45"/>
      <c r="F50" s="807" t="s">
        <v>108</v>
      </c>
      <c r="G50" s="808"/>
      <c r="H50" s="808"/>
      <c r="I50" s="809"/>
      <c r="J50" s="28"/>
    </row>
    <row r="51" spans="1:10">
      <c r="A51" s="28"/>
      <c r="B51" s="45"/>
      <c r="C51" s="45"/>
      <c r="D51" s="45"/>
      <c r="E51" s="45"/>
      <c r="F51" s="45"/>
      <c r="G51" s="45"/>
      <c r="H51" s="45"/>
      <c r="I51" s="45"/>
      <c r="J51" s="28"/>
    </row>
  </sheetData>
  <mergeCells count="29">
    <mergeCell ref="F48:I48"/>
    <mergeCell ref="F50:I50"/>
    <mergeCell ref="B38:I38"/>
    <mergeCell ref="B39:I39"/>
    <mergeCell ref="B40:I40"/>
    <mergeCell ref="F41:I41"/>
    <mergeCell ref="B42:C42"/>
    <mergeCell ref="F42:I44"/>
    <mergeCell ref="B43:C43"/>
    <mergeCell ref="F47:I47"/>
    <mergeCell ref="E27:G27"/>
    <mergeCell ref="H27:I27"/>
    <mergeCell ref="B28:D28"/>
    <mergeCell ref="C30:C31"/>
    <mergeCell ref="B37:I37"/>
    <mergeCell ref="E30:E31"/>
    <mergeCell ref="F30:F31"/>
    <mergeCell ref="G30:I32"/>
    <mergeCell ref="N22:N24"/>
    <mergeCell ref="A24:A25"/>
    <mergeCell ref="B24:B25"/>
    <mergeCell ref="D2:E2"/>
    <mergeCell ref="D4:I4"/>
    <mergeCell ref="E6:G6"/>
    <mergeCell ref="A10:J10"/>
    <mergeCell ref="C15:I15"/>
    <mergeCell ref="E7:G7"/>
    <mergeCell ref="E8:G8"/>
    <mergeCell ref="H6:I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showGridLines="0" view="pageBreakPreview" zoomScale="85" zoomScaleNormal="85" zoomScaleSheetLayoutView="85" workbookViewId="0">
      <pane ySplit="3" topLeftCell="A4" activePane="bottomLeft" state="frozen"/>
      <selection activeCell="A10" sqref="A10:M10"/>
      <selection pane="bottomLeft" activeCell="A10" sqref="A10:M10"/>
    </sheetView>
  </sheetViews>
  <sheetFormatPr defaultColWidth="9.140625" defaultRowHeight="12.75"/>
  <cols>
    <col min="1" max="1" width="16" style="203" customWidth="1"/>
    <col min="2" max="2" width="94" style="203" customWidth="1"/>
    <col min="3" max="3" width="18.42578125" style="203" customWidth="1"/>
    <col min="4" max="4" width="14.28515625" style="203" bestFit="1" customWidth="1"/>
    <col min="5" max="5" width="18.42578125" style="203" customWidth="1"/>
    <col min="6" max="6" width="17" style="203" bestFit="1" customWidth="1"/>
    <col min="7" max="16384" width="9.140625" style="203"/>
  </cols>
  <sheetData>
    <row r="1" spans="1:9" s="361" customFormat="1" ht="33.75" customHeight="1">
      <c r="A1" s="829"/>
      <c r="B1" s="828" t="s">
        <v>315</v>
      </c>
      <c r="C1" s="828"/>
      <c r="D1" s="828"/>
      <c r="E1" s="828"/>
      <c r="F1" s="828"/>
    </row>
    <row r="2" spans="1:9" ht="15.75">
      <c r="A2" s="829"/>
      <c r="B2" s="423" t="str">
        <f>PAVIM.!G2</f>
        <v>PREFEITURA MUNICIPAL DE MARACAJÁ</v>
      </c>
      <c r="C2" s="643" t="str">
        <f>PAVIM.!I2</f>
        <v>BAIRRO: ESPIGÃO DA TOCA</v>
      </c>
      <c r="D2" s="643"/>
      <c r="E2" s="830" t="str">
        <f>PAVIM.!M2</f>
        <v>ESTADO: SANTA CATARINA</v>
      </c>
      <c r="F2" s="831" t="str">
        <f ca="1">PAVIM.!M3</f>
        <v>DATA: 08/10/26</v>
      </c>
    </row>
    <row r="3" spans="1:9" ht="15.75">
      <c r="A3" s="829"/>
      <c r="B3" s="423" t="str">
        <f>PAVIM.!G3</f>
        <v>RODOVIA ANGELINO ACORDI</v>
      </c>
      <c r="C3" s="830" t="str">
        <f>PAVIM.!K2</f>
        <v>MUNICIPIO: MARACAJÁ</v>
      </c>
      <c r="D3" s="830"/>
      <c r="E3" s="830"/>
      <c r="F3" s="832"/>
    </row>
    <row r="4" spans="1:9" s="205" customFormat="1" ht="15.75">
      <c r="A4" s="363"/>
      <c r="B4" s="364"/>
      <c r="C4" s="364"/>
      <c r="D4" s="364"/>
      <c r="E4" s="365"/>
      <c r="F4" s="366"/>
    </row>
    <row r="5" spans="1:9" ht="31.5">
      <c r="A5" s="530" t="s">
        <v>445</v>
      </c>
      <c r="B5" s="833" t="s">
        <v>591</v>
      </c>
      <c r="C5" s="834"/>
      <c r="D5" s="834"/>
      <c r="E5" s="834"/>
      <c r="F5" s="835"/>
      <c r="G5" s="204"/>
      <c r="H5" s="205"/>
      <c r="I5" s="205"/>
    </row>
    <row r="6" spans="1:9" ht="31.5" customHeight="1">
      <c r="A6" s="459" t="s">
        <v>275</v>
      </c>
      <c r="B6" s="459" t="s">
        <v>316</v>
      </c>
      <c r="C6" s="459" t="s">
        <v>317</v>
      </c>
      <c r="D6" s="459" t="s">
        <v>318</v>
      </c>
      <c r="E6" s="459" t="s">
        <v>319</v>
      </c>
      <c r="F6" s="459" t="s">
        <v>320</v>
      </c>
      <c r="H6" s="205"/>
      <c r="I6" s="205"/>
    </row>
    <row r="7" spans="1:9" ht="15.75">
      <c r="A7" s="367">
        <v>88316</v>
      </c>
      <c r="B7" s="367" t="s">
        <v>323</v>
      </c>
      <c r="C7" s="367" t="s">
        <v>324</v>
      </c>
      <c r="D7" s="368">
        <v>7.1036100000000005E-2</v>
      </c>
      <c r="E7" s="369">
        <v>26.73</v>
      </c>
      <c r="F7" s="369">
        <f t="shared" ref="F7:F15" si="0">D7*E7</f>
        <v>1.8987949530000001</v>
      </c>
      <c r="H7" s="205"/>
      <c r="I7" s="205"/>
    </row>
    <row r="8" spans="1:9" ht="47.25">
      <c r="A8" s="367">
        <v>5934</v>
      </c>
      <c r="B8" s="367" t="s">
        <v>444</v>
      </c>
      <c r="C8" s="367" t="s">
        <v>322</v>
      </c>
      <c r="D8" s="368">
        <v>6.3005099999999994E-2</v>
      </c>
      <c r="E8" s="369">
        <v>121.76</v>
      </c>
      <c r="F8" s="369">
        <f t="shared" si="0"/>
        <v>7.6715009759999999</v>
      </c>
      <c r="H8" s="205"/>
      <c r="I8" s="205"/>
    </row>
    <row r="9" spans="1:9" ht="47.25">
      <c r="A9" s="367">
        <v>5932</v>
      </c>
      <c r="B9" s="367" t="s">
        <v>443</v>
      </c>
      <c r="C9" s="367" t="s">
        <v>321</v>
      </c>
      <c r="D9" s="368">
        <v>8.0309999999999999E-3</v>
      </c>
      <c r="E9" s="369">
        <v>302.58999999999997</v>
      </c>
      <c r="F9" s="369">
        <f t="shared" si="0"/>
        <v>2.4301002899999999</v>
      </c>
      <c r="H9" s="205"/>
      <c r="I9" s="205"/>
    </row>
    <row r="10" spans="1:9" ht="47.25">
      <c r="A10" s="367">
        <v>5685</v>
      </c>
      <c r="B10" s="367" t="s">
        <v>442</v>
      </c>
      <c r="C10" s="367" t="s">
        <v>322</v>
      </c>
      <c r="D10" s="368">
        <v>6.4164799999999994E-2</v>
      </c>
      <c r="E10" s="369">
        <v>76.39</v>
      </c>
      <c r="F10" s="369">
        <f t="shared" si="0"/>
        <v>4.9015490719999999</v>
      </c>
      <c r="H10" s="205"/>
      <c r="I10" s="205"/>
    </row>
    <row r="11" spans="1:9" ht="47.25">
      <c r="A11" s="367">
        <v>5684</v>
      </c>
      <c r="B11" s="367" t="s">
        <v>441</v>
      </c>
      <c r="C11" s="367" t="s">
        <v>321</v>
      </c>
      <c r="D11" s="368">
        <v>6.8713000000000003E-3</v>
      </c>
      <c r="E11" s="369">
        <v>181.1</v>
      </c>
      <c r="F11" s="369">
        <f t="shared" si="0"/>
        <v>1.24439243</v>
      </c>
      <c r="H11" s="205"/>
      <c r="I11" s="205"/>
    </row>
    <row r="12" spans="1:9" ht="47.25">
      <c r="A12" s="367">
        <v>5632</v>
      </c>
      <c r="B12" s="367" t="s">
        <v>326</v>
      </c>
      <c r="C12" s="367" t="s">
        <v>322</v>
      </c>
      <c r="D12" s="368">
        <v>5.0262000000000001E-2</v>
      </c>
      <c r="E12" s="369">
        <v>102.49</v>
      </c>
      <c r="F12" s="369">
        <f t="shared" si="0"/>
        <v>5.1513523799999996</v>
      </c>
      <c r="H12" s="205"/>
      <c r="I12" s="205"/>
    </row>
    <row r="13" spans="1:9" ht="47.25">
      <c r="A13" s="367">
        <v>5631</v>
      </c>
      <c r="B13" s="367" t="s">
        <v>325</v>
      </c>
      <c r="C13" s="367" t="s">
        <v>321</v>
      </c>
      <c r="D13" s="368">
        <v>2.07741E-2</v>
      </c>
      <c r="E13" s="369">
        <v>241.74</v>
      </c>
      <c r="F13" s="369">
        <f t="shared" si="0"/>
        <v>5.0219309340000002</v>
      </c>
      <c r="H13" s="205"/>
      <c r="I13" s="205"/>
    </row>
    <row r="14" spans="1:9" ht="15.75">
      <c r="A14" s="562">
        <v>4741</v>
      </c>
      <c r="B14" s="562" t="s">
        <v>569</v>
      </c>
      <c r="C14" s="562" t="s">
        <v>567</v>
      </c>
      <c r="D14" s="563">
        <v>0.3</v>
      </c>
      <c r="E14" s="564">
        <f>COTAÇÃO!F109</f>
        <v>86</v>
      </c>
      <c r="F14" s="564">
        <f t="shared" si="0"/>
        <v>25.8</v>
      </c>
      <c r="H14" s="205"/>
      <c r="I14" s="205"/>
    </row>
    <row r="15" spans="1:9" ht="31.5">
      <c r="A15" s="562">
        <v>4730</v>
      </c>
      <c r="B15" s="562" t="s">
        <v>568</v>
      </c>
      <c r="C15" s="562" t="s">
        <v>567</v>
      </c>
      <c r="D15" s="562">
        <v>1.1000000000000001</v>
      </c>
      <c r="E15" s="565">
        <f>COTAÇÃO!F130</f>
        <v>57</v>
      </c>
      <c r="F15" s="564">
        <f t="shared" si="0"/>
        <v>62.7</v>
      </c>
      <c r="H15" s="205"/>
      <c r="I15" s="205"/>
    </row>
    <row r="16" spans="1:9" ht="15.75">
      <c r="A16" s="535"/>
      <c r="B16" s="370"/>
      <c r="C16" s="370"/>
      <c r="D16" s="370"/>
      <c r="E16" s="371"/>
      <c r="F16" s="369">
        <f>SUM(F7:F15)</f>
        <v>116.81962103500001</v>
      </c>
      <c r="H16" s="205"/>
      <c r="I16" s="205"/>
    </row>
    <row r="17" spans="1:9" ht="15.75">
      <c r="A17" s="372"/>
      <c r="B17" s="373"/>
      <c r="C17" s="373"/>
      <c r="D17" s="373"/>
      <c r="E17" s="373"/>
      <c r="F17" s="374"/>
      <c r="H17" s="205"/>
      <c r="I17" s="205"/>
    </row>
    <row r="18" spans="1:9" ht="31.5">
      <c r="A18" s="530" t="s">
        <v>446</v>
      </c>
      <c r="B18" s="825" t="s">
        <v>592</v>
      </c>
      <c r="C18" s="826"/>
      <c r="D18" s="826"/>
      <c r="E18" s="826"/>
      <c r="F18" s="827"/>
      <c r="H18" s="205"/>
      <c r="I18" s="205"/>
    </row>
    <row r="19" spans="1:9" ht="15.75">
      <c r="A19" s="459" t="s">
        <v>275</v>
      </c>
      <c r="B19" s="459" t="s">
        <v>316</v>
      </c>
      <c r="C19" s="459" t="s">
        <v>317</v>
      </c>
      <c r="D19" s="459" t="s">
        <v>318</v>
      </c>
      <c r="E19" s="459" t="s">
        <v>319</v>
      </c>
      <c r="F19" s="459" t="s">
        <v>320</v>
      </c>
      <c r="H19" s="205"/>
      <c r="I19" s="205"/>
    </row>
    <row r="20" spans="1:9" ht="47.25">
      <c r="A20" s="367">
        <v>96464</v>
      </c>
      <c r="B20" s="367" t="s">
        <v>589</v>
      </c>
      <c r="C20" s="367" t="s">
        <v>322</v>
      </c>
      <c r="D20" s="367">
        <v>2.7322200000000001E-2</v>
      </c>
      <c r="E20" s="375">
        <v>100.09</v>
      </c>
      <c r="F20" s="536">
        <f t="shared" ref="F20:F29" si="1">D20*E20</f>
        <v>2.7346789980000001</v>
      </c>
      <c r="H20" s="205"/>
      <c r="I20" s="205"/>
    </row>
    <row r="21" spans="1:9" ht="47.25">
      <c r="A21" s="367">
        <v>96463</v>
      </c>
      <c r="B21" s="367" t="s">
        <v>588</v>
      </c>
      <c r="C21" s="367" t="s">
        <v>321</v>
      </c>
      <c r="D21" s="367">
        <v>4.0058000000000003E-3</v>
      </c>
      <c r="E21" s="375">
        <v>236.3</v>
      </c>
      <c r="F21" s="536">
        <f t="shared" si="1"/>
        <v>0.94657054000000007</v>
      </c>
      <c r="H21" s="205"/>
      <c r="I21" s="205"/>
    </row>
    <row r="22" spans="1:9" ht="15.75">
      <c r="A22" s="367">
        <v>96393</v>
      </c>
      <c r="B22" s="367" t="s">
        <v>593</v>
      </c>
      <c r="C22" s="367" t="s">
        <v>567</v>
      </c>
      <c r="D22" s="367">
        <v>1</v>
      </c>
      <c r="E22" s="369">
        <f>COTAÇÃO!F65</f>
        <v>85</v>
      </c>
      <c r="F22" s="536">
        <f t="shared" si="1"/>
        <v>85</v>
      </c>
      <c r="H22" s="205"/>
      <c r="I22" s="205"/>
    </row>
    <row r="23" spans="1:9" ht="15.75">
      <c r="A23" s="367">
        <v>88316</v>
      </c>
      <c r="B23" s="367" t="s">
        <v>323</v>
      </c>
      <c r="C23" s="367" t="s">
        <v>324</v>
      </c>
      <c r="D23" s="367">
        <v>3.1328000000000002E-2</v>
      </c>
      <c r="E23" s="375">
        <v>26.73</v>
      </c>
      <c r="F23" s="536">
        <f t="shared" si="1"/>
        <v>0.83739744000000005</v>
      </c>
      <c r="H23" s="205"/>
      <c r="I23" s="205"/>
    </row>
    <row r="24" spans="1:9" ht="47.25">
      <c r="A24" s="367">
        <v>5934</v>
      </c>
      <c r="B24" s="367" t="s">
        <v>444</v>
      </c>
      <c r="C24" s="367" t="s">
        <v>322</v>
      </c>
      <c r="D24" s="367">
        <v>2.6166999999999999E-2</v>
      </c>
      <c r="E24" s="375">
        <v>121.76</v>
      </c>
      <c r="F24" s="536">
        <f t="shared" si="1"/>
        <v>3.1860939200000002</v>
      </c>
      <c r="H24" s="205"/>
      <c r="I24" s="205"/>
    </row>
    <row r="25" spans="1:9" ht="47.25">
      <c r="A25" s="367">
        <v>5932</v>
      </c>
      <c r="B25" s="367" t="s">
        <v>443</v>
      </c>
      <c r="C25" s="367" t="s">
        <v>321</v>
      </c>
      <c r="D25" s="367">
        <v>5.1609999999999998E-3</v>
      </c>
      <c r="E25" s="375">
        <v>302.58999999999997</v>
      </c>
      <c r="F25" s="536">
        <f t="shared" si="1"/>
        <v>1.5616669899999998</v>
      </c>
      <c r="H25" s="205"/>
      <c r="I25" s="205"/>
    </row>
    <row r="26" spans="1:9" ht="63">
      <c r="A26" s="367">
        <v>5903</v>
      </c>
      <c r="B26" s="367" t="s">
        <v>448</v>
      </c>
      <c r="C26" s="367" t="s">
        <v>322</v>
      </c>
      <c r="D26" s="367">
        <v>2.9038899999999999E-2</v>
      </c>
      <c r="E26" s="369">
        <v>86.47</v>
      </c>
      <c r="F26" s="536">
        <f t="shared" si="1"/>
        <v>2.5109936829999997</v>
      </c>
      <c r="H26" s="205"/>
      <c r="I26" s="205"/>
    </row>
    <row r="27" spans="1:9" ht="63">
      <c r="A27" s="367">
        <v>5901</v>
      </c>
      <c r="B27" s="367" t="s">
        <v>447</v>
      </c>
      <c r="C27" s="367" t="s">
        <v>321</v>
      </c>
      <c r="D27" s="367">
        <v>2.2891999999999999E-3</v>
      </c>
      <c r="E27" s="580">
        <v>372.56</v>
      </c>
      <c r="F27" s="566">
        <f t="shared" si="1"/>
        <v>0.85286435199999999</v>
      </c>
      <c r="H27" s="205"/>
      <c r="I27" s="205"/>
    </row>
    <row r="28" spans="1:9" ht="47.25">
      <c r="A28" s="367">
        <v>5685</v>
      </c>
      <c r="B28" s="367" t="s">
        <v>442</v>
      </c>
      <c r="C28" s="367" t="s">
        <v>322</v>
      </c>
      <c r="D28" s="367">
        <v>2.21663E-2</v>
      </c>
      <c r="E28" s="375">
        <v>76.39</v>
      </c>
      <c r="F28" s="536">
        <f t="shared" si="1"/>
        <v>1.6932836570000001</v>
      </c>
      <c r="H28" s="205"/>
      <c r="I28" s="205"/>
    </row>
    <row r="29" spans="1:9" ht="47.25">
      <c r="A29" s="367">
        <v>5684</v>
      </c>
      <c r="B29" s="367" t="s">
        <v>441</v>
      </c>
      <c r="C29" s="367" t="s">
        <v>321</v>
      </c>
      <c r="D29" s="367">
        <v>9.1617000000000001E-3</v>
      </c>
      <c r="E29" s="375">
        <v>181.1</v>
      </c>
      <c r="F29" s="536">
        <f t="shared" si="1"/>
        <v>1.6591838699999999</v>
      </c>
      <c r="H29" s="205"/>
      <c r="I29" s="205"/>
    </row>
    <row r="30" spans="1:9" ht="15.75">
      <c r="A30" s="376"/>
      <c r="B30" s="376"/>
      <c r="C30" s="376"/>
      <c r="D30" s="376"/>
      <c r="E30" s="376"/>
      <c r="F30" s="537">
        <f>SUM(F20:F29)</f>
        <v>100.98273345000001</v>
      </c>
      <c r="H30" s="205"/>
      <c r="I30" s="205"/>
    </row>
    <row r="31" spans="1:9">
      <c r="H31" s="205"/>
      <c r="I31" s="205"/>
    </row>
  </sheetData>
  <mergeCells count="8">
    <mergeCell ref="B18:F18"/>
    <mergeCell ref="B1:F1"/>
    <mergeCell ref="A1:A3"/>
    <mergeCell ref="C2:D2"/>
    <mergeCell ref="C3:D3"/>
    <mergeCell ref="F2:F3"/>
    <mergeCell ref="B5:F5"/>
    <mergeCell ref="E2:E3"/>
  </mergeCells>
  <printOptions horizontalCentered="1"/>
  <pageMargins left="0.51181102362204722" right="0.51181102362204722" top="0.78740157480314965" bottom="0.59055118110236227" header="0.31496062992125984" footer="0.31496062992125984"/>
  <pageSetup paperSize="9" scale="49" orientation="portrait" r:id="rId1"/>
  <headerFooter>
    <oddFooter>&amp;CEng° Darcio Pagani Vieira
Crea/SC - 077.222-9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2"/>
  <sheetViews>
    <sheetView showGridLines="0" view="pageBreakPreview" zoomScaleNormal="100" zoomScaleSheetLayoutView="100" workbookViewId="0">
      <selection activeCell="A10" sqref="A10:M10"/>
    </sheetView>
  </sheetViews>
  <sheetFormatPr defaultRowHeight="15"/>
  <cols>
    <col min="1" max="1" width="11.42578125" customWidth="1"/>
    <col min="2" max="2" width="72.28515625" bestFit="1" customWidth="1"/>
    <col min="3" max="4" width="11.42578125" style="1" bestFit="1" customWidth="1"/>
    <col min="5" max="5" width="11.85546875" style="1" bestFit="1" customWidth="1"/>
    <col min="6" max="6" width="10.5703125" style="1" bestFit="1" customWidth="1"/>
    <col min="7" max="7" width="12" style="1" bestFit="1" customWidth="1"/>
    <col min="8" max="8" width="15.140625" customWidth="1"/>
  </cols>
  <sheetData>
    <row r="1" spans="1:8" s="249" customFormat="1">
      <c r="A1" s="249" t="s">
        <v>151</v>
      </c>
      <c r="C1" s="288" t="s">
        <v>153</v>
      </c>
      <c r="D1" s="288"/>
      <c r="E1" s="288"/>
      <c r="F1" s="288"/>
      <c r="G1" s="288"/>
      <c r="H1" s="231" t="s">
        <v>595</v>
      </c>
    </row>
    <row r="2" spans="1:8" s="249" customFormat="1">
      <c r="A2" s="249" t="s">
        <v>152</v>
      </c>
      <c r="C2" s="93">
        <v>46113</v>
      </c>
      <c r="D2" s="288"/>
      <c r="E2" s="289" t="s">
        <v>154</v>
      </c>
      <c r="F2" s="176">
        <v>1</v>
      </c>
      <c r="G2" s="251" t="s">
        <v>14</v>
      </c>
    </row>
    <row r="3" spans="1:8" s="249" customFormat="1">
      <c r="A3" s="6">
        <v>2003579</v>
      </c>
      <c r="B3" s="6" t="s">
        <v>402</v>
      </c>
      <c r="C3" s="288"/>
      <c r="D3" s="288"/>
      <c r="E3" s="288"/>
      <c r="F3" s="288"/>
      <c r="G3" s="288"/>
      <c r="H3" s="289" t="s">
        <v>155</v>
      </c>
    </row>
    <row r="4" spans="1:8" s="249" customFormat="1">
      <c r="A4" s="846" t="s">
        <v>137</v>
      </c>
      <c r="B4" s="846"/>
      <c r="C4" s="852" t="s">
        <v>4</v>
      </c>
      <c r="D4" s="854" t="s">
        <v>144</v>
      </c>
      <c r="E4" s="854"/>
      <c r="F4" s="854" t="s">
        <v>145</v>
      </c>
      <c r="G4" s="854"/>
      <c r="H4" s="852" t="s">
        <v>147</v>
      </c>
    </row>
    <row r="5" spans="1:8" s="249" customFormat="1">
      <c r="A5" s="847"/>
      <c r="B5" s="847"/>
      <c r="C5" s="853"/>
      <c r="D5" s="13" t="s">
        <v>140</v>
      </c>
      <c r="E5" s="13" t="s">
        <v>141</v>
      </c>
      <c r="F5" s="13" t="s">
        <v>142</v>
      </c>
      <c r="G5" s="13" t="s">
        <v>143</v>
      </c>
      <c r="H5" s="853"/>
    </row>
    <row r="6" spans="1:8" s="249" customFormat="1">
      <c r="A6" s="249" t="s">
        <v>403</v>
      </c>
      <c r="B6" s="249" t="s">
        <v>404</v>
      </c>
      <c r="C6" s="94">
        <v>1.6060000000000001E-2</v>
      </c>
      <c r="D6" s="175">
        <v>1</v>
      </c>
      <c r="E6" s="175">
        <v>0</v>
      </c>
      <c r="F6" s="291">
        <v>10.3965</v>
      </c>
      <c r="G6" s="291">
        <v>2.5044</v>
      </c>
      <c r="H6" s="90">
        <f>C6*D6*F6+E6*G6</f>
        <v>0.16696779</v>
      </c>
    </row>
    <row r="7" spans="1:8" s="249" customFormat="1">
      <c r="C7" s="288"/>
      <c r="D7" s="288"/>
      <c r="E7" s="288"/>
      <c r="F7" s="288"/>
      <c r="G7" s="289" t="s">
        <v>160</v>
      </c>
      <c r="H7" s="92">
        <f>SUM(H6:H6)</f>
        <v>0.16696779</v>
      </c>
    </row>
    <row r="8" spans="1:8" s="249" customFormat="1">
      <c r="A8" s="26" t="s">
        <v>146</v>
      </c>
      <c r="B8" s="26"/>
      <c r="C8" s="284" t="s">
        <v>4</v>
      </c>
      <c r="D8" s="284" t="s">
        <v>3</v>
      </c>
      <c r="E8" s="839" t="s">
        <v>145</v>
      </c>
      <c r="F8" s="839"/>
      <c r="G8" s="840" t="s">
        <v>147</v>
      </c>
      <c r="H8" s="840"/>
    </row>
    <row r="9" spans="1:8" s="249" customFormat="1">
      <c r="A9" s="249" t="s">
        <v>220</v>
      </c>
      <c r="B9" s="249" t="s">
        <v>221</v>
      </c>
      <c r="C9" s="94">
        <v>0.08</v>
      </c>
      <c r="D9" s="288" t="s">
        <v>150</v>
      </c>
      <c r="E9" s="855">
        <v>32.841000000000001</v>
      </c>
      <c r="F9" s="855"/>
      <c r="G9" s="838">
        <f>C9*E9</f>
        <v>2.6272800000000003</v>
      </c>
      <c r="H9" s="838"/>
    </row>
    <row r="10" spans="1:8" s="249" customFormat="1">
      <c r="A10" s="249" t="s">
        <v>148</v>
      </c>
      <c r="B10" s="249" t="s">
        <v>149</v>
      </c>
      <c r="C10" s="94">
        <v>1.1760600000000001</v>
      </c>
      <c r="D10" s="288" t="s">
        <v>150</v>
      </c>
      <c r="E10" s="855">
        <v>24.927499999999998</v>
      </c>
      <c r="F10" s="855"/>
      <c r="G10" s="856">
        <f>C10*E10</f>
        <v>29.316235649999999</v>
      </c>
      <c r="H10" s="856"/>
    </row>
    <row r="11" spans="1:8" s="249" customFormat="1">
      <c r="C11" s="288"/>
      <c r="D11" s="288"/>
      <c r="E11" s="288"/>
      <c r="F11" s="289" t="s">
        <v>158</v>
      </c>
      <c r="G11" s="856">
        <f>SUM(G9:H10)</f>
        <v>31.943515649999998</v>
      </c>
      <c r="H11" s="856"/>
    </row>
    <row r="12" spans="1:8" s="249" customFormat="1">
      <c r="A12" s="11"/>
      <c r="B12" s="11"/>
      <c r="C12" s="13"/>
      <c r="D12" s="13"/>
      <c r="E12" s="13"/>
      <c r="F12" s="286" t="s">
        <v>159</v>
      </c>
      <c r="G12" s="842">
        <f>G11+H7</f>
        <v>32.110483439999996</v>
      </c>
      <c r="H12" s="843"/>
    </row>
    <row r="13" spans="1:8" s="249" customFormat="1">
      <c r="C13" s="288"/>
      <c r="D13" s="288"/>
      <c r="E13" s="288"/>
      <c r="F13" s="289" t="s">
        <v>169</v>
      </c>
      <c r="G13" s="293"/>
      <c r="H13" s="292">
        <f>G12/F2</f>
        <v>32.110483439999996</v>
      </c>
    </row>
    <row r="14" spans="1:8" s="249" customFormat="1">
      <c r="C14" s="288"/>
      <c r="D14" s="288"/>
      <c r="E14" s="288"/>
      <c r="F14" s="289" t="s">
        <v>173</v>
      </c>
      <c r="G14" s="293"/>
      <c r="H14" s="292"/>
    </row>
    <row r="15" spans="1:8" s="249" customFormat="1">
      <c r="A15" s="26" t="s">
        <v>156</v>
      </c>
      <c r="B15" s="26"/>
      <c r="C15" s="284" t="s">
        <v>4</v>
      </c>
      <c r="D15" s="284" t="s">
        <v>3</v>
      </c>
      <c r="E15" s="839" t="s">
        <v>250</v>
      </c>
      <c r="F15" s="839"/>
      <c r="G15" s="840" t="s">
        <v>147</v>
      </c>
      <c r="H15" s="840"/>
    </row>
    <row r="16" spans="1:8" s="222" customFormat="1">
      <c r="A16" s="582" t="s">
        <v>340</v>
      </c>
      <c r="B16" s="582" t="s">
        <v>343</v>
      </c>
      <c r="C16" s="583">
        <v>0.29607</v>
      </c>
      <c r="D16" s="584" t="s">
        <v>13</v>
      </c>
      <c r="E16" s="857">
        <f>COTAÇÃO!F109</f>
        <v>86</v>
      </c>
      <c r="F16" s="857"/>
      <c r="G16" s="858">
        <f>C16*E16</f>
        <v>25.462019999999999</v>
      </c>
      <c r="H16" s="858"/>
    </row>
    <row r="17" spans="1:8" s="222" customFormat="1">
      <c r="A17" s="582" t="s">
        <v>405</v>
      </c>
      <c r="B17" s="582" t="s">
        <v>408</v>
      </c>
      <c r="C17" s="583">
        <v>0.29608000000000001</v>
      </c>
      <c r="D17" s="584" t="s">
        <v>13</v>
      </c>
      <c r="E17" s="857">
        <v>90</v>
      </c>
      <c r="F17" s="857"/>
      <c r="G17" s="858">
        <f>C17*E17</f>
        <v>26.647200000000002</v>
      </c>
      <c r="H17" s="858"/>
    </row>
    <row r="18" spans="1:8" s="222" customFormat="1">
      <c r="A18" s="582" t="s">
        <v>406</v>
      </c>
      <c r="B18" s="582" t="s">
        <v>410</v>
      </c>
      <c r="C18" s="583">
        <v>4.0999999999999996</v>
      </c>
      <c r="D18" s="584" t="s">
        <v>16</v>
      </c>
      <c r="E18" s="857">
        <v>6.8315000000000001</v>
      </c>
      <c r="F18" s="857"/>
      <c r="G18" s="858">
        <f t="shared" ref="G18:G19" si="0">C18*E18</f>
        <v>28.009149999999998</v>
      </c>
      <c r="H18" s="858"/>
    </row>
    <row r="19" spans="1:8" s="222" customFormat="1">
      <c r="A19" s="582" t="s">
        <v>407</v>
      </c>
      <c r="B19" s="582" t="s">
        <v>409</v>
      </c>
      <c r="C19" s="583">
        <v>1</v>
      </c>
      <c r="D19" s="584" t="s">
        <v>14</v>
      </c>
      <c r="E19" s="857">
        <v>45.061599999999999</v>
      </c>
      <c r="F19" s="857"/>
      <c r="G19" s="858">
        <f t="shared" si="0"/>
        <v>45.061599999999999</v>
      </c>
      <c r="H19" s="858"/>
    </row>
    <row r="20" spans="1:8" s="249" customFormat="1">
      <c r="A20" s="11"/>
      <c r="B20" s="11"/>
      <c r="C20" s="13"/>
      <c r="D20" s="13"/>
      <c r="E20" s="13"/>
      <c r="F20" s="286" t="s">
        <v>157</v>
      </c>
      <c r="G20" s="841">
        <f>SUM(G16:H19)</f>
        <v>125.17997</v>
      </c>
      <c r="H20" s="841"/>
    </row>
    <row r="21" spans="1:8" s="249" customFormat="1">
      <c r="C21" s="288"/>
      <c r="D21" s="288"/>
      <c r="E21" s="288"/>
      <c r="F21" s="288"/>
      <c r="G21" s="288" t="s">
        <v>168</v>
      </c>
      <c r="H21" s="92">
        <f>SUM(G20)</f>
        <v>125.17997</v>
      </c>
    </row>
    <row r="22" spans="1:8" s="249" customFormat="1">
      <c r="A22" s="26" t="s">
        <v>161</v>
      </c>
      <c r="B22" s="26"/>
      <c r="C22" s="284" t="s">
        <v>4</v>
      </c>
      <c r="D22" s="284" t="s">
        <v>3</v>
      </c>
      <c r="E22" s="839" t="s">
        <v>145</v>
      </c>
      <c r="F22" s="839"/>
      <c r="G22" s="840" t="s">
        <v>147</v>
      </c>
      <c r="H22" s="840"/>
    </row>
    <row r="23" spans="1:8" s="249" customFormat="1">
      <c r="A23" s="298">
        <v>4805757</v>
      </c>
      <c r="B23" s="11" t="s">
        <v>411</v>
      </c>
      <c r="C23" s="13">
        <v>0.6</v>
      </c>
      <c r="D23" s="13" t="s">
        <v>13</v>
      </c>
      <c r="E23" s="839">
        <v>4.76</v>
      </c>
      <c r="F23" s="839"/>
      <c r="G23" s="286"/>
      <c r="H23" s="285">
        <f>C23*E23</f>
        <v>2.8559999999999999</v>
      </c>
    </row>
    <row r="24" spans="1:8" s="249" customFormat="1">
      <c r="A24" s="11"/>
      <c r="B24" s="11"/>
      <c r="C24" s="13"/>
      <c r="D24" s="13"/>
      <c r="E24" s="13"/>
      <c r="F24" s="286" t="s">
        <v>257</v>
      </c>
      <c r="G24" s="841"/>
      <c r="H24" s="841"/>
    </row>
    <row r="25" spans="1:8" s="249" customFormat="1">
      <c r="A25" s="11"/>
      <c r="B25" s="11"/>
      <c r="C25" s="13"/>
      <c r="D25" s="13"/>
      <c r="E25" s="13"/>
      <c r="F25" s="286" t="s">
        <v>258</v>
      </c>
      <c r="G25" s="842">
        <f>G24+H14+H13+H21+H23</f>
        <v>160.14645343999999</v>
      </c>
      <c r="H25" s="843"/>
    </row>
    <row r="26" spans="1:8" s="249" customFormat="1">
      <c r="C26" s="288"/>
      <c r="D26" s="288"/>
      <c r="E26" s="288"/>
      <c r="F26" s="289"/>
      <c r="G26" s="293"/>
      <c r="H26" s="292"/>
    </row>
    <row r="27" spans="1:8" s="249" customFormat="1">
      <c r="A27" s="26" t="s">
        <v>163</v>
      </c>
      <c r="B27" s="26"/>
      <c r="C27" s="284" t="s">
        <v>164</v>
      </c>
      <c r="D27" s="284" t="s">
        <v>4</v>
      </c>
      <c r="E27" s="284" t="s">
        <v>3</v>
      </c>
      <c r="F27" s="839" t="s">
        <v>165</v>
      </c>
      <c r="G27" s="839"/>
      <c r="H27" s="287" t="s">
        <v>165</v>
      </c>
    </row>
    <row r="28" spans="1:8" s="249" customFormat="1">
      <c r="A28" s="97" t="s">
        <v>340</v>
      </c>
      <c r="B28" s="100" t="s">
        <v>346</v>
      </c>
      <c r="C28" s="290">
        <v>5914647</v>
      </c>
      <c r="D28" s="178">
        <v>0.44411</v>
      </c>
      <c r="E28" s="290" t="s">
        <v>136</v>
      </c>
      <c r="F28" s="837">
        <v>0</v>
      </c>
      <c r="G28" s="837"/>
      <c r="H28" s="101">
        <f>D28*F28</f>
        <v>0</v>
      </c>
    </row>
    <row r="29" spans="1:8" s="249" customFormat="1">
      <c r="A29" s="97" t="s">
        <v>405</v>
      </c>
      <c r="B29" s="100" t="s">
        <v>412</v>
      </c>
      <c r="C29" s="290">
        <v>5914647</v>
      </c>
      <c r="D29" s="178">
        <v>0.44412000000000001</v>
      </c>
      <c r="E29" s="290" t="s">
        <v>136</v>
      </c>
      <c r="F29" s="837">
        <v>0</v>
      </c>
      <c r="G29" s="837"/>
      <c r="H29" s="101">
        <f>D29*F29</f>
        <v>0</v>
      </c>
    </row>
    <row r="30" spans="1:8" s="249" customFormat="1" ht="30">
      <c r="A30" s="97" t="s">
        <v>406</v>
      </c>
      <c r="B30" s="100" t="s">
        <v>413</v>
      </c>
      <c r="C30" s="290">
        <v>5914655</v>
      </c>
      <c r="D30" s="178">
        <v>1.0300000000000001E-3</v>
      </c>
      <c r="E30" s="290" t="s">
        <v>136</v>
      </c>
      <c r="F30" s="837">
        <v>0</v>
      </c>
      <c r="G30" s="837"/>
      <c r="H30" s="101">
        <f>D30*F30</f>
        <v>0</v>
      </c>
    </row>
    <row r="31" spans="1:8" s="249" customFormat="1" ht="30">
      <c r="A31" s="97" t="s">
        <v>407</v>
      </c>
      <c r="B31" s="100" t="s">
        <v>414</v>
      </c>
      <c r="C31" s="290">
        <v>5914655</v>
      </c>
      <c r="D31" s="178">
        <v>2.521E-2</v>
      </c>
      <c r="E31" s="290" t="s">
        <v>136</v>
      </c>
      <c r="F31" s="837">
        <v>0</v>
      </c>
      <c r="G31" s="837"/>
      <c r="H31" s="101">
        <f>D31*F31</f>
        <v>0</v>
      </c>
    </row>
    <row r="32" spans="1:8" s="249" customFormat="1">
      <c r="C32" s="288"/>
      <c r="D32" s="288"/>
      <c r="E32" s="288"/>
      <c r="F32" s="288"/>
      <c r="G32" s="289" t="s">
        <v>166</v>
      </c>
      <c r="H32" s="90">
        <f>SUM(H28:H31)</f>
        <v>0</v>
      </c>
    </row>
    <row r="33" spans="1:8" s="249" customFormat="1">
      <c r="A33" s="846" t="s">
        <v>242</v>
      </c>
      <c r="B33" s="846"/>
      <c r="C33" s="848" t="s">
        <v>4</v>
      </c>
      <c r="D33" s="848" t="s">
        <v>3</v>
      </c>
      <c r="E33" s="839" t="s">
        <v>243</v>
      </c>
      <c r="F33" s="839"/>
      <c r="G33" s="839"/>
      <c r="H33" s="850" t="s">
        <v>165</v>
      </c>
    </row>
    <row r="34" spans="1:8" s="249" customFormat="1">
      <c r="A34" s="847"/>
      <c r="B34" s="847"/>
      <c r="C34" s="849"/>
      <c r="D34" s="849"/>
      <c r="E34" s="13" t="s">
        <v>244</v>
      </c>
      <c r="F34" s="13" t="s">
        <v>245</v>
      </c>
      <c r="G34" s="13" t="s">
        <v>246</v>
      </c>
      <c r="H34" s="851"/>
    </row>
    <row r="35" spans="1:8" s="249" customFormat="1">
      <c r="A35" s="8"/>
      <c r="B35" s="8"/>
      <c r="C35" s="94"/>
      <c r="D35" s="288"/>
      <c r="E35" s="836"/>
      <c r="F35" s="836"/>
      <c r="G35" s="175"/>
      <c r="H35" s="180"/>
    </row>
    <row r="36" spans="1:8" s="249" customFormat="1">
      <c r="A36" s="11"/>
      <c r="B36" s="11"/>
      <c r="C36" s="13"/>
      <c r="D36" s="13"/>
      <c r="E36" s="13"/>
      <c r="F36" s="13"/>
      <c r="G36" s="286" t="s">
        <v>248</v>
      </c>
      <c r="H36" s="181">
        <f>SUM(H35:H35)</f>
        <v>0</v>
      </c>
    </row>
    <row r="37" spans="1:8" s="249" customFormat="1">
      <c r="A37" s="11"/>
      <c r="B37" s="11"/>
      <c r="C37" s="13"/>
      <c r="D37" s="13"/>
      <c r="E37" s="13"/>
      <c r="F37" s="13"/>
      <c r="G37" s="286" t="s">
        <v>167</v>
      </c>
      <c r="H37" s="185">
        <f>TRUNC(H32+G25+H36,2)</f>
        <v>160.13999999999999</v>
      </c>
    </row>
    <row r="38" spans="1:8" s="249" customFormat="1">
      <c r="A38" s="8"/>
      <c r="B38" s="8"/>
      <c r="C38" s="9"/>
      <c r="D38" s="9"/>
      <c r="E38" s="9"/>
      <c r="F38" s="9"/>
      <c r="G38" s="32"/>
      <c r="H38" s="223"/>
    </row>
    <row r="39" spans="1:8" s="249" customFormat="1">
      <c r="A39" s="8"/>
      <c r="B39" s="8"/>
      <c r="C39" s="9"/>
      <c r="D39" s="9"/>
      <c r="E39" s="9"/>
      <c r="F39" s="9"/>
      <c r="G39" s="32"/>
      <c r="H39" s="223"/>
    </row>
    <row r="40" spans="1:8" s="249" customFormat="1">
      <c r="A40" s="8"/>
      <c r="B40" s="8"/>
      <c r="C40" s="9"/>
      <c r="D40" s="9"/>
      <c r="E40" s="9"/>
      <c r="F40" s="9"/>
      <c r="G40" s="32"/>
      <c r="H40" s="223"/>
    </row>
    <row r="41" spans="1:8" hidden="1">
      <c r="A41" t="s">
        <v>151</v>
      </c>
      <c r="C41" s="211" t="s">
        <v>153</v>
      </c>
      <c r="D41" s="211"/>
      <c r="E41" s="211"/>
      <c r="F41" s="211"/>
      <c r="G41" s="211"/>
      <c r="H41" s="231" t="s">
        <v>328</v>
      </c>
    </row>
    <row r="42" spans="1:8" hidden="1">
      <c r="A42" t="s">
        <v>152</v>
      </c>
      <c r="C42" s="93">
        <v>44287</v>
      </c>
      <c r="D42" s="211"/>
      <c r="E42" s="215" t="s">
        <v>154</v>
      </c>
      <c r="F42" s="176">
        <v>84.62</v>
      </c>
      <c r="G42" s="17" t="s">
        <v>13</v>
      </c>
    </row>
    <row r="43" spans="1:8" hidden="1">
      <c r="A43" s="6">
        <v>4011282</v>
      </c>
      <c r="B43" s="6" t="s">
        <v>329</v>
      </c>
      <c r="C43" s="211"/>
      <c r="D43" s="211"/>
      <c r="E43" s="211"/>
      <c r="F43" s="211"/>
      <c r="G43" s="211"/>
      <c r="H43" s="215" t="s">
        <v>155</v>
      </c>
    </row>
    <row r="44" spans="1:8" hidden="1">
      <c r="A44" s="846" t="s">
        <v>137</v>
      </c>
      <c r="B44" s="846"/>
      <c r="C44" s="852" t="s">
        <v>4</v>
      </c>
      <c r="D44" s="854" t="s">
        <v>144</v>
      </c>
      <c r="E44" s="854"/>
      <c r="F44" s="854" t="s">
        <v>145</v>
      </c>
      <c r="G44" s="854"/>
      <c r="H44" s="852" t="s">
        <v>147</v>
      </c>
    </row>
    <row r="45" spans="1:8" hidden="1">
      <c r="A45" s="847"/>
      <c r="B45" s="847"/>
      <c r="C45" s="853"/>
      <c r="D45" s="13" t="s">
        <v>140</v>
      </c>
      <c r="E45" s="13" t="s">
        <v>141</v>
      </c>
      <c r="F45" s="13" t="s">
        <v>142</v>
      </c>
      <c r="G45" s="13" t="s">
        <v>143</v>
      </c>
      <c r="H45" s="853"/>
    </row>
    <row r="46" spans="1:8" hidden="1">
      <c r="A46" t="s">
        <v>255</v>
      </c>
      <c r="B46" t="s">
        <v>256</v>
      </c>
      <c r="C46" s="94">
        <v>1</v>
      </c>
      <c r="D46" s="175">
        <v>0.76</v>
      </c>
      <c r="E46" s="175">
        <v>0.24</v>
      </c>
      <c r="F46" s="210">
        <v>226.63300000000001</v>
      </c>
      <c r="G46" s="210">
        <v>60.494799999999998</v>
      </c>
      <c r="H46" s="90">
        <f>C46*D46*F46+E46*G46</f>
        <v>186.75983200000002</v>
      </c>
    </row>
    <row r="47" spans="1:8" hidden="1">
      <c r="A47" t="s">
        <v>170</v>
      </c>
      <c r="B47" t="s">
        <v>188</v>
      </c>
      <c r="C47" s="94">
        <v>1</v>
      </c>
      <c r="D47" s="175">
        <v>0.88</v>
      </c>
      <c r="E47" s="175">
        <v>0.12</v>
      </c>
      <c r="F47" s="291">
        <v>151.4177</v>
      </c>
      <c r="G47" s="291">
        <v>72.008300000000006</v>
      </c>
      <c r="H47" s="90">
        <f>C47*D47*F47+E47*G47</f>
        <v>141.88857200000001</v>
      </c>
    </row>
    <row r="48" spans="1:8" hidden="1">
      <c r="A48" t="s">
        <v>171</v>
      </c>
      <c r="B48" t="s">
        <v>251</v>
      </c>
      <c r="C48" s="94">
        <v>1</v>
      </c>
      <c r="D48" s="175">
        <v>0.71</v>
      </c>
      <c r="E48" s="175">
        <v>0.28999999999999998</v>
      </c>
      <c r="F48" s="291">
        <v>146.9331</v>
      </c>
      <c r="G48" s="291">
        <v>60.789700000000003</v>
      </c>
      <c r="H48" s="90">
        <f>C48*D48*F48+E48*G48</f>
        <v>121.95151399999999</v>
      </c>
    </row>
    <row r="49" spans="1:8" hidden="1">
      <c r="C49" s="211"/>
      <c r="D49" s="211"/>
      <c r="E49" s="211"/>
      <c r="F49" s="211"/>
      <c r="G49" s="215" t="s">
        <v>160</v>
      </c>
      <c r="H49" s="92">
        <f>SUM(H46:H48)</f>
        <v>450.599918</v>
      </c>
    </row>
    <row r="50" spans="1:8" hidden="1">
      <c r="A50" s="26" t="s">
        <v>146</v>
      </c>
      <c r="B50" s="26"/>
      <c r="C50" s="213" t="s">
        <v>4</v>
      </c>
      <c r="D50" s="213" t="s">
        <v>3</v>
      </c>
      <c r="E50" s="839" t="s">
        <v>145</v>
      </c>
      <c r="F50" s="839"/>
      <c r="G50" s="840" t="s">
        <v>147</v>
      </c>
      <c r="H50" s="840"/>
    </row>
    <row r="51" spans="1:8" hidden="1">
      <c r="A51" t="s">
        <v>148</v>
      </c>
      <c r="B51" t="s">
        <v>149</v>
      </c>
      <c r="C51" s="94">
        <v>1</v>
      </c>
      <c r="D51" s="211" t="s">
        <v>150</v>
      </c>
      <c r="E51" s="855">
        <v>21.135400000000001</v>
      </c>
      <c r="F51" s="855"/>
      <c r="G51" s="838">
        <f>C51*E51</f>
        <v>21.135400000000001</v>
      </c>
      <c r="H51" s="838"/>
    </row>
    <row r="52" spans="1:8" hidden="1">
      <c r="C52" s="211"/>
      <c r="D52" s="211"/>
      <c r="E52" s="211"/>
      <c r="F52" s="215" t="s">
        <v>158</v>
      </c>
      <c r="G52" s="838">
        <f>SUM(G51)</f>
        <v>21.135400000000001</v>
      </c>
      <c r="H52" s="838"/>
    </row>
    <row r="53" spans="1:8" hidden="1">
      <c r="A53" s="11"/>
      <c r="B53" s="11"/>
      <c r="C53" s="13"/>
      <c r="D53" s="13"/>
      <c r="E53" s="13"/>
      <c r="F53" s="216" t="s">
        <v>159</v>
      </c>
      <c r="G53" s="842">
        <f>G52+H49</f>
        <v>471.73531800000001</v>
      </c>
      <c r="H53" s="843"/>
    </row>
    <row r="54" spans="1:8" hidden="1">
      <c r="C54" s="211"/>
      <c r="D54" s="211"/>
      <c r="E54" s="211"/>
      <c r="F54" s="215" t="s">
        <v>169</v>
      </c>
      <c r="G54" s="217"/>
      <c r="H54" s="212">
        <f>G53/F42</f>
        <v>5.5747496809264945</v>
      </c>
    </row>
    <row r="55" spans="1:8" hidden="1">
      <c r="C55" s="211"/>
      <c r="D55" s="211"/>
      <c r="E55" s="211"/>
      <c r="F55" s="215" t="s">
        <v>173</v>
      </c>
      <c r="G55" s="217"/>
      <c r="H55" s="212">
        <v>8.2699999999999996E-2</v>
      </c>
    </row>
    <row r="56" spans="1:8" hidden="1">
      <c r="A56" s="26" t="s">
        <v>156</v>
      </c>
      <c r="B56" s="26"/>
      <c r="C56" s="213" t="s">
        <v>4</v>
      </c>
      <c r="D56" s="213" t="s">
        <v>3</v>
      </c>
      <c r="E56" s="839" t="s">
        <v>250</v>
      </c>
      <c r="F56" s="839"/>
      <c r="G56" s="840" t="s">
        <v>147</v>
      </c>
      <c r="H56" s="840"/>
    </row>
    <row r="57" spans="1:8" s="222" customFormat="1" hidden="1">
      <c r="A57" s="222" t="s">
        <v>330</v>
      </c>
      <c r="B57" s="222" t="s">
        <v>332</v>
      </c>
      <c r="C57" s="220">
        <v>1.26</v>
      </c>
      <c r="D57" s="224" t="s">
        <v>13</v>
      </c>
      <c r="E57" s="844" t="e">
        <f>COTAÇÃO!#REF!</f>
        <v>#REF!</v>
      </c>
      <c r="F57" s="844"/>
      <c r="G57" s="845" t="e">
        <f>C57*E57</f>
        <v>#REF!</v>
      </c>
      <c r="H57" s="845"/>
    </row>
    <row r="58" spans="1:8" s="222" customFormat="1" hidden="1">
      <c r="A58" s="222" t="s">
        <v>331</v>
      </c>
      <c r="B58" s="222" t="s">
        <v>333</v>
      </c>
      <c r="C58" s="220">
        <v>0.14000000000000001</v>
      </c>
      <c r="D58" s="224" t="s">
        <v>13</v>
      </c>
      <c r="E58" s="844" t="e">
        <f>COTAÇÃO!#REF!</f>
        <v>#REF!</v>
      </c>
      <c r="F58" s="844"/>
      <c r="G58" s="845" t="e">
        <f>C58*E58</f>
        <v>#REF!</v>
      </c>
      <c r="H58" s="845"/>
    </row>
    <row r="59" spans="1:8" hidden="1">
      <c r="A59" s="11"/>
      <c r="B59" s="11"/>
      <c r="C59" s="13"/>
      <c r="D59" s="13"/>
      <c r="E59" s="13"/>
      <c r="F59" s="216" t="s">
        <v>157</v>
      </c>
      <c r="G59" s="841" t="e">
        <f>SUM(G57:H58)</f>
        <v>#REF!</v>
      </c>
      <c r="H59" s="841"/>
    </row>
    <row r="60" spans="1:8" hidden="1">
      <c r="C60" s="211"/>
      <c r="D60" s="211"/>
      <c r="E60" s="211"/>
      <c r="F60" s="211"/>
      <c r="G60" s="211" t="s">
        <v>168</v>
      </c>
      <c r="H60" s="92" t="e">
        <f>SUM(G59)</f>
        <v>#REF!</v>
      </c>
    </row>
    <row r="61" spans="1:8" hidden="1">
      <c r="A61" s="26" t="s">
        <v>161</v>
      </c>
      <c r="B61" s="26"/>
      <c r="C61" s="213" t="s">
        <v>4</v>
      </c>
      <c r="D61" s="213" t="s">
        <v>3</v>
      </c>
      <c r="E61" s="839" t="s">
        <v>145</v>
      </c>
      <c r="F61" s="839"/>
      <c r="G61" s="840" t="s">
        <v>147</v>
      </c>
      <c r="H61" s="840"/>
    </row>
    <row r="62" spans="1:8" hidden="1">
      <c r="A62" s="11"/>
      <c r="B62" s="11"/>
      <c r="C62" s="13"/>
      <c r="D62" s="13"/>
      <c r="E62" s="13"/>
      <c r="F62" s="216" t="s">
        <v>257</v>
      </c>
      <c r="G62" s="841"/>
      <c r="H62" s="841"/>
    </row>
    <row r="63" spans="1:8" hidden="1">
      <c r="A63" s="11"/>
      <c r="B63" s="11"/>
      <c r="C63" s="13"/>
      <c r="D63" s="13"/>
      <c r="E63" s="13"/>
      <c r="F63" s="216" t="s">
        <v>258</v>
      </c>
      <c r="G63" s="842" t="e">
        <f>G62+H55+H54+H60</f>
        <v>#REF!</v>
      </c>
      <c r="H63" s="843"/>
    </row>
    <row r="64" spans="1:8" hidden="1">
      <c r="C64" s="211"/>
      <c r="D64" s="211"/>
      <c r="E64" s="211"/>
      <c r="F64" s="215"/>
      <c r="G64" s="217"/>
      <c r="H64" s="212"/>
    </row>
    <row r="65" spans="1:8" hidden="1">
      <c r="A65" s="26" t="s">
        <v>163</v>
      </c>
      <c r="B65" s="26"/>
      <c r="C65" s="213" t="s">
        <v>164</v>
      </c>
      <c r="D65" s="213" t="s">
        <v>4</v>
      </c>
      <c r="E65" s="213" t="s">
        <v>3</v>
      </c>
      <c r="F65" s="839" t="s">
        <v>165</v>
      </c>
      <c r="G65" s="839"/>
      <c r="H65" s="218" t="s">
        <v>165</v>
      </c>
    </row>
    <row r="66" spans="1:8" hidden="1">
      <c r="A66" s="97" t="s">
        <v>330</v>
      </c>
      <c r="B66" s="100" t="s">
        <v>334</v>
      </c>
      <c r="C66" s="214">
        <v>5914651</v>
      </c>
      <c r="D66" s="178">
        <v>1.89</v>
      </c>
      <c r="E66" s="214" t="s">
        <v>136</v>
      </c>
      <c r="F66" s="837">
        <v>1.58</v>
      </c>
      <c r="G66" s="837"/>
      <c r="H66" s="101">
        <f>D66*F66</f>
        <v>2.9862000000000002</v>
      </c>
    </row>
    <row r="67" spans="1:8" hidden="1">
      <c r="A67" s="97" t="s">
        <v>331</v>
      </c>
      <c r="B67" s="100" t="s">
        <v>335</v>
      </c>
      <c r="C67" s="214">
        <v>5914651</v>
      </c>
      <c r="D67" s="178">
        <v>0.21</v>
      </c>
      <c r="E67" s="214" t="s">
        <v>136</v>
      </c>
      <c r="F67" s="837">
        <v>1.58</v>
      </c>
      <c r="G67" s="837"/>
      <c r="H67" s="101">
        <f>D67*F67</f>
        <v>0.33179999999999998</v>
      </c>
    </row>
    <row r="68" spans="1:8" hidden="1">
      <c r="C68" s="211"/>
      <c r="D68" s="211"/>
      <c r="E68" s="211"/>
      <c r="F68" s="211"/>
      <c r="G68" s="215" t="s">
        <v>166</v>
      </c>
      <c r="H68" s="90">
        <f>SUM(H66:H67)</f>
        <v>3.3180000000000001</v>
      </c>
    </row>
    <row r="69" spans="1:8" hidden="1">
      <c r="A69" s="846" t="s">
        <v>242</v>
      </c>
      <c r="B69" s="846"/>
      <c r="C69" s="848" t="s">
        <v>4</v>
      </c>
      <c r="D69" s="848" t="s">
        <v>3</v>
      </c>
      <c r="E69" s="839" t="s">
        <v>243</v>
      </c>
      <c r="F69" s="839"/>
      <c r="G69" s="839"/>
      <c r="H69" s="850" t="s">
        <v>165</v>
      </c>
    </row>
    <row r="70" spans="1:8" hidden="1">
      <c r="A70" s="847"/>
      <c r="B70" s="847"/>
      <c r="C70" s="849"/>
      <c r="D70" s="849"/>
      <c r="E70" s="13" t="s">
        <v>244</v>
      </c>
      <c r="F70" s="13" t="s">
        <v>245</v>
      </c>
      <c r="G70" s="13" t="s">
        <v>246</v>
      </c>
      <c r="H70" s="851"/>
    </row>
    <row r="71" spans="1:8" hidden="1">
      <c r="A71" s="8"/>
      <c r="B71" s="8"/>
      <c r="C71" s="94"/>
      <c r="D71" s="211"/>
      <c r="E71" s="836"/>
      <c r="F71" s="836"/>
      <c r="G71" s="175"/>
      <c r="H71" s="180"/>
    </row>
    <row r="72" spans="1:8" hidden="1">
      <c r="A72" s="11"/>
      <c r="B72" s="11"/>
      <c r="C72" s="13"/>
      <c r="D72" s="13"/>
      <c r="E72" s="13"/>
      <c r="F72" s="13"/>
      <c r="G72" s="216" t="s">
        <v>248</v>
      </c>
      <c r="H72" s="181">
        <f>SUM(H71:H71)</f>
        <v>0</v>
      </c>
    </row>
    <row r="73" spans="1:8" hidden="1">
      <c r="A73" s="11"/>
      <c r="B73" s="11"/>
      <c r="C73" s="13"/>
      <c r="D73" s="13"/>
      <c r="E73" s="13"/>
      <c r="F73" s="13"/>
      <c r="G73" s="216" t="s">
        <v>167</v>
      </c>
      <c r="H73" s="185" t="e">
        <f>H68+G63+H72</f>
        <v>#REF!</v>
      </c>
    </row>
    <row r="74" spans="1:8" hidden="1">
      <c r="A74" s="8"/>
      <c r="B74" s="8"/>
      <c r="C74" s="9"/>
      <c r="D74" s="9"/>
      <c r="E74" s="9"/>
      <c r="F74" s="9"/>
      <c r="G74" s="32"/>
      <c r="H74" s="223"/>
    </row>
    <row r="75" spans="1:8" hidden="1">
      <c r="A75" s="8"/>
      <c r="B75" s="8"/>
      <c r="C75" s="9"/>
      <c r="D75" s="9"/>
      <c r="E75" s="9"/>
      <c r="F75" s="9"/>
      <c r="G75" s="32"/>
      <c r="H75" s="223"/>
    </row>
    <row r="76" spans="1:8" hidden="1">
      <c r="A76" s="8"/>
      <c r="B76" s="8"/>
      <c r="C76" s="9"/>
      <c r="D76" s="9"/>
      <c r="E76" s="9"/>
      <c r="F76" s="9"/>
      <c r="G76" s="32"/>
      <c r="H76" s="223"/>
    </row>
    <row r="77" spans="1:8" hidden="1">
      <c r="A77" s="8"/>
      <c r="B77" s="8"/>
      <c r="C77" s="9"/>
      <c r="D77" s="9"/>
      <c r="E77" s="9"/>
      <c r="F77" s="9"/>
      <c r="G77" s="32"/>
      <c r="H77" s="223"/>
    </row>
    <row r="78" spans="1:8" hidden="1">
      <c r="A78" s="8"/>
      <c r="B78" s="8"/>
      <c r="C78" s="9"/>
      <c r="D78" s="9"/>
      <c r="E78" s="9"/>
      <c r="F78" s="9"/>
      <c r="G78" s="32"/>
      <c r="H78" s="223"/>
    </row>
    <row r="79" spans="1:8" hidden="1">
      <c r="A79" s="8"/>
      <c r="B79" s="8"/>
      <c r="C79" s="9"/>
      <c r="D79" s="9"/>
      <c r="E79" s="9"/>
      <c r="F79" s="9"/>
      <c r="G79" s="32"/>
      <c r="H79" s="223"/>
    </row>
    <row r="80" spans="1:8" hidden="1">
      <c r="A80" s="8"/>
      <c r="B80" s="8"/>
      <c r="C80" s="9"/>
      <c r="D80" s="9"/>
      <c r="E80" s="9"/>
      <c r="F80" s="9"/>
      <c r="G80" s="32"/>
      <c r="H80" s="223"/>
    </row>
    <row r="81" spans="1:8" hidden="1">
      <c r="A81" t="s">
        <v>151</v>
      </c>
      <c r="C81" s="189" t="s">
        <v>153</v>
      </c>
      <c r="D81" s="189"/>
      <c r="E81" s="189"/>
      <c r="F81" s="189"/>
      <c r="G81" s="189"/>
      <c r="H81" s="231" t="s">
        <v>353</v>
      </c>
    </row>
    <row r="82" spans="1:8" hidden="1">
      <c r="A82" t="s">
        <v>152</v>
      </c>
      <c r="C82" s="93">
        <v>44287</v>
      </c>
      <c r="D82" s="189"/>
      <c r="E82" s="192" t="s">
        <v>154</v>
      </c>
      <c r="F82" s="176">
        <v>113.18</v>
      </c>
      <c r="G82" s="17" t="s">
        <v>13</v>
      </c>
    </row>
    <row r="83" spans="1:8" hidden="1">
      <c r="A83" s="6">
        <v>4011276</v>
      </c>
      <c r="B83" s="6" t="s">
        <v>223</v>
      </c>
      <c r="C83" s="189"/>
      <c r="D83" s="189"/>
      <c r="E83" s="189"/>
      <c r="F83" s="189"/>
      <c r="G83" s="189"/>
      <c r="H83" s="192" t="s">
        <v>155</v>
      </c>
    </row>
    <row r="84" spans="1:8" hidden="1">
      <c r="A84" s="846" t="s">
        <v>137</v>
      </c>
      <c r="B84" s="846"/>
      <c r="C84" s="852" t="s">
        <v>4</v>
      </c>
      <c r="D84" s="854" t="s">
        <v>144</v>
      </c>
      <c r="E84" s="854"/>
      <c r="F84" s="854" t="s">
        <v>145</v>
      </c>
      <c r="G84" s="854"/>
      <c r="H84" s="852" t="s">
        <v>147</v>
      </c>
    </row>
    <row r="85" spans="1:8" hidden="1">
      <c r="A85" s="847"/>
      <c r="B85" s="847"/>
      <c r="C85" s="853"/>
      <c r="D85" s="13" t="s">
        <v>140</v>
      </c>
      <c r="E85" s="13" t="s">
        <v>141</v>
      </c>
      <c r="F85" s="13" t="s">
        <v>142</v>
      </c>
      <c r="G85" s="13" t="s">
        <v>143</v>
      </c>
      <c r="H85" s="853"/>
    </row>
    <row r="86" spans="1:8" hidden="1">
      <c r="A86" t="s">
        <v>255</v>
      </c>
      <c r="B86" t="s">
        <v>256</v>
      </c>
      <c r="C86" s="94">
        <v>1</v>
      </c>
      <c r="D86" s="175">
        <v>0.34</v>
      </c>
      <c r="E86" s="175">
        <v>0.66</v>
      </c>
      <c r="F86" s="288">
        <v>226.63300000000001</v>
      </c>
      <c r="G86" s="288">
        <v>60.494799999999998</v>
      </c>
      <c r="H86" s="90">
        <f>C86*D86*F86+E86*G86</f>
        <v>116.98178800000001</v>
      </c>
    </row>
    <row r="87" spans="1:8" hidden="1">
      <c r="A87" t="s">
        <v>170</v>
      </c>
      <c r="B87" t="s">
        <v>188</v>
      </c>
      <c r="C87" s="94">
        <v>1</v>
      </c>
      <c r="D87" s="175">
        <v>0.65</v>
      </c>
      <c r="E87" s="175">
        <v>0.35</v>
      </c>
      <c r="F87" s="288">
        <v>151.4177</v>
      </c>
      <c r="G87" s="288">
        <v>72.008300000000006</v>
      </c>
      <c r="H87" s="90">
        <f>C87*D87*F87+E87*G87</f>
        <v>123.62441</v>
      </c>
    </row>
    <row r="88" spans="1:8" hidden="1">
      <c r="A88" t="s">
        <v>171</v>
      </c>
      <c r="B88" t="s">
        <v>251</v>
      </c>
      <c r="C88" s="94">
        <v>1</v>
      </c>
      <c r="D88" s="175">
        <v>0.52</v>
      </c>
      <c r="E88" s="175">
        <v>0.48</v>
      </c>
      <c r="F88" s="288">
        <v>146.9331</v>
      </c>
      <c r="G88" s="288">
        <v>60.789700000000003</v>
      </c>
      <c r="H88" s="90">
        <f>C88*D88*F88+E88*G88</f>
        <v>105.58426800000001</v>
      </c>
    </row>
    <row r="89" spans="1:8" hidden="1">
      <c r="C89" s="189"/>
      <c r="D89" s="189"/>
      <c r="E89" s="189"/>
      <c r="F89" s="189"/>
      <c r="G89" s="192" t="s">
        <v>160</v>
      </c>
      <c r="H89" s="92">
        <f>SUM(H86:H88)</f>
        <v>346.19046600000001</v>
      </c>
    </row>
    <row r="90" spans="1:8" hidden="1">
      <c r="A90" s="26" t="s">
        <v>146</v>
      </c>
      <c r="B90" s="26"/>
      <c r="C90" s="187" t="s">
        <v>4</v>
      </c>
      <c r="D90" s="187" t="s">
        <v>3</v>
      </c>
      <c r="E90" s="839" t="s">
        <v>145</v>
      </c>
      <c r="F90" s="839"/>
      <c r="G90" s="840" t="s">
        <v>147</v>
      </c>
      <c r="H90" s="840"/>
    </row>
    <row r="91" spans="1:8" hidden="1">
      <c r="A91" t="s">
        <v>148</v>
      </c>
      <c r="B91" t="s">
        <v>149</v>
      </c>
      <c r="C91" s="94">
        <v>1</v>
      </c>
      <c r="D91" s="189" t="s">
        <v>150</v>
      </c>
      <c r="E91" s="855">
        <v>21.135400000000001</v>
      </c>
      <c r="F91" s="855"/>
      <c r="G91" s="838">
        <f>C91*E91</f>
        <v>21.135400000000001</v>
      </c>
      <c r="H91" s="838"/>
    </row>
    <row r="92" spans="1:8" hidden="1">
      <c r="C92" s="189"/>
      <c r="D92" s="189"/>
      <c r="E92" s="189"/>
      <c r="F92" s="192" t="s">
        <v>158</v>
      </c>
      <c r="G92" s="838">
        <f>SUM(G91)</f>
        <v>21.135400000000001</v>
      </c>
      <c r="H92" s="838"/>
    </row>
    <row r="93" spans="1:8" hidden="1">
      <c r="A93" s="11"/>
      <c r="B93" s="11"/>
      <c r="C93" s="13"/>
      <c r="D93" s="13"/>
      <c r="E93" s="13"/>
      <c r="F93" s="188" t="s">
        <v>159</v>
      </c>
      <c r="G93" s="842">
        <f>G92+H89</f>
        <v>367.32586600000002</v>
      </c>
      <c r="H93" s="843"/>
    </row>
    <row r="94" spans="1:8" hidden="1">
      <c r="C94" s="189"/>
      <c r="D94" s="189"/>
      <c r="E94" s="189"/>
      <c r="F94" s="192" t="s">
        <v>169</v>
      </c>
      <c r="G94" s="191"/>
      <c r="H94" s="190">
        <f>G93/F82</f>
        <v>3.245501555045061</v>
      </c>
    </row>
    <row r="95" spans="1:8" hidden="1">
      <c r="C95" s="189"/>
      <c r="D95" s="189"/>
      <c r="E95" s="189"/>
      <c r="F95" s="192" t="s">
        <v>173</v>
      </c>
      <c r="G95" s="191"/>
      <c r="H95" s="190">
        <v>5.2200000000000003E-2</v>
      </c>
    </row>
    <row r="96" spans="1:8" hidden="1">
      <c r="A96" s="26" t="s">
        <v>156</v>
      </c>
      <c r="B96" s="26"/>
      <c r="C96" s="187" t="s">
        <v>4</v>
      </c>
      <c r="D96" s="187" t="s">
        <v>3</v>
      </c>
      <c r="E96" s="839" t="s">
        <v>250</v>
      </c>
      <c r="F96" s="839"/>
      <c r="G96" s="840" t="s">
        <v>147</v>
      </c>
      <c r="H96" s="840"/>
    </row>
    <row r="97" spans="1:8" s="222" customFormat="1" hidden="1">
      <c r="A97" s="225">
        <v>6416040</v>
      </c>
      <c r="B97" s="222" t="s">
        <v>259</v>
      </c>
      <c r="C97" s="220">
        <v>1.4</v>
      </c>
      <c r="D97" s="224" t="s">
        <v>13</v>
      </c>
      <c r="E97" s="844" t="e">
        <f>COTAÇÃO!#REF!</f>
        <v>#REF!</v>
      </c>
      <c r="F97" s="844"/>
      <c r="G97" s="845" t="e">
        <f>C97*E97</f>
        <v>#REF!</v>
      </c>
      <c r="H97" s="845"/>
    </row>
    <row r="98" spans="1:8" hidden="1">
      <c r="A98" s="11"/>
      <c r="B98" s="11"/>
      <c r="C98" s="13"/>
      <c r="D98" s="13"/>
      <c r="E98" s="13"/>
      <c r="F98" s="188" t="s">
        <v>157</v>
      </c>
      <c r="G98" s="842" t="e">
        <f>SUM(G97)</f>
        <v>#REF!</v>
      </c>
      <c r="H98" s="842"/>
    </row>
    <row r="99" spans="1:8" hidden="1">
      <c r="C99" s="189"/>
      <c r="D99" s="189"/>
      <c r="E99" s="189"/>
      <c r="F99" s="189"/>
      <c r="G99" s="189" t="s">
        <v>168</v>
      </c>
      <c r="H99" s="92" t="e">
        <f>G98+H94+H95</f>
        <v>#REF!</v>
      </c>
    </row>
    <row r="100" spans="1:8" hidden="1">
      <c r="A100" s="26" t="s">
        <v>161</v>
      </c>
      <c r="B100" s="26"/>
      <c r="C100" s="187" t="s">
        <v>4</v>
      </c>
      <c r="D100" s="187" t="s">
        <v>3</v>
      </c>
      <c r="E100" s="839" t="s">
        <v>145</v>
      </c>
      <c r="F100" s="839"/>
      <c r="G100" s="840" t="s">
        <v>147</v>
      </c>
      <c r="H100" s="840"/>
    </row>
    <row r="101" spans="1:8" hidden="1">
      <c r="A101" s="11"/>
      <c r="B101" s="11"/>
      <c r="C101" s="13"/>
      <c r="D101" s="13"/>
      <c r="E101" s="13"/>
      <c r="F101" s="188" t="s">
        <v>257</v>
      </c>
      <c r="G101" s="841">
        <v>0</v>
      </c>
      <c r="H101" s="841"/>
    </row>
    <row r="102" spans="1:8" hidden="1">
      <c r="A102" s="11"/>
      <c r="B102" s="11"/>
      <c r="C102" s="13"/>
      <c r="D102" s="13"/>
      <c r="E102" s="13"/>
      <c r="F102" s="188" t="s">
        <v>258</v>
      </c>
      <c r="G102" s="842">
        <f>SUM(G101)</f>
        <v>0</v>
      </c>
      <c r="H102" s="843"/>
    </row>
    <row r="103" spans="1:8" hidden="1">
      <c r="C103" s="189"/>
      <c r="D103" s="189"/>
      <c r="E103" s="189"/>
      <c r="F103" s="192"/>
      <c r="G103" s="191"/>
      <c r="H103" s="190"/>
    </row>
    <row r="104" spans="1:8" hidden="1">
      <c r="A104" s="26" t="s">
        <v>163</v>
      </c>
      <c r="B104" s="26"/>
      <c r="C104" s="187" t="s">
        <v>164</v>
      </c>
      <c r="D104" s="187" t="s">
        <v>4</v>
      </c>
      <c r="E104" s="187" t="s">
        <v>3</v>
      </c>
      <c r="F104" s="839" t="s">
        <v>165</v>
      </c>
      <c r="G104" s="839"/>
      <c r="H104" s="193" t="s">
        <v>165</v>
      </c>
    </row>
    <row r="105" spans="1:8" hidden="1">
      <c r="A105" s="97"/>
      <c r="B105" s="100"/>
      <c r="C105" s="186"/>
      <c r="D105" s="178"/>
      <c r="E105" s="186"/>
      <c r="F105" s="837"/>
      <c r="G105" s="837"/>
      <c r="H105" s="101"/>
    </row>
    <row r="106" spans="1:8" hidden="1">
      <c r="C106" s="189"/>
      <c r="D106" s="189"/>
      <c r="E106" s="189"/>
      <c r="F106" s="189"/>
      <c r="G106" s="192" t="s">
        <v>166</v>
      </c>
      <c r="H106" s="90">
        <f>SUM(H105:H105)</f>
        <v>0</v>
      </c>
    </row>
    <row r="107" spans="1:8" hidden="1">
      <c r="A107" s="846" t="s">
        <v>242</v>
      </c>
      <c r="B107" s="846"/>
      <c r="C107" s="848" t="s">
        <v>4</v>
      </c>
      <c r="D107" s="848" t="s">
        <v>3</v>
      </c>
      <c r="E107" s="839" t="s">
        <v>243</v>
      </c>
      <c r="F107" s="839"/>
      <c r="G107" s="839"/>
      <c r="H107" s="850" t="s">
        <v>165</v>
      </c>
    </row>
    <row r="108" spans="1:8" hidden="1">
      <c r="A108" s="847"/>
      <c r="B108" s="847"/>
      <c r="C108" s="849"/>
      <c r="D108" s="849"/>
      <c r="E108" s="13" t="s">
        <v>244</v>
      </c>
      <c r="F108" s="13" t="s">
        <v>245</v>
      </c>
      <c r="G108" s="13" t="s">
        <v>246</v>
      </c>
      <c r="H108" s="851"/>
    </row>
    <row r="109" spans="1:8" hidden="1">
      <c r="A109" s="8"/>
      <c r="B109" s="8"/>
      <c r="C109" s="94"/>
      <c r="D109" s="189"/>
      <c r="E109" s="836"/>
      <c r="F109" s="836"/>
      <c r="G109" s="175"/>
      <c r="H109" s="180"/>
    </row>
    <row r="110" spans="1:8" hidden="1">
      <c r="A110" s="11"/>
      <c r="B110" s="11"/>
      <c r="C110" s="13"/>
      <c r="D110" s="13"/>
      <c r="E110" s="13"/>
      <c r="F110" s="13"/>
      <c r="G110" s="188" t="s">
        <v>248</v>
      </c>
      <c r="H110" s="181">
        <f>SUM(H109:H109)</f>
        <v>0</v>
      </c>
    </row>
    <row r="111" spans="1:8" hidden="1">
      <c r="A111" s="11"/>
      <c r="B111" s="11"/>
      <c r="C111" s="13"/>
      <c r="D111" s="13"/>
      <c r="E111" s="13"/>
      <c r="F111" s="13"/>
      <c r="G111" s="188" t="s">
        <v>167</v>
      </c>
      <c r="H111" s="185" t="e">
        <f>H99</f>
        <v>#REF!</v>
      </c>
    </row>
    <row r="112" spans="1:8" hidden="1">
      <c r="A112" t="s">
        <v>151</v>
      </c>
      <c r="C112" s="1" t="s">
        <v>153</v>
      </c>
      <c r="H112" s="231" t="s">
        <v>355</v>
      </c>
    </row>
    <row r="113" spans="1:8" hidden="1">
      <c r="A113" t="s">
        <v>152</v>
      </c>
      <c r="C113" s="93">
        <v>44105</v>
      </c>
      <c r="E113" s="91" t="s">
        <v>154</v>
      </c>
      <c r="F113" s="176">
        <v>84.66</v>
      </c>
      <c r="G113" s="17" t="s">
        <v>136</v>
      </c>
    </row>
    <row r="114" spans="1:8" hidden="1">
      <c r="A114" s="6">
        <v>6416213</v>
      </c>
      <c r="B114" s="6" t="s">
        <v>348</v>
      </c>
      <c r="H114" s="91" t="s">
        <v>155</v>
      </c>
    </row>
    <row r="115" spans="1:8" hidden="1">
      <c r="A115" s="846" t="s">
        <v>137</v>
      </c>
      <c r="B115" s="846"/>
      <c r="C115" s="852" t="s">
        <v>4</v>
      </c>
      <c r="D115" s="854" t="s">
        <v>144</v>
      </c>
      <c r="E115" s="854"/>
      <c r="F115" s="854" t="s">
        <v>145</v>
      </c>
      <c r="G115" s="854"/>
      <c r="H115" s="852" t="s">
        <v>147</v>
      </c>
    </row>
    <row r="116" spans="1:8" hidden="1">
      <c r="A116" s="847"/>
      <c r="B116" s="847"/>
      <c r="C116" s="853"/>
      <c r="D116" s="13" t="s">
        <v>140</v>
      </c>
      <c r="E116" s="13" t="s">
        <v>141</v>
      </c>
      <c r="F116" s="13" t="s">
        <v>142</v>
      </c>
      <c r="G116" s="13" t="s">
        <v>143</v>
      </c>
      <c r="H116" s="853"/>
    </row>
    <row r="117" spans="1:8" hidden="1">
      <c r="A117" t="s">
        <v>224</v>
      </c>
      <c r="B117" t="s">
        <v>138</v>
      </c>
      <c r="C117" s="94">
        <v>1</v>
      </c>
      <c r="D117" s="175">
        <v>1</v>
      </c>
      <c r="E117" s="175">
        <v>0</v>
      </c>
      <c r="F117" s="211">
        <v>35.933799999999998</v>
      </c>
      <c r="G117" s="211">
        <v>18.839099999999998</v>
      </c>
      <c r="H117" s="90">
        <f>C117*D117*F117+E117*G117</f>
        <v>35.933799999999998</v>
      </c>
    </row>
    <row r="118" spans="1:8" hidden="1">
      <c r="A118" t="s">
        <v>225</v>
      </c>
      <c r="B118" t="s">
        <v>337</v>
      </c>
      <c r="C118" s="94">
        <v>1</v>
      </c>
      <c r="D118" s="175">
        <v>0.68</v>
      </c>
      <c r="E118" s="175">
        <v>0.32</v>
      </c>
      <c r="F118" s="211">
        <v>111.4147</v>
      </c>
      <c r="G118" s="211">
        <v>56.344200000000001</v>
      </c>
      <c r="H118" s="90">
        <f>C118*D118*F118+E118*G118</f>
        <v>93.792139999999989</v>
      </c>
    </row>
    <row r="119" spans="1:8" hidden="1">
      <c r="A119" t="s">
        <v>226</v>
      </c>
      <c r="B119" t="s">
        <v>139</v>
      </c>
      <c r="C119" s="94">
        <v>1</v>
      </c>
      <c r="D119" s="175">
        <v>1</v>
      </c>
      <c r="E119" s="175">
        <v>0</v>
      </c>
      <c r="F119" s="211">
        <v>227.08359999999999</v>
      </c>
      <c r="G119" s="211">
        <v>10.2835</v>
      </c>
      <c r="H119" s="90">
        <f>C119*D119*F119+E119*G119</f>
        <v>227.08359999999999</v>
      </c>
    </row>
    <row r="120" spans="1:8" hidden="1">
      <c r="A120" t="s">
        <v>336</v>
      </c>
      <c r="B120" t="s">
        <v>338</v>
      </c>
      <c r="C120" s="94">
        <v>2</v>
      </c>
      <c r="D120" s="175">
        <v>1</v>
      </c>
      <c r="E120" s="175">
        <v>0</v>
      </c>
      <c r="F120" s="211">
        <v>17.8399</v>
      </c>
      <c r="G120" s="211">
        <v>11.3331</v>
      </c>
      <c r="H120" s="90">
        <f>C120*D120*F120+E120*G120</f>
        <v>35.6798</v>
      </c>
    </row>
    <row r="121" spans="1:8" hidden="1">
      <c r="A121" t="s">
        <v>227</v>
      </c>
      <c r="B121" t="s">
        <v>339</v>
      </c>
      <c r="C121" s="94">
        <v>1</v>
      </c>
      <c r="D121" s="175">
        <v>1</v>
      </c>
      <c r="E121" s="175">
        <v>0</v>
      </c>
      <c r="F121" s="211">
        <v>840.28769999999997</v>
      </c>
      <c r="G121" s="211">
        <v>404.66730000000001</v>
      </c>
      <c r="H121" s="90">
        <f>C121*D121*F121+E121*G121</f>
        <v>840.28769999999997</v>
      </c>
    </row>
    <row r="122" spans="1:8" hidden="1">
      <c r="G122" s="91" t="s">
        <v>160</v>
      </c>
      <c r="H122" s="92">
        <f>SUM(H117:H121)</f>
        <v>1232.7770399999999</v>
      </c>
    </row>
    <row r="123" spans="1:8" hidden="1">
      <c r="A123" s="26" t="s">
        <v>146</v>
      </c>
      <c r="B123" s="26"/>
      <c r="C123" s="27" t="s">
        <v>4</v>
      </c>
      <c r="D123" s="27" t="s">
        <v>3</v>
      </c>
      <c r="E123" s="839" t="s">
        <v>145</v>
      </c>
      <c r="F123" s="839"/>
      <c r="G123" s="840" t="s">
        <v>147</v>
      </c>
      <c r="H123" s="840"/>
    </row>
    <row r="124" spans="1:8" hidden="1">
      <c r="A124" t="s">
        <v>148</v>
      </c>
      <c r="B124" t="s">
        <v>149</v>
      </c>
      <c r="C124" s="94">
        <v>4</v>
      </c>
      <c r="D124" s="1" t="s">
        <v>150</v>
      </c>
      <c r="E124" s="855">
        <v>17.998999999999999</v>
      </c>
      <c r="F124" s="855"/>
      <c r="G124" s="838">
        <f>C124*E124</f>
        <v>71.995999999999995</v>
      </c>
      <c r="H124" s="838"/>
    </row>
    <row r="125" spans="1:8" hidden="1">
      <c r="F125" s="91" t="s">
        <v>158</v>
      </c>
      <c r="G125" s="838">
        <f>SUM(G124)</f>
        <v>71.995999999999995</v>
      </c>
      <c r="H125" s="838"/>
    </row>
    <row r="126" spans="1:8" hidden="1">
      <c r="A126" s="11"/>
      <c r="B126" s="11"/>
      <c r="C126" s="13"/>
      <c r="D126" s="13"/>
      <c r="E126" s="13"/>
      <c r="F126" s="99" t="s">
        <v>159</v>
      </c>
      <c r="G126" s="842">
        <f>G125+H122</f>
        <v>1304.77304</v>
      </c>
      <c r="H126" s="843"/>
    </row>
    <row r="127" spans="1:8" hidden="1">
      <c r="F127" s="91" t="s">
        <v>169</v>
      </c>
      <c r="G127" s="95"/>
      <c r="H127" s="96">
        <f>G126/F113</f>
        <v>15.411918733758565</v>
      </c>
    </row>
    <row r="128" spans="1:8" hidden="1">
      <c r="F128" s="91" t="s">
        <v>173</v>
      </c>
      <c r="G128" s="95"/>
      <c r="H128" s="96" t="s">
        <v>42</v>
      </c>
    </row>
    <row r="129" spans="1:8" hidden="1">
      <c r="A129" s="26" t="s">
        <v>156</v>
      </c>
      <c r="B129" s="26"/>
      <c r="C129" s="27" t="s">
        <v>4</v>
      </c>
      <c r="D129" s="27" t="s">
        <v>3</v>
      </c>
      <c r="E129" s="839" t="s">
        <v>250</v>
      </c>
      <c r="F129" s="839"/>
      <c r="G129" s="840" t="s">
        <v>147</v>
      </c>
      <c r="H129" s="840"/>
    </row>
    <row r="130" spans="1:8" s="222" customFormat="1" hidden="1">
      <c r="A130" s="219" t="s">
        <v>229</v>
      </c>
      <c r="B130" s="219" t="s">
        <v>234</v>
      </c>
      <c r="C130" s="226">
        <v>6.275E-2</v>
      </c>
      <c r="D130" s="221" t="s">
        <v>13</v>
      </c>
      <c r="E130" s="866" t="e">
        <f>COTAÇÃO!#REF!</f>
        <v>#REF!</v>
      </c>
      <c r="F130" s="866"/>
      <c r="G130" s="862" t="e">
        <f t="shared" ref="G130:G136" si="1">E130*C130</f>
        <v>#REF!</v>
      </c>
      <c r="H130" s="863"/>
    </row>
    <row r="131" spans="1:8" s="222" customFormat="1" hidden="1">
      <c r="A131" s="219" t="s">
        <v>340</v>
      </c>
      <c r="B131" s="219" t="s">
        <v>343</v>
      </c>
      <c r="C131" s="226">
        <v>6.275E-2</v>
      </c>
      <c r="D131" s="221" t="s">
        <v>13</v>
      </c>
      <c r="E131" s="867" t="e">
        <f>COTAÇÃO!#REF!</f>
        <v>#REF!</v>
      </c>
      <c r="F131" s="867"/>
      <c r="G131" s="862" t="e">
        <f t="shared" si="1"/>
        <v>#REF!</v>
      </c>
      <c r="H131" s="863"/>
    </row>
    <row r="132" spans="1:8" s="222" customFormat="1" hidden="1">
      <c r="A132" s="219" t="s">
        <v>341</v>
      </c>
      <c r="B132" s="219" t="s">
        <v>344</v>
      </c>
      <c r="C132" s="226">
        <v>56.47</v>
      </c>
      <c r="D132" s="221" t="s">
        <v>237</v>
      </c>
      <c r="E132" s="869" t="e">
        <f>COTAÇÃO!#REF!/(20)</f>
        <v>#REF!</v>
      </c>
      <c r="F132" s="869"/>
      <c r="G132" s="862" t="e">
        <f t="shared" si="1"/>
        <v>#REF!</v>
      </c>
      <c r="H132" s="863"/>
    </row>
    <row r="133" spans="1:8" hidden="1">
      <c r="A133" s="8" t="s">
        <v>342</v>
      </c>
      <c r="B133" s="8" t="s">
        <v>345</v>
      </c>
      <c r="C133" s="177">
        <v>5.8819999999999997E-2</v>
      </c>
      <c r="D133" s="9" t="s">
        <v>136</v>
      </c>
      <c r="E133" s="870">
        <v>0</v>
      </c>
      <c r="F133" s="870"/>
      <c r="G133" s="860">
        <f t="shared" ref="G133:G134" si="2">E133*C133</f>
        <v>0</v>
      </c>
      <c r="H133" s="838"/>
    </row>
    <row r="134" spans="1:8" hidden="1">
      <c r="A134" t="s">
        <v>232</v>
      </c>
      <c r="B134" t="s">
        <v>235</v>
      </c>
      <c r="C134" s="94">
        <v>14</v>
      </c>
      <c r="D134" s="211" t="s">
        <v>238</v>
      </c>
      <c r="E134" s="861">
        <v>3.7974999999999999</v>
      </c>
      <c r="F134" s="861"/>
      <c r="G134" s="860">
        <f t="shared" si="2"/>
        <v>53.164999999999999</v>
      </c>
      <c r="H134" s="838"/>
    </row>
    <row r="135" spans="1:8" s="230" customFormat="1" hidden="1">
      <c r="A135" s="227" t="s">
        <v>233</v>
      </c>
      <c r="B135" s="227" t="s">
        <v>236</v>
      </c>
      <c r="C135" s="228">
        <v>0.13804</v>
      </c>
      <c r="D135" s="229" t="s">
        <v>13</v>
      </c>
      <c r="E135" s="868" t="e">
        <f>COTAÇÃO!#REF!</f>
        <v>#REF!</v>
      </c>
      <c r="F135" s="868"/>
      <c r="G135" s="864" t="e">
        <f t="shared" si="1"/>
        <v>#REF!</v>
      </c>
      <c r="H135" s="865"/>
    </row>
    <row r="136" spans="1:8" s="222" customFormat="1" hidden="1">
      <c r="A136" s="222" t="s">
        <v>331</v>
      </c>
      <c r="B136" s="222" t="s">
        <v>333</v>
      </c>
      <c r="C136" s="220">
        <v>0.32627</v>
      </c>
      <c r="D136" s="224" t="s">
        <v>13</v>
      </c>
      <c r="E136" s="844" t="e">
        <f>COTAÇÃO!#REF!</f>
        <v>#REF!</v>
      </c>
      <c r="F136" s="844"/>
      <c r="G136" s="862" t="e">
        <f t="shared" si="1"/>
        <v>#REF!</v>
      </c>
      <c r="H136" s="863"/>
    </row>
    <row r="137" spans="1:8" hidden="1">
      <c r="A137" s="11"/>
      <c r="B137" s="11"/>
      <c r="C137" s="13"/>
      <c r="D137" s="13"/>
      <c r="E137" s="13"/>
      <c r="F137" s="169" t="s">
        <v>157</v>
      </c>
      <c r="G137" s="842" t="e">
        <f>SUM(G130:H136)</f>
        <v>#REF!</v>
      </c>
      <c r="H137" s="842"/>
    </row>
    <row r="138" spans="1:8" hidden="1">
      <c r="G138" s="1" t="s">
        <v>168</v>
      </c>
      <c r="H138" s="92" t="e">
        <f>G137+H127</f>
        <v>#REF!</v>
      </c>
    </row>
    <row r="139" spans="1:8" hidden="1">
      <c r="A139" s="26" t="s">
        <v>163</v>
      </c>
      <c r="B139" s="26"/>
      <c r="C139" s="27" t="s">
        <v>164</v>
      </c>
      <c r="D139" s="27" t="s">
        <v>4</v>
      </c>
      <c r="E139" s="27" t="s">
        <v>3</v>
      </c>
      <c r="F139" s="839" t="s">
        <v>165</v>
      </c>
      <c r="G139" s="839"/>
      <c r="H139" s="183" t="s">
        <v>165</v>
      </c>
    </row>
    <row r="140" spans="1:8" hidden="1">
      <c r="A140" s="97" t="s">
        <v>229</v>
      </c>
      <c r="B140" s="100" t="s">
        <v>240</v>
      </c>
      <c r="C140" s="174">
        <v>5914647</v>
      </c>
      <c r="D140" s="178">
        <v>9.4130000000000005E-2</v>
      </c>
      <c r="E140" s="98" t="s">
        <v>136</v>
      </c>
      <c r="F140" s="837">
        <v>0.88</v>
      </c>
      <c r="G140" s="837"/>
      <c r="H140" s="101">
        <f>D140*F140</f>
        <v>8.2834400000000002E-2</v>
      </c>
    </row>
    <row r="141" spans="1:8" hidden="1">
      <c r="A141" s="97" t="s">
        <v>340</v>
      </c>
      <c r="B141" s="100" t="s">
        <v>346</v>
      </c>
      <c r="C141" s="214">
        <v>5914647</v>
      </c>
      <c r="D141" s="178">
        <v>9.4130000000000005E-2</v>
      </c>
      <c r="E141" s="214" t="s">
        <v>136</v>
      </c>
      <c r="F141" s="837">
        <v>0.88</v>
      </c>
      <c r="G141" s="837"/>
      <c r="H141" s="101">
        <f>D141*F141</f>
        <v>8.2834400000000002E-2</v>
      </c>
    </row>
    <row r="142" spans="1:8" hidden="1">
      <c r="A142" s="97" t="s">
        <v>341</v>
      </c>
      <c r="B142" s="100" t="s">
        <v>347</v>
      </c>
      <c r="C142" s="174">
        <v>5914647</v>
      </c>
      <c r="D142" s="178">
        <v>5.6469999999999999E-2</v>
      </c>
      <c r="E142" s="174" t="s">
        <v>136</v>
      </c>
      <c r="F142" s="837">
        <v>9.75</v>
      </c>
      <c r="G142" s="837"/>
      <c r="H142" s="101">
        <f>D142*F142</f>
        <v>0.55058249999999997</v>
      </c>
    </row>
    <row r="143" spans="1:8" hidden="1">
      <c r="A143" s="97" t="s">
        <v>233</v>
      </c>
      <c r="B143" s="100" t="s">
        <v>241</v>
      </c>
      <c r="C143" s="174">
        <v>5914655</v>
      </c>
      <c r="D143" s="178">
        <v>0.20705999999999999</v>
      </c>
      <c r="E143" s="174" t="s">
        <v>136</v>
      </c>
      <c r="F143" s="837">
        <v>0.88</v>
      </c>
      <c r="G143" s="837"/>
      <c r="H143" s="101">
        <f>D143*F143</f>
        <v>0.18221280000000001</v>
      </c>
    </row>
    <row r="144" spans="1:8" hidden="1">
      <c r="A144" s="97" t="s">
        <v>331</v>
      </c>
      <c r="B144" s="100" t="s">
        <v>335</v>
      </c>
      <c r="C144" s="174">
        <v>5914647</v>
      </c>
      <c r="D144" s="178">
        <v>0.48941000000000001</v>
      </c>
      <c r="E144" s="174" t="s">
        <v>136</v>
      </c>
      <c r="F144" s="837">
        <v>0.88</v>
      </c>
      <c r="G144" s="837"/>
      <c r="H144" s="101">
        <f>D144*F144</f>
        <v>0.43068080000000003</v>
      </c>
    </row>
    <row r="145" spans="1:10" hidden="1">
      <c r="G145" s="91" t="s">
        <v>166</v>
      </c>
      <c r="H145" s="90">
        <f>SUM(H140:H144)</f>
        <v>1.3291449</v>
      </c>
    </row>
    <row r="146" spans="1:10" hidden="1">
      <c r="A146" s="846" t="s">
        <v>242</v>
      </c>
      <c r="B146" s="846"/>
      <c r="C146" s="848" t="s">
        <v>4</v>
      </c>
      <c r="D146" s="848" t="s">
        <v>3</v>
      </c>
      <c r="E146" s="839" t="s">
        <v>243</v>
      </c>
      <c r="F146" s="839"/>
      <c r="G146" s="839"/>
      <c r="H146" s="850" t="s">
        <v>165</v>
      </c>
    </row>
    <row r="147" spans="1:10" hidden="1">
      <c r="A147" s="847"/>
      <c r="B147" s="847"/>
      <c r="C147" s="849"/>
      <c r="D147" s="849"/>
      <c r="E147" s="13" t="s">
        <v>244</v>
      </c>
      <c r="F147" s="13" t="s">
        <v>245</v>
      </c>
      <c r="G147" s="13" t="s">
        <v>246</v>
      </c>
      <c r="H147" s="851"/>
    </row>
    <row r="148" spans="1:10" hidden="1">
      <c r="A148" t="s">
        <v>228</v>
      </c>
      <c r="B148" t="s">
        <v>239</v>
      </c>
      <c r="C148" s="94">
        <v>0.49056</v>
      </c>
      <c r="D148" s="173" t="s">
        <v>247</v>
      </c>
      <c r="E148" s="848"/>
      <c r="F148" s="848"/>
      <c r="G148" s="173"/>
      <c r="H148" s="180">
        <f>C148*G148*1.48*30</f>
        <v>0</v>
      </c>
      <c r="I148">
        <v>1480</v>
      </c>
      <c r="J148" t="s">
        <v>252</v>
      </c>
    </row>
    <row r="149" spans="1:10" hidden="1">
      <c r="A149" t="s">
        <v>229</v>
      </c>
      <c r="B149" t="s">
        <v>240</v>
      </c>
      <c r="C149" s="94">
        <v>0.18869</v>
      </c>
      <c r="D149" s="173" t="s">
        <v>247</v>
      </c>
      <c r="E149" s="836"/>
      <c r="F149" s="836"/>
      <c r="G149" s="173"/>
      <c r="H149" s="180">
        <f>C149*G149*1.2*30</f>
        <v>0</v>
      </c>
      <c r="I149">
        <v>1200</v>
      </c>
      <c r="J149" t="s">
        <v>252</v>
      </c>
    </row>
    <row r="150" spans="1:10" hidden="1">
      <c r="A150" t="s">
        <v>230</v>
      </c>
      <c r="B150" t="s">
        <v>253</v>
      </c>
      <c r="C150" s="94">
        <v>5.6599999999999998E-2</v>
      </c>
      <c r="D150" s="173" t="s">
        <v>247</v>
      </c>
      <c r="E150" s="836"/>
      <c r="F150" s="836"/>
      <c r="G150" s="173"/>
      <c r="H150" s="180">
        <f>C150*G150*1.7*30</f>
        <v>0</v>
      </c>
      <c r="I150">
        <v>1700</v>
      </c>
      <c r="J150" t="s">
        <v>252</v>
      </c>
    </row>
    <row r="151" spans="1:10" hidden="1">
      <c r="A151" t="s">
        <v>233</v>
      </c>
      <c r="B151" t="s">
        <v>241</v>
      </c>
      <c r="C151" s="94">
        <v>0.20754</v>
      </c>
      <c r="D151" s="173" t="s">
        <v>247</v>
      </c>
      <c r="E151" s="836"/>
      <c r="F151" s="836"/>
      <c r="G151" s="173"/>
      <c r="H151" s="180">
        <f>C151*G151*1.48*30</f>
        <v>0</v>
      </c>
      <c r="I151">
        <v>1480</v>
      </c>
      <c r="J151" t="s">
        <v>252</v>
      </c>
    </row>
    <row r="152" spans="1:10" hidden="1">
      <c r="A152" s="8" t="s">
        <v>231</v>
      </c>
      <c r="B152" s="8" t="s">
        <v>254</v>
      </c>
      <c r="C152" s="94">
        <f>1-SUM(C148:C151)</f>
        <v>5.6610000000000049E-2</v>
      </c>
      <c r="D152" s="173" t="s">
        <v>247</v>
      </c>
      <c r="E152" s="836"/>
      <c r="F152" s="836"/>
      <c r="G152" s="175"/>
      <c r="H152" s="180">
        <v>0</v>
      </c>
      <c r="I152">
        <v>2500</v>
      </c>
      <c r="J152" t="s">
        <v>252</v>
      </c>
    </row>
    <row r="153" spans="1:10" hidden="1">
      <c r="A153" s="11"/>
      <c r="B153" s="11"/>
      <c r="C153" s="13"/>
      <c r="D153" s="13"/>
      <c r="E153" s="13"/>
      <c r="F153" s="13"/>
      <c r="G153" s="169" t="s">
        <v>248</v>
      </c>
      <c r="H153" s="181">
        <f>SUM(H148:H152)</f>
        <v>0</v>
      </c>
    </row>
    <row r="154" spans="1:10" hidden="1">
      <c r="A154" s="11"/>
      <c r="B154" s="11"/>
      <c r="C154" s="13"/>
      <c r="D154" s="13"/>
      <c r="E154" s="13"/>
      <c r="F154" s="13"/>
      <c r="G154" s="169" t="s">
        <v>167</v>
      </c>
      <c r="H154" s="185" t="e">
        <f>H145+H138+H153</f>
        <v>#REF!</v>
      </c>
    </row>
    <row r="155" spans="1:10" hidden="1">
      <c r="A155" t="s">
        <v>151</v>
      </c>
      <c r="C155" s="173" t="s">
        <v>153</v>
      </c>
      <c r="D155" s="173"/>
      <c r="E155" s="173"/>
      <c r="F155" s="173"/>
      <c r="G155" s="173"/>
      <c r="H155" s="231" t="s">
        <v>354</v>
      </c>
    </row>
    <row r="156" spans="1:10" hidden="1">
      <c r="A156" t="s">
        <v>152</v>
      </c>
      <c r="C156" s="93">
        <v>43831</v>
      </c>
      <c r="D156" s="173"/>
      <c r="E156" s="172" t="s">
        <v>154</v>
      </c>
      <c r="F156" s="176">
        <v>84.66</v>
      </c>
      <c r="G156" s="17" t="s">
        <v>136</v>
      </c>
    </row>
    <row r="157" spans="1:10" hidden="1">
      <c r="A157" s="6">
        <v>4011471</v>
      </c>
      <c r="B157" s="6" t="s">
        <v>349</v>
      </c>
      <c r="C157" s="173"/>
      <c r="D157" s="173"/>
      <c r="E157" s="173"/>
      <c r="F157" s="173"/>
      <c r="G157" s="173"/>
      <c r="H157" s="172" t="s">
        <v>155</v>
      </c>
    </row>
    <row r="158" spans="1:10" hidden="1">
      <c r="A158" s="846" t="s">
        <v>137</v>
      </c>
      <c r="B158" s="846"/>
      <c r="C158" s="852" t="s">
        <v>4</v>
      </c>
      <c r="D158" s="854" t="s">
        <v>144</v>
      </c>
      <c r="E158" s="854"/>
      <c r="F158" s="854" t="s">
        <v>145</v>
      </c>
      <c r="G158" s="854"/>
      <c r="H158" s="852" t="s">
        <v>147</v>
      </c>
    </row>
    <row r="159" spans="1:10" hidden="1">
      <c r="A159" s="847"/>
      <c r="B159" s="847"/>
      <c r="C159" s="853"/>
      <c r="D159" s="13" t="s">
        <v>140</v>
      </c>
      <c r="E159" s="13" t="s">
        <v>141</v>
      </c>
      <c r="F159" s="13" t="s">
        <v>142</v>
      </c>
      <c r="G159" s="13" t="s">
        <v>143</v>
      </c>
      <c r="H159" s="853"/>
    </row>
    <row r="160" spans="1:10" hidden="1">
      <c r="A160" t="s">
        <v>170</v>
      </c>
      <c r="B160" t="s">
        <v>188</v>
      </c>
      <c r="C160" s="94">
        <v>1</v>
      </c>
      <c r="D160" s="175">
        <v>0.6</v>
      </c>
      <c r="E160" s="175">
        <v>0.4</v>
      </c>
      <c r="F160" s="211">
        <v>131.04570000000001</v>
      </c>
      <c r="G160" s="211">
        <v>63.359900000000003</v>
      </c>
      <c r="H160" s="90">
        <f>C160*D160*F160+E160*G160</f>
        <v>103.97138000000001</v>
      </c>
    </row>
    <row r="161" spans="1:8" hidden="1">
      <c r="A161" t="s">
        <v>350</v>
      </c>
      <c r="B161" t="s">
        <v>351</v>
      </c>
      <c r="C161" s="94">
        <v>1</v>
      </c>
      <c r="D161" s="175">
        <v>0.69</v>
      </c>
      <c r="E161" s="175">
        <v>0.31</v>
      </c>
      <c r="F161" s="211">
        <v>158.51349999999999</v>
      </c>
      <c r="G161" s="211">
        <v>60.195999999999998</v>
      </c>
      <c r="H161" s="90">
        <f>C161*D161*F161+E161*G161</f>
        <v>128.03507499999998</v>
      </c>
    </row>
    <row r="162" spans="1:8" hidden="1">
      <c r="A162" t="s">
        <v>172</v>
      </c>
      <c r="B162" t="s">
        <v>189</v>
      </c>
      <c r="C162" s="94">
        <v>1</v>
      </c>
      <c r="D162" s="175">
        <v>1</v>
      </c>
      <c r="E162" s="175">
        <v>0</v>
      </c>
      <c r="F162" s="211">
        <v>164.47130000000001</v>
      </c>
      <c r="G162" s="211">
        <v>72.944400000000002</v>
      </c>
      <c r="H162" s="90">
        <f>C162*D162*F162+E162*G162</f>
        <v>164.47130000000001</v>
      </c>
    </row>
    <row r="163" spans="1:8" hidden="1">
      <c r="C163" s="173"/>
      <c r="D163" s="173"/>
      <c r="E163" s="173"/>
      <c r="F163" s="173"/>
      <c r="G163" s="172" t="s">
        <v>160</v>
      </c>
      <c r="H163" s="92">
        <f>SUM(H160:H162)</f>
        <v>396.477755</v>
      </c>
    </row>
    <row r="164" spans="1:8" hidden="1">
      <c r="C164" s="173"/>
      <c r="D164" s="173"/>
      <c r="E164" s="173"/>
      <c r="F164" s="173"/>
      <c r="G164" s="173"/>
    </row>
    <row r="165" spans="1:8" hidden="1">
      <c r="A165" s="26" t="s">
        <v>146</v>
      </c>
      <c r="B165" s="26"/>
      <c r="C165" s="168" t="s">
        <v>4</v>
      </c>
      <c r="D165" s="168" t="s">
        <v>3</v>
      </c>
      <c r="E165" s="839" t="s">
        <v>145</v>
      </c>
      <c r="F165" s="839"/>
      <c r="G165" s="839" t="s">
        <v>147</v>
      </c>
      <c r="H165" s="839"/>
    </row>
    <row r="166" spans="1:8" hidden="1">
      <c r="A166" t="s">
        <v>148</v>
      </c>
      <c r="B166" t="s">
        <v>149</v>
      </c>
      <c r="C166" s="94">
        <v>8</v>
      </c>
      <c r="D166" s="173" t="s">
        <v>150</v>
      </c>
      <c r="E166" s="861">
        <v>17.998999999999999</v>
      </c>
      <c r="F166" s="861"/>
      <c r="G166" s="859">
        <f>C166*E166</f>
        <v>143.99199999999999</v>
      </c>
      <c r="H166" s="859"/>
    </row>
    <row r="167" spans="1:8" hidden="1">
      <c r="C167" s="173"/>
      <c r="D167" s="173"/>
      <c r="E167" s="173"/>
      <c r="F167" s="172" t="s">
        <v>158</v>
      </c>
      <c r="G167" s="859">
        <f>SUM(G166)</f>
        <v>143.99199999999999</v>
      </c>
      <c r="H167" s="859"/>
    </row>
    <row r="168" spans="1:8" hidden="1">
      <c r="A168" s="11"/>
      <c r="B168" s="11"/>
      <c r="C168" s="13"/>
      <c r="D168" s="13"/>
      <c r="E168" s="13"/>
      <c r="F168" s="169" t="s">
        <v>159</v>
      </c>
      <c r="G168" s="842">
        <f>G167+H163</f>
        <v>540.46975499999996</v>
      </c>
      <c r="H168" s="843"/>
    </row>
    <row r="169" spans="1:8" hidden="1">
      <c r="C169" s="173"/>
      <c r="D169" s="173"/>
      <c r="E169" s="173"/>
      <c r="F169" s="172" t="s">
        <v>169</v>
      </c>
      <c r="G169" s="171"/>
      <c r="H169" s="170">
        <f>G168/F156</f>
        <v>6.3840037207654143</v>
      </c>
    </row>
    <row r="170" spans="1:8" hidden="1">
      <c r="C170" s="173"/>
      <c r="D170" s="173"/>
      <c r="E170" s="173"/>
      <c r="F170" s="172" t="s">
        <v>173</v>
      </c>
      <c r="G170" s="171"/>
      <c r="H170" s="170">
        <v>4.19E-2</v>
      </c>
    </row>
    <row r="171" spans="1:8" hidden="1">
      <c r="C171" s="173"/>
      <c r="D171" s="173"/>
      <c r="E171" s="173"/>
      <c r="F171" s="173"/>
      <c r="G171" s="173"/>
    </row>
    <row r="172" spans="1:8" hidden="1">
      <c r="A172" s="26" t="s">
        <v>156</v>
      </c>
      <c r="B172" s="26"/>
      <c r="C172" s="168" t="s">
        <v>4</v>
      </c>
      <c r="D172" s="168" t="s">
        <v>3</v>
      </c>
      <c r="E172" s="839" t="s">
        <v>145</v>
      </c>
      <c r="F172" s="839"/>
      <c r="G172" s="839" t="s">
        <v>147</v>
      </c>
      <c r="H172" s="839"/>
    </row>
    <row r="173" spans="1:8" hidden="1">
      <c r="C173" s="173"/>
      <c r="D173" s="173"/>
      <c r="E173" s="173"/>
      <c r="F173" s="172" t="s">
        <v>157</v>
      </c>
      <c r="G173" s="860"/>
      <c r="H173" s="838"/>
    </row>
    <row r="174" spans="1:8" hidden="1">
      <c r="C174" s="173"/>
      <c r="D174" s="173"/>
      <c r="E174" s="173"/>
      <c r="F174" s="173"/>
      <c r="G174" s="173"/>
    </row>
    <row r="175" spans="1:8" hidden="1">
      <c r="A175" s="26" t="s">
        <v>161</v>
      </c>
      <c r="B175" s="26"/>
      <c r="C175" s="168" t="s">
        <v>4</v>
      </c>
      <c r="D175" s="168" t="s">
        <v>3</v>
      </c>
      <c r="E175" s="839" t="s">
        <v>145</v>
      </c>
      <c r="F175" s="839"/>
      <c r="G175" s="839" t="s">
        <v>147</v>
      </c>
      <c r="H175" s="839"/>
    </row>
    <row r="176" spans="1:8" hidden="1">
      <c r="A176">
        <v>6416213</v>
      </c>
      <c r="B176" t="s">
        <v>348</v>
      </c>
      <c r="C176" s="173">
        <v>1.02</v>
      </c>
      <c r="D176" s="173" t="s">
        <v>136</v>
      </c>
      <c r="E176" s="861" t="e">
        <f>H154</f>
        <v>#REF!</v>
      </c>
      <c r="F176" s="855"/>
      <c r="G176" s="859" t="e">
        <f>C176*E176</f>
        <v>#REF!</v>
      </c>
      <c r="H176" s="859"/>
    </row>
    <row r="177" spans="1:8" hidden="1">
      <c r="C177" s="173"/>
      <c r="D177" s="173"/>
      <c r="E177" s="173"/>
      <c r="F177" s="172" t="s">
        <v>162</v>
      </c>
      <c r="G177" s="859" t="e">
        <f>SUM(G176)</f>
        <v>#REF!</v>
      </c>
      <c r="H177" s="859"/>
    </row>
    <row r="178" spans="1:8" hidden="1">
      <c r="C178" s="173"/>
      <c r="D178" s="173"/>
      <c r="E178" s="173"/>
      <c r="F178" s="173"/>
      <c r="G178" s="173" t="s">
        <v>168</v>
      </c>
      <c r="H178" s="92" t="e">
        <f>G177+H170+H169</f>
        <v>#REF!</v>
      </c>
    </row>
    <row r="179" spans="1:8" hidden="1">
      <c r="A179" s="26" t="s">
        <v>163</v>
      </c>
      <c r="B179" s="26"/>
      <c r="C179" s="168" t="s">
        <v>164</v>
      </c>
      <c r="D179" s="168" t="s">
        <v>4</v>
      </c>
      <c r="E179" s="168" t="s">
        <v>3</v>
      </c>
      <c r="F179" s="839" t="s">
        <v>165</v>
      </c>
      <c r="G179" s="839"/>
      <c r="H179" s="26" t="s">
        <v>165</v>
      </c>
    </row>
    <row r="180" spans="1:8" ht="30" hidden="1">
      <c r="A180" s="97">
        <v>6416213</v>
      </c>
      <c r="B180" s="100" t="s">
        <v>352</v>
      </c>
      <c r="C180" s="214">
        <v>5914646</v>
      </c>
      <c r="D180" s="174">
        <v>1.02</v>
      </c>
      <c r="E180" s="174" t="s">
        <v>136</v>
      </c>
      <c r="F180" s="837">
        <v>4.3499999999999996</v>
      </c>
      <c r="G180" s="837"/>
      <c r="H180" s="101">
        <f>D180*F180</f>
        <v>4.4369999999999994</v>
      </c>
    </row>
    <row r="181" spans="1:8" hidden="1">
      <c r="C181" s="173"/>
      <c r="D181" s="173"/>
      <c r="E181" s="173"/>
      <c r="F181" s="173"/>
      <c r="G181" s="172" t="s">
        <v>166</v>
      </c>
      <c r="H181" s="90">
        <f>SUM(H180:H180)</f>
        <v>4.4369999999999994</v>
      </c>
    </row>
    <row r="182" spans="1:8" hidden="1">
      <c r="A182" s="846" t="s">
        <v>242</v>
      </c>
      <c r="B182" s="846"/>
      <c r="C182" s="848" t="s">
        <v>4</v>
      </c>
      <c r="D182" s="848" t="s">
        <v>3</v>
      </c>
      <c r="E182" s="839" t="s">
        <v>243</v>
      </c>
      <c r="F182" s="839"/>
      <c r="G182" s="839"/>
      <c r="H182" s="850" t="s">
        <v>165</v>
      </c>
    </row>
    <row r="183" spans="1:8" hidden="1">
      <c r="A183" s="847"/>
      <c r="B183" s="847"/>
      <c r="C183" s="849"/>
      <c r="D183" s="849"/>
      <c r="E183" s="13" t="s">
        <v>244</v>
      </c>
      <c r="F183" s="13" t="s">
        <v>245</v>
      </c>
      <c r="G183" s="13" t="s">
        <v>246</v>
      </c>
      <c r="H183" s="851"/>
    </row>
    <row r="184" spans="1:8" ht="30" hidden="1">
      <c r="A184" s="97">
        <v>6416213</v>
      </c>
      <c r="B184" s="100" t="s">
        <v>352</v>
      </c>
      <c r="C184" s="178">
        <v>1.02</v>
      </c>
      <c r="D184" s="174" t="s">
        <v>247</v>
      </c>
      <c r="E184" s="848"/>
      <c r="F184" s="848"/>
      <c r="G184" s="174"/>
      <c r="H184" s="184">
        <f>C184*G184/2.5*30</f>
        <v>0</v>
      </c>
    </row>
    <row r="185" spans="1:8" hidden="1">
      <c r="A185" s="11"/>
      <c r="B185" s="11"/>
      <c r="C185" s="13"/>
      <c r="D185" s="13"/>
      <c r="E185" s="13"/>
      <c r="F185" s="13"/>
      <c r="G185" s="169" t="s">
        <v>248</v>
      </c>
      <c r="H185" s="181">
        <f>SUM(H184:H184)</f>
        <v>0</v>
      </c>
    </row>
    <row r="186" spans="1:8" hidden="1">
      <c r="A186" s="11"/>
      <c r="B186" s="11"/>
      <c r="C186" s="13"/>
      <c r="D186" s="13"/>
      <c r="E186" s="13"/>
      <c r="F186" s="13"/>
      <c r="G186" s="169" t="s">
        <v>167</v>
      </c>
      <c r="H186" s="179" t="e">
        <f>H181+H178+H185</f>
        <v>#REF!</v>
      </c>
    </row>
    <row r="187" spans="1:8" hidden="1">
      <c r="C187" s="173"/>
      <c r="D187" s="173"/>
      <c r="E187" s="173"/>
      <c r="F187" s="173"/>
      <c r="G187" s="173"/>
    </row>
    <row r="188" spans="1:8" hidden="1">
      <c r="C188" s="173"/>
      <c r="D188" s="173"/>
      <c r="E188" s="173"/>
      <c r="F188" s="173"/>
      <c r="G188" s="172" t="s">
        <v>167</v>
      </c>
      <c r="H188" s="89" t="e">
        <f>ROUNDUP(H186,2)</f>
        <v>#REF!</v>
      </c>
    </row>
    <row r="189" spans="1:8" hidden="1">
      <c r="C189" s="173"/>
      <c r="D189" s="173"/>
      <c r="E189" s="173"/>
      <c r="F189" s="173"/>
      <c r="G189" s="173"/>
    </row>
    <row r="190" spans="1:8" hidden="1">
      <c r="C190" s="173"/>
      <c r="D190" s="173"/>
      <c r="E190" s="173"/>
      <c r="F190" s="173"/>
      <c r="G190" s="173"/>
    </row>
    <row r="191" spans="1:8" hidden="1">
      <c r="C191" s="173"/>
      <c r="D191" s="173"/>
      <c r="E191" s="173"/>
      <c r="F191" s="173"/>
      <c r="G191" s="173"/>
    </row>
    <row r="192" spans="1:8" hidden="1"/>
  </sheetData>
  <mergeCells count="167">
    <mergeCell ref="A33:B34"/>
    <mergeCell ref="C33:C34"/>
    <mergeCell ref="D33:D34"/>
    <mergeCell ref="E33:G33"/>
    <mergeCell ref="H33:H34"/>
    <mergeCell ref="E35:F35"/>
    <mergeCell ref="E9:F9"/>
    <mergeCell ref="G9:H9"/>
    <mergeCell ref="E18:F18"/>
    <mergeCell ref="G18:H18"/>
    <mergeCell ref="E19:F19"/>
    <mergeCell ref="G19:H19"/>
    <mergeCell ref="E23:F23"/>
    <mergeCell ref="F28:G28"/>
    <mergeCell ref="F29:G29"/>
    <mergeCell ref="F30:G30"/>
    <mergeCell ref="F31:G31"/>
    <mergeCell ref="C84:C85"/>
    <mergeCell ref="D84:E84"/>
    <mergeCell ref="F84:G84"/>
    <mergeCell ref="H84:H85"/>
    <mergeCell ref="E90:F90"/>
    <mergeCell ref="G90:H90"/>
    <mergeCell ref="E91:F91"/>
    <mergeCell ref="G91:H91"/>
    <mergeCell ref="E109:F109"/>
    <mergeCell ref="E100:F100"/>
    <mergeCell ref="G100:H100"/>
    <mergeCell ref="C107:C108"/>
    <mergeCell ref="D107:D108"/>
    <mergeCell ref="E107:G107"/>
    <mergeCell ref="H107:H108"/>
    <mergeCell ref="E97:F97"/>
    <mergeCell ref="G97:H97"/>
    <mergeCell ref="G101:H101"/>
    <mergeCell ref="G102:H102"/>
    <mergeCell ref="H182:H183"/>
    <mergeCell ref="E184:F184"/>
    <mergeCell ref="E152:F152"/>
    <mergeCell ref="D146:D147"/>
    <mergeCell ref="C146:C147"/>
    <mergeCell ref="A146:B147"/>
    <mergeCell ref="E146:G146"/>
    <mergeCell ref="E148:F151"/>
    <mergeCell ref="A182:B183"/>
    <mergeCell ref="C182:C183"/>
    <mergeCell ref="D182:D183"/>
    <mergeCell ref="E182:G182"/>
    <mergeCell ref="G168:H168"/>
    <mergeCell ref="E172:F172"/>
    <mergeCell ref="G172:H172"/>
    <mergeCell ref="E175:F175"/>
    <mergeCell ref="E176:F176"/>
    <mergeCell ref="G176:H176"/>
    <mergeCell ref="F179:G179"/>
    <mergeCell ref="F180:G180"/>
    <mergeCell ref="A158:B159"/>
    <mergeCell ref="C158:C159"/>
    <mergeCell ref="G130:H130"/>
    <mergeCell ref="G131:H131"/>
    <mergeCell ref="G132:H132"/>
    <mergeCell ref="G135:H135"/>
    <mergeCell ref="E130:F130"/>
    <mergeCell ref="E131:F131"/>
    <mergeCell ref="E135:F135"/>
    <mergeCell ref="E132:F132"/>
    <mergeCell ref="E133:F133"/>
    <mergeCell ref="G133:H133"/>
    <mergeCell ref="E134:F134"/>
    <mergeCell ref="G134:H134"/>
    <mergeCell ref="E136:F136"/>
    <mergeCell ref="G137:H137"/>
    <mergeCell ref="F142:G142"/>
    <mergeCell ref="F143:G143"/>
    <mergeCell ref="F144:G144"/>
    <mergeCell ref="H146:H147"/>
    <mergeCell ref="G175:H175"/>
    <mergeCell ref="G177:H177"/>
    <mergeCell ref="G173:H173"/>
    <mergeCell ref="D158:E158"/>
    <mergeCell ref="F158:G158"/>
    <mergeCell ref="H158:H159"/>
    <mergeCell ref="E166:F166"/>
    <mergeCell ref="G166:H166"/>
    <mergeCell ref="G167:H167"/>
    <mergeCell ref="E165:F165"/>
    <mergeCell ref="G165:H165"/>
    <mergeCell ref="G136:H136"/>
    <mergeCell ref="F139:G139"/>
    <mergeCell ref="F140:G140"/>
    <mergeCell ref="F141:G141"/>
    <mergeCell ref="G126:H126"/>
    <mergeCell ref="E129:F129"/>
    <mergeCell ref="G129:H129"/>
    <mergeCell ref="H115:H116"/>
    <mergeCell ref="E123:F123"/>
    <mergeCell ref="G123:H123"/>
    <mergeCell ref="E124:F124"/>
    <mergeCell ref="G124:H124"/>
    <mergeCell ref="G125:H125"/>
    <mergeCell ref="A115:B116"/>
    <mergeCell ref="C115:C116"/>
    <mergeCell ref="D115:E115"/>
    <mergeCell ref="F115:G115"/>
    <mergeCell ref="G98:H98"/>
    <mergeCell ref="F104:G104"/>
    <mergeCell ref="F105:G105"/>
    <mergeCell ref="G92:H92"/>
    <mergeCell ref="G93:H93"/>
    <mergeCell ref="E96:F96"/>
    <mergeCell ref="G96:H96"/>
    <mergeCell ref="A107:B108"/>
    <mergeCell ref="A84:B85"/>
    <mergeCell ref="A4:B5"/>
    <mergeCell ref="C4:C5"/>
    <mergeCell ref="D4:E4"/>
    <mergeCell ref="F4:G4"/>
    <mergeCell ref="H4:H5"/>
    <mergeCell ref="E8:F8"/>
    <mergeCell ref="G8:H8"/>
    <mergeCell ref="E10:F10"/>
    <mergeCell ref="G11:H11"/>
    <mergeCell ref="G12:H12"/>
    <mergeCell ref="E15:F15"/>
    <mergeCell ref="G15:H15"/>
    <mergeCell ref="E16:F16"/>
    <mergeCell ref="G16:H16"/>
    <mergeCell ref="E17:F17"/>
    <mergeCell ref="G17:H17"/>
    <mergeCell ref="G20:H20"/>
    <mergeCell ref="E22:F22"/>
    <mergeCell ref="G22:H22"/>
    <mergeCell ref="G10:H10"/>
    <mergeCell ref="G24:H24"/>
    <mergeCell ref="G25:H25"/>
    <mergeCell ref="F27:G27"/>
    <mergeCell ref="A69:B70"/>
    <mergeCell ref="C69:C70"/>
    <mergeCell ref="D69:D70"/>
    <mergeCell ref="E69:G69"/>
    <mergeCell ref="H69:H70"/>
    <mergeCell ref="A44:B45"/>
    <mergeCell ref="C44:C45"/>
    <mergeCell ref="D44:E44"/>
    <mergeCell ref="F44:G44"/>
    <mergeCell ref="H44:H45"/>
    <mergeCell ref="E50:F50"/>
    <mergeCell ref="G50:H50"/>
    <mergeCell ref="G51:H51"/>
    <mergeCell ref="E51:F51"/>
    <mergeCell ref="E71:F71"/>
    <mergeCell ref="F66:G66"/>
    <mergeCell ref="G52:H52"/>
    <mergeCell ref="E56:F56"/>
    <mergeCell ref="G56:H56"/>
    <mergeCell ref="G59:H59"/>
    <mergeCell ref="E61:F61"/>
    <mergeCell ref="G61:H61"/>
    <mergeCell ref="G62:H62"/>
    <mergeCell ref="F65:G65"/>
    <mergeCell ref="G63:H63"/>
    <mergeCell ref="F67:G67"/>
    <mergeCell ref="G53:H53"/>
    <mergeCell ref="E57:F57"/>
    <mergeCell ref="G57:H57"/>
    <mergeCell ref="E58:F58"/>
    <mergeCell ref="G58:H58"/>
  </mergeCells>
  <printOptions horizontalCentered="1"/>
  <pageMargins left="0.51181102362204722" right="0.51181102362204722" top="0.78740157480314965" bottom="0.59055118110236227" header="0.31496062992125984" footer="0.31496062992125984"/>
  <pageSetup paperSize="9" scale="80" orientation="landscape" r:id="rId1"/>
  <rowBreaks count="3" manualBreakCount="3">
    <brk id="80" max="7" man="1"/>
    <brk id="111" max="7" man="1"/>
    <brk id="154" max="7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0"/>
  <sheetViews>
    <sheetView showGridLines="0" view="pageBreakPreview" zoomScaleNormal="85" zoomScaleSheetLayoutView="100" workbookViewId="0">
      <pane ySplit="1" topLeftCell="A2" activePane="bottomLeft" state="frozen"/>
      <selection activeCell="A10" sqref="A10:M10"/>
      <selection pane="bottomLeft" activeCell="A10" sqref="A10:M10"/>
    </sheetView>
  </sheetViews>
  <sheetFormatPr defaultColWidth="9.140625" defaultRowHeight="15"/>
  <cols>
    <col min="1" max="1" width="26.42578125" style="28" customWidth="1"/>
    <col min="2" max="5" width="25.140625" style="28" customWidth="1"/>
    <col min="6" max="6" width="25.140625" style="526" customWidth="1"/>
    <col min="7" max="16384" width="9.140625" style="28"/>
  </cols>
  <sheetData>
    <row r="1" spans="1:7" ht="38.25" customHeight="1">
      <c r="A1" s="875"/>
      <c r="B1" s="875" t="s">
        <v>418</v>
      </c>
      <c r="C1" s="875"/>
      <c r="D1" s="875"/>
      <c r="E1" s="875"/>
      <c r="F1" s="875"/>
    </row>
    <row r="2" spans="1:7">
      <c r="A2" s="875"/>
      <c r="B2" s="876" t="str">
        <f>PAVIM.!$G$2</f>
        <v>PREFEITURA MUNICIPAL DE MARACAJÁ</v>
      </c>
      <c r="C2" s="876"/>
      <c r="D2" s="876" t="str">
        <f>PAVIM.!$I$2</f>
        <v>BAIRRO: ESPIGÃO DA TOCA</v>
      </c>
      <c r="E2" s="876"/>
      <c r="F2" s="520" t="str">
        <f>PAVIM.!M2</f>
        <v>ESTADO: SANTA CATARINA</v>
      </c>
    </row>
    <row r="3" spans="1:7">
      <c r="A3" s="875"/>
      <c r="B3" s="876" t="str">
        <f>PAVIM.!$G$3</f>
        <v>RODOVIA ANGELINO ACORDI</v>
      </c>
      <c r="C3" s="876"/>
      <c r="D3" s="877" t="str">
        <f>PAVIM.!$K$2</f>
        <v>MUNICIPIO: MARACAJÁ</v>
      </c>
      <c r="E3" s="876"/>
      <c r="F3" s="381" t="str">
        <f ca="1">PAVIM.!M3</f>
        <v>DATA: 08/10/26</v>
      </c>
    </row>
    <row r="4" spans="1:7" ht="12.75" customHeight="1">
      <c r="A4" s="347"/>
      <c r="B4" s="383"/>
      <c r="C4" s="383"/>
      <c r="D4" s="383"/>
      <c r="E4" s="383"/>
      <c r="F4" s="384"/>
    </row>
    <row r="5" spans="1:7" hidden="1">
      <c r="A5" s="517" t="s">
        <v>113</v>
      </c>
      <c r="B5" s="518" t="s">
        <v>458</v>
      </c>
      <c r="C5" s="518"/>
      <c r="D5" s="518"/>
      <c r="E5" s="518"/>
      <c r="F5" s="462" t="s">
        <v>459</v>
      </c>
    </row>
    <row r="6" spans="1:7" ht="30" hidden="1">
      <c r="A6" s="499" t="s">
        <v>114</v>
      </c>
      <c r="B6" s="499" t="s">
        <v>115</v>
      </c>
      <c r="C6" s="499" t="s">
        <v>116</v>
      </c>
      <c r="D6" s="499" t="s">
        <v>117</v>
      </c>
      <c r="E6" s="499" t="s">
        <v>118</v>
      </c>
      <c r="F6" s="499" t="s">
        <v>327</v>
      </c>
    </row>
    <row r="7" spans="1:7" ht="15" hidden="1" customHeight="1">
      <c r="A7" s="236" t="s">
        <v>460</v>
      </c>
      <c r="B7" s="236" t="s">
        <v>461</v>
      </c>
      <c r="C7" s="235">
        <v>45149</v>
      </c>
      <c r="D7" s="236" t="s">
        <v>462</v>
      </c>
      <c r="E7" s="236" t="s">
        <v>463</v>
      </c>
      <c r="F7" s="500"/>
      <c r="G7" s="475"/>
    </row>
    <row r="8" spans="1:7" hidden="1">
      <c r="A8" s="236" t="s">
        <v>464</v>
      </c>
      <c r="B8" s="236" t="s">
        <v>465</v>
      </c>
      <c r="C8" s="235">
        <v>45149</v>
      </c>
      <c r="D8" s="236" t="s">
        <v>466</v>
      </c>
      <c r="E8" s="236" t="s">
        <v>467</v>
      </c>
      <c r="F8" s="519">
        <v>49.22</v>
      </c>
    </row>
    <row r="9" spans="1:7" ht="15" hidden="1" customHeight="1">
      <c r="A9" s="236" t="s">
        <v>468</v>
      </c>
      <c r="B9" s="236" t="s">
        <v>469</v>
      </c>
      <c r="C9" s="235">
        <v>45149</v>
      </c>
      <c r="D9" s="236" t="s">
        <v>470</v>
      </c>
      <c r="E9" s="236" t="s">
        <v>471</v>
      </c>
      <c r="F9" s="519">
        <v>40</v>
      </c>
    </row>
    <row r="10" spans="1:7" hidden="1">
      <c r="A10" s="236" t="s">
        <v>472</v>
      </c>
      <c r="B10" s="236" t="s">
        <v>473</v>
      </c>
      <c r="C10" s="235">
        <v>45149</v>
      </c>
      <c r="D10" s="236" t="s">
        <v>474</v>
      </c>
      <c r="E10" s="236" t="s">
        <v>475</v>
      </c>
      <c r="F10" s="519">
        <v>56</v>
      </c>
    </row>
    <row r="11" spans="1:7" hidden="1">
      <c r="A11" s="236" t="s">
        <v>476</v>
      </c>
      <c r="B11" s="236" t="s">
        <v>477</v>
      </c>
      <c r="C11" s="235">
        <v>45149</v>
      </c>
      <c r="D11" s="236" t="s">
        <v>478</v>
      </c>
      <c r="E11" s="236" t="s">
        <v>479</v>
      </c>
      <c r="F11" s="519">
        <v>62</v>
      </c>
    </row>
    <row r="12" spans="1:7" hidden="1">
      <c r="A12" s="476" t="s">
        <v>119</v>
      </c>
      <c r="B12" s="299">
        <v>45149</v>
      </c>
      <c r="C12" s="477"/>
      <c r="D12" s="872" t="s">
        <v>415</v>
      </c>
      <c r="E12" s="872"/>
      <c r="F12" s="501">
        <f>TRUNC(MEDIAN(F7:F11),2)</f>
        <v>52.61</v>
      </c>
    </row>
    <row r="13" spans="1:7" hidden="1">
      <c r="A13" s="478"/>
      <c r="B13" s="362"/>
      <c r="C13" s="362"/>
      <c r="D13" s="362"/>
      <c r="E13" s="362"/>
      <c r="F13" s="521"/>
      <c r="G13" s="479"/>
    </row>
    <row r="14" spans="1:7" hidden="1">
      <c r="A14" s="502" t="s">
        <v>113</v>
      </c>
      <c r="B14" s="461" t="s">
        <v>480</v>
      </c>
      <c r="C14" s="461"/>
      <c r="D14" s="461"/>
      <c r="E14" s="461"/>
      <c r="F14" s="462" t="s">
        <v>459</v>
      </c>
      <c r="G14" s="479"/>
    </row>
    <row r="15" spans="1:7" ht="30" hidden="1">
      <c r="A15" s="499" t="s">
        <v>114</v>
      </c>
      <c r="B15" s="499" t="s">
        <v>115</v>
      </c>
      <c r="C15" s="499" t="s">
        <v>116</v>
      </c>
      <c r="D15" s="499" t="s">
        <v>117</v>
      </c>
      <c r="E15" s="499" t="s">
        <v>118</v>
      </c>
      <c r="F15" s="499" t="s">
        <v>327</v>
      </c>
      <c r="G15" s="479"/>
    </row>
    <row r="16" spans="1:7" hidden="1">
      <c r="A16" s="236" t="s">
        <v>460</v>
      </c>
      <c r="B16" s="236" t="s">
        <v>461</v>
      </c>
      <c r="C16" s="235">
        <v>45149</v>
      </c>
      <c r="D16" s="236" t="s">
        <v>462</v>
      </c>
      <c r="E16" s="236" t="s">
        <v>463</v>
      </c>
      <c r="F16" s="500"/>
    </row>
    <row r="17" spans="1:7" hidden="1">
      <c r="A17" s="236" t="s">
        <v>464</v>
      </c>
      <c r="B17" s="236" t="s">
        <v>465</v>
      </c>
      <c r="C17" s="235">
        <v>45149</v>
      </c>
      <c r="D17" s="236" t="s">
        <v>466</v>
      </c>
      <c r="E17" s="236" t="s">
        <v>467</v>
      </c>
      <c r="F17" s="519">
        <v>71.83</v>
      </c>
    </row>
    <row r="18" spans="1:7" hidden="1">
      <c r="A18" s="236" t="s">
        <v>468</v>
      </c>
      <c r="B18" s="236" t="s">
        <v>469</v>
      </c>
      <c r="C18" s="235">
        <v>45149</v>
      </c>
      <c r="D18" s="236" t="s">
        <v>470</v>
      </c>
      <c r="E18" s="236" t="s">
        <v>471</v>
      </c>
      <c r="F18" s="519">
        <v>55</v>
      </c>
    </row>
    <row r="19" spans="1:7" hidden="1">
      <c r="A19" s="236" t="s">
        <v>472</v>
      </c>
      <c r="B19" s="236" t="s">
        <v>473</v>
      </c>
      <c r="C19" s="235">
        <v>45149</v>
      </c>
      <c r="D19" s="236" t="s">
        <v>474</v>
      </c>
      <c r="E19" s="236" t="s">
        <v>475</v>
      </c>
      <c r="F19" s="519">
        <v>86</v>
      </c>
    </row>
    <row r="20" spans="1:7" hidden="1">
      <c r="A20" s="236" t="s">
        <v>481</v>
      </c>
      <c r="B20" s="236" t="s">
        <v>477</v>
      </c>
      <c r="C20" s="235">
        <v>45149</v>
      </c>
      <c r="D20" s="236" t="s">
        <v>478</v>
      </c>
      <c r="E20" s="236" t="s">
        <v>479</v>
      </c>
      <c r="F20" s="519">
        <v>90</v>
      </c>
    </row>
    <row r="21" spans="1:7" hidden="1">
      <c r="A21" s="480" t="s">
        <v>119</v>
      </c>
      <c r="B21" s="299">
        <v>45149</v>
      </c>
      <c r="C21" s="481"/>
      <c r="D21" s="872" t="s">
        <v>415</v>
      </c>
      <c r="E21" s="872"/>
      <c r="F21" s="501">
        <f>TRUNC(MEDIAN(F16:F20),2)</f>
        <v>78.91</v>
      </c>
    </row>
    <row r="22" spans="1:7" hidden="1">
      <c r="A22" s="482"/>
      <c r="B22" s="483"/>
      <c r="C22" s="483"/>
      <c r="D22" s="483"/>
      <c r="E22" s="483"/>
      <c r="F22" s="522"/>
      <c r="G22" s="479"/>
    </row>
    <row r="23" spans="1:7" hidden="1">
      <c r="A23" s="502" t="s">
        <v>113</v>
      </c>
      <c r="B23" s="461" t="s">
        <v>482</v>
      </c>
      <c r="C23" s="461"/>
      <c r="D23" s="461"/>
      <c r="E23" s="461"/>
      <c r="F23" s="462" t="s">
        <v>459</v>
      </c>
      <c r="G23" s="479"/>
    </row>
    <row r="24" spans="1:7" ht="30" hidden="1">
      <c r="A24" s="499" t="s">
        <v>114</v>
      </c>
      <c r="B24" s="499" t="s">
        <v>115</v>
      </c>
      <c r="C24" s="499" t="s">
        <v>116</v>
      </c>
      <c r="D24" s="499" t="s">
        <v>117</v>
      </c>
      <c r="E24" s="499" t="s">
        <v>118</v>
      </c>
      <c r="F24" s="464" t="s">
        <v>327</v>
      </c>
      <c r="G24" s="479"/>
    </row>
    <row r="25" spans="1:7" hidden="1">
      <c r="A25" s="236" t="s">
        <v>460</v>
      </c>
      <c r="B25" s="236" t="s">
        <v>461</v>
      </c>
      <c r="C25" s="235">
        <v>45149</v>
      </c>
      <c r="D25" s="236" t="s">
        <v>462</v>
      </c>
      <c r="E25" s="236" t="s">
        <v>463</v>
      </c>
      <c r="F25" s="500"/>
    </row>
    <row r="26" spans="1:7" hidden="1">
      <c r="A26" s="236" t="s">
        <v>464</v>
      </c>
      <c r="B26" s="236" t="s">
        <v>465</v>
      </c>
      <c r="C26" s="235">
        <v>45149</v>
      </c>
      <c r="D26" s="236" t="s">
        <v>466</v>
      </c>
      <c r="E26" s="236" t="s">
        <v>467</v>
      </c>
      <c r="F26" s="500"/>
    </row>
    <row r="27" spans="1:7" hidden="1">
      <c r="A27" s="236" t="s">
        <v>468</v>
      </c>
      <c r="B27" s="236" t="s">
        <v>469</v>
      </c>
      <c r="C27" s="235">
        <v>45366</v>
      </c>
      <c r="D27" s="236" t="s">
        <v>470</v>
      </c>
      <c r="E27" s="236" t="s">
        <v>471</v>
      </c>
      <c r="F27" s="519">
        <v>150</v>
      </c>
    </row>
    <row r="28" spans="1:7" hidden="1">
      <c r="A28" s="236" t="s">
        <v>472</v>
      </c>
      <c r="B28" s="236" t="s">
        <v>473</v>
      </c>
      <c r="C28" s="235">
        <v>45366</v>
      </c>
      <c r="D28" s="236" t="s">
        <v>474</v>
      </c>
      <c r="E28" s="236" t="s">
        <v>475</v>
      </c>
      <c r="F28" s="519">
        <v>213</v>
      </c>
    </row>
    <row r="29" spans="1:7" hidden="1">
      <c r="A29" s="236" t="s">
        <v>481</v>
      </c>
      <c r="B29" s="236" t="s">
        <v>477</v>
      </c>
      <c r="C29" s="235">
        <v>45366</v>
      </c>
      <c r="D29" s="236" t="s">
        <v>478</v>
      </c>
      <c r="E29" s="236" t="s">
        <v>479</v>
      </c>
      <c r="F29" s="519">
        <v>180</v>
      </c>
    </row>
    <row r="30" spans="1:7" hidden="1">
      <c r="A30" s="480" t="s">
        <v>119</v>
      </c>
      <c r="B30" s="299">
        <v>45366</v>
      </c>
      <c r="C30" s="481"/>
      <c r="D30" s="872" t="s">
        <v>415</v>
      </c>
      <c r="E30" s="872"/>
      <c r="F30" s="523">
        <f>TRUNC(MEDIAN(F25:F29),2)</f>
        <v>180</v>
      </c>
    </row>
    <row r="31" spans="1:7" hidden="1">
      <c r="A31" s="482"/>
      <c r="B31" s="483"/>
      <c r="C31" s="483"/>
      <c r="D31" s="483"/>
      <c r="E31" s="483"/>
      <c r="F31" s="522"/>
    </row>
    <row r="32" spans="1:7" hidden="1">
      <c r="A32" s="502" t="s">
        <v>113</v>
      </c>
      <c r="B32" s="461" t="s">
        <v>483</v>
      </c>
      <c r="C32" s="461"/>
      <c r="D32" s="461"/>
      <c r="E32" s="461"/>
      <c r="F32" s="462" t="s">
        <v>459</v>
      </c>
      <c r="G32" s="479"/>
    </row>
    <row r="33" spans="1:9" ht="30" hidden="1">
      <c r="A33" s="499" t="s">
        <v>114</v>
      </c>
      <c r="B33" s="499" t="s">
        <v>115</v>
      </c>
      <c r="C33" s="499" t="s">
        <v>116</v>
      </c>
      <c r="D33" s="499" t="s">
        <v>117</v>
      </c>
      <c r="E33" s="499" t="s">
        <v>118</v>
      </c>
      <c r="F33" s="464" t="s">
        <v>327</v>
      </c>
      <c r="G33" s="479"/>
    </row>
    <row r="34" spans="1:9" hidden="1">
      <c r="A34" s="236" t="s">
        <v>460</v>
      </c>
      <c r="B34" s="236" t="s">
        <v>461</v>
      </c>
      <c r="C34" s="235">
        <v>45149</v>
      </c>
      <c r="D34" s="236" t="s">
        <v>462</v>
      </c>
      <c r="E34" s="236" t="s">
        <v>463</v>
      </c>
      <c r="F34" s="500"/>
    </row>
    <row r="35" spans="1:9" hidden="1">
      <c r="A35" s="236" t="s">
        <v>464</v>
      </c>
      <c r="B35" s="236" t="s">
        <v>465</v>
      </c>
      <c r="C35" s="235">
        <v>45149</v>
      </c>
      <c r="D35" s="236" t="s">
        <v>466</v>
      </c>
      <c r="E35" s="236" t="s">
        <v>467</v>
      </c>
      <c r="F35" s="519">
        <v>267.27</v>
      </c>
    </row>
    <row r="36" spans="1:9" hidden="1">
      <c r="A36" s="236" t="s">
        <v>468</v>
      </c>
      <c r="B36" s="236" t="s">
        <v>469</v>
      </c>
      <c r="C36" s="235">
        <v>45149</v>
      </c>
      <c r="D36" s="236" t="s">
        <v>470</v>
      </c>
      <c r="E36" s="236" t="s">
        <v>471</v>
      </c>
      <c r="F36" s="519">
        <v>225</v>
      </c>
    </row>
    <row r="37" spans="1:9" hidden="1">
      <c r="A37" s="236" t="s">
        <v>472</v>
      </c>
      <c r="B37" s="236" t="s">
        <v>473</v>
      </c>
      <c r="C37" s="235">
        <v>45149</v>
      </c>
      <c r="D37" s="236" t="s">
        <v>474</v>
      </c>
      <c r="E37" s="236" t="s">
        <v>475</v>
      </c>
      <c r="F37" s="519">
        <v>265</v>
      </c>
    </row>
    <row r="38" spans="1:9" hidden="1">
      <c r="A38" s="236" t="s">
        <v>481</v>
      </c>
      <c r="B38" s="236" t="s">
        <v>477</v>
      </c>
      <c r="C38" s="235">
        <v>45149</v>
      </c>
      <c r="D38" s="236" t="s">
        <v>478</v>
      </c>
      <c r="E38" s="236" t="s">
        <v>479</v>
      </c>
      <c r="F38" s="519">
        <v>280</v>
      </c>
    </row>
    <row r="39" spans="1:9" hidden="1">
      <c r="A39" s="480" t="s">
        <v>119</v>
      </c>
      <c r="B39" s="299">
        <v>45149</v>
      </c>
      <c r="C39" s="481"/>
      <c r="D39" s="872" t="s">
        <v>415</v>
      </c>
      <c r="E39" s="872"/>
      <c r="F39" s="501">
        <f>TRUNC(MEDIAN(F34:F38),2)</f>
        <v>266.13</v>
      </c>
    </row>
    <row r="40" spans="1:9" ht="15" hidden="1" customHeight="1">
      <c r="A40" s="482"/>
      <c r="B40" s="483"/>
      <c r="C40" s="483"/>
      <c r="D40" s="483"/>
      <c r="E40" s="483"/>
      <c r="F40" s="522"/>
    </row>
    <row r="41" spans="1:9" ht="15" hidden="1" customHeight="1">
      <c r="A41" s="502" t="s">
        <v>113</v>
      </c>
      <c r="B41" s="461" t="s">
        <v>484</v>
      </c>
      <c r="C41" s="461"/>
      <c r="D41" s="461"/>
      <c r="E41" s="504"/>
      <c r="F41" s="505" t="s">
        <v>459</v>
      </c>
    </row>
    <row r="42" spans="1:9" ht="15" hidden="1" customHeight="1">
      <c r="A42" s="463" t="s">
        <v>114</v>
      </c>
      <c r="B42" s="463" t="s">
        <v>115</v>
      </c>
      <c r="C42" s="463" t="s">
        <v>116</v>
      </c>
      <c r="D42" s="463" t="s">
        <v>117</v>
      </c>
      <c r="E42" s="463" t="s">
        <v>118</v>
      </c>
      <c r="F42" s="463" t="s">
        <v>327</v>
      </c>
    </row>
    <row r="43" spans="1:9" ht="15" hidden="1" customHeight="1">
      <c r="A43" s="236" t="s">
        <v>460</v>
      </c>
      <c r="B43" s="236" t="s">
        <v>461</v>
      </c>
      <c r="C43" s="235">
        <v>44503</v>
      </c>
      <c r="D43" s="236" t="s">
        <v>462</v>
      </c>
      <c r="E43" s="236" t="s">
        <v>463</v>
      </c>
      <c r="F43" s="500">
        <v>22.5</v>
      </c>
    </row>
    <row r="44" spans="1:9" ht="15" hidden="1" customHeight="1">
      <c r="A44" s="236" t="s">
        <v>464</v>
      </c>
      <c r="B44" s="236" t="s">
        <v>465</v>
      </c>
      <c r="C44" s="235">
        <v>44503</v>
      </c>
      <c r="D44" s="236" t="s">
        <v>466</v>
      </c>
      <c r="E44" s="236" t="s">
        <v>467</v>
      </c>
      <c r="F44" s="500">
        <v>27.84</v>
      </c>
    </row>
    <row r="45" spans="1:9" ht="15" hidden="1" customHeight="1">
      <c r="A45" s="236" t="s">
        <v>468</v>
      </c>
      <c r="B45" s="236" t="s">
        <v>469</v>
      </c>
      <c r="C45" s="235">
        <v>44503</v>
      </c>
      <c r="D45" s="236" t="s">
        <v>470</v>
      </c>
      <c r="E45" s="236" t="s">
        <v>471</v>
      </c>
      <c r="F45" s="500">
        <v>23</v>
      </c>
    </row>
    <row r="46" spans="1:9" ht="15" hidden="1" customHeight="1">
      <c r="A46" s="484" t="s">
        <v>119</v>
      </c>
      <c r="B46" s="485">
        <v>44503</v>
      </c>
      <c r="C46" s="486"/>
      <c r="D46" s="878" t="s">
        <v>415</v>
      </c>
      <c r="E46" s="872"/>
      <c r="F46" s="503">
        <f>MEDIAN(F43:F45)</f>
        <v>23</v>
      </c>
      <c r="G46" s="487"/>
      <c r="H46" s="487"/>
      <c r="I46" s="488"/>
    </row>
    <row r="47" spans="1:9" hidden="1">
      <c r="A47" s="482"/>
      <c r="B47" s="483"/>
      <c r="C47" s="483"/>
      <c r="D47" s="483"/>
      <c r="E47" s="483"/>
      <c r="F47" s="522"/>
    </row>
    <row r="48" spans="1:9" hidden="1">
      <c r="A48" s="502" t="s">
        <v>113</v>
      </c>
      <c r="B48" s="461" t="s">
        <v>485</v>
      </c>
      <c r="C48" s="461"/>
      <c r="D48" s="461"/>
      <c r="E48" s="461"/>
      <c r="F48" s="462" t="s">
        <v>459</v>
      </c>
      <c r="G48" s="479"/>
    </row>
    <row r="49" spans="1:7" ht="30" hidden="1">
      <c r="A49" s="499" t="s">
        <v>114</v>
      </c>
      <c r="B49" s="499" t="s">
        <v>115</v>
      </c>
      <c r="C49" s="499" t="s">
        <v>116</v>
      </c>
      <c r="D49" s="499" t="s">
        <v>117</v>
      </c>
      <c r="E49" s="499" t="s">
        <v>118</v>
      </c>
      <c r="F49" s="464" t="s">
        <v>327</v>
      </c>
      <c r="G49" s="479"/>
    </row>
    <row r="50" spans="1:7" hidden="1">
      <c r="A50" s="236" t="s">
        <v>460</v>
      </c>
      <c r="B50" s="236" t="s">
        <v>461</v>
      </c>
      <c r="C50" s="235">
        <v>45149</v>
      </c>
      <c r="D50" s="236" t="s">
        <v>462</v>
      </c>
      <c r="E50" s="236" t="s">
        <v>463</v>
      </c>
      <c r="F50" s="500"/>
    </row>
    <row r="51" spans="1:7" hidden="1">
      <c r="A51" s="236" t="s">
        <v>464</v>
      </c>
      <c r="B51" s="236" t="s">
        <v>465</v>
      </c>
      <c r="C51" s="235">
        <v>45149</v>
      </c>
      <c r="D51" s="236" t="s">
        <v>466</v>
      </c>
      <c r="E51" s="236" t="s">
        <v>467</v>
      </c>
      <c r="F51" s="519">
        <v>381.95</v>
      </c>
    </row>
    <row r="52" spans="1:7" hidden="1">
      <c r="A52" s="236" t="s">
        <v>468</v>
      </c>
      <c r="B52" s="236" t="s">
        <v>469</v>
      </c>
      <c r="C52" s="235">
        <v>45149</v>
      </c>
      <c r="D52" s="236" t="s">
        <v>470</v>
      </c>
      <c r="E52" s="236" t="s">
        <v>471</v>
      </c>
      <c r="F52" s="519">
        <v>285</v>
      </c>
    </row>
    <row r="53" spans="1:7" hidden="1">
      <c r="A53" s="236" t="s">
        <v>472</v>
      </c>
      <c r="B53" s="236" t="s">
        <v>473</v>
      </c>
      <c r="C53" s="235">
        <v>45149</v>
      </c>
      <c r="D53" s="236" t="s">
        <v>474</v>
      </c>
      <c r="E53" s="236" t="s">
        <v>475</v>
      </c>
      <c r="F53" s="519">
        <v>405</v>
      </c>
    </row>
    <row r="54" spans="1:7" hidden="1">
      <c r="A54" s="236" t="s">
        <v>481</v>
      </c>
      <c r="B54" s="236" t="s">
        <v>477</v>
      </c>
      <c r="C54" s="235">
        <v>45149</v>
      </c>
      <c r="D54" s="236" t="s">
        <v>478</v>
      </c>
      <c r="E54" s="236" t="s">
        <v>479</v>
      </c>
      <c r="F54" s="519">
        <v>380</v>
      </c>
    </row>
    <row r="55" spans="1:7" hidden="1">
      <c r="A55" s="480" t="s">
        <v>119</v>
      </c>
      <c r="B55" s="299">
        <v>45149</v>
      </c>
      <c r="C55" s="481"/>
      <c r="D55" s="872" t="s">
        <v>415</v>
      </c>
      <c r="E55" s="872"/>
      <c r="F55" s="501">
        <f>TRUNC(MEDIAN(F50:F54),2)</f>
        <v>380.97</v>
      </c>
    </row>
    <row r="56" spans="1:7" hidden="1">
      <c r="A56" s="489"/>
      <c r="B56" s="490"/>
      <c r="C56" s="491"/>
      <c r="D56" s="362"/>
      <c r="E56" s="362"/>
      <c r="F56" s="521"/>
    </row>
    <row r="57" spans="1:7" s="249" customFormat="1">
      <c r="A57" s="568" t="s">
        <v>113</v>
      </c>
      <c r="B57" s="569" t="s">
        <v>486</v>
      </c>
      <c r="C57" s="569"/>
      <c r="D57" s="569"/>
      <c r="E57" s="569"/>
      <c r="F57" s="570" t="s">
        <v>487</v>
      </c>
    </row>
    <row r="58" spans="1:7" s="249" customFormat="1" ht="30">
      <c r="A58" s="571" t="s">
        <v>114</v>
      </c>
      <c r="B58" s="571" t="s">
        <v>115</v>
      </c>
      <c r="C58" s="571" t="s">
        <v>116</v>
      </c>
      <c r="D58" s="571" t="s">
        <v>117</v>
      </c>
      <c r="E58" s="571" t="s">
        <v>118</v>
      </c>
      <c r="F58" s="464" t="s">
        <v>327</v>
      </c>
    </row>
    <row r="59" spans="1:7" s="249" customFormat="1">
      <c r="A59" s="572" t="s">
        <v>488</v>
      </c>
      <c r="B59" s="572" t="s">
        <v>489</v>
      </c>
      <c r="C59" s="573">
        <v>46127</v>
      </c>
      <c r="D59" s="572" t="s">
        <v>490</v>
      </c>
      <c r="E59" s="572" t="s">
        <v>491</v>
      </c>
      <c r="F59" s="519">
        <v>85</v>
      </c>
    </row>
    <row r="60" spans="1:7" s="249" customFormat="1" ht="15" hidden="1" customHeight="1">
      <c r="A60" s="572" t="s">
        <v>492</v>
      </c>
      <c r="B60" s="572" t="s">
        <v>493</v>
      </c>
      <c r="C60" s="573">
        <v>45823</v>
      </c>
      <c r="D60" s="572" t="s">
        <v>494</v>
      </c>
      <c r="E60" s="572" t="s">
        <v>495</v>
      </c>
      <c r="F60" s="500"/>
      <c r="G60" s="574"/>
    </row>
    <row r="61" spans="1:7" s="249" customFormat="1" ht="15" hidden="1" customHeight="1">
      <c r="A61" s="572" t="s">
        <v>496</v>
      </c>
      <c r="B61" s="572" t="s">
        <v>497</v>
      </c>
      <c r="C61" s="573">
        <v>45823</v>
      </c>
      <c r="D61" s="572" t="s">
        <v>498</v>
      </c>
      <c r="E61" s="572" t="s">
        <v>499</v>
      </c>
      <c r="F61" s="500"/>
    </row>
    <row r="62" spans="1:7" s="249" customFormat="1">
      <c r="A62" s="572" t="s">
        <v>500</v>
      </c>
      <c r="B62" s="572" t="s">
        <v>501</v>
      </c>
      <c r="C62" s="573">
        <v>46127</v>
      </c>
      <c r="D62" s="572" t="s">
        <v>502</v>
      </c>
      <c r="E62" s="572" t="s">
        <v>503</v>
      </c>
      <c r="F62" s="519">
        <v>100</v>
      </c>
    </row>
    <row r="63" spans="1:7" s="249" customFormat="1">
      <c r="A63" s="572" t="s">
        <v>504</v>
      </c>
      <c r="B63" s="572" t="s">
        <v>505</v>
      </c>
      <c r="C63" s="573">
        <v>46127</v>
      </c>
      <c r="D63" s="572" t="s">
        <v>506</v>
      </c>
      <c r="E63" s="572" t="s">
        <v>507</v>
      </c>
      <c r="F63" s="519">
        <v>79.23</v>
      </c>
    </row>
    <row r="64" spans="1:7" s="249" customFormat="1" ht="15" hidden="1" customHeight="1">
      <c r="A64" s="572" t="s">
        <v>508</v>
      </c>
      <c r="B64" s="572" t="s">
        <v>509</v>
      </c>
      <c r="C64" s="573">
        <v>45366</v>
      </c>
      <c r="D64" s="572" t="s">
        <v>510</v>
      </c>
      <c r="E64" s="572" t="s">
        <v>511</v>
      </c>
      <c r="F64" s="519"/>
    </row>
    <row r="65" spans="1:9" s="249" customFormat="1">
      <c r="A65" s="575" t="s">
        <v>119</v>
      </c>
      <c r="B65" s="576">
        <v>46127</v>
      </c>
      <c r="C65" s="577"/>
      <c r="D65" s="873" t="s">
        <v>415</v>
      </c>
      <c r="E65" s="873"/>
      <c r="F65" s="578">
        <f>TRUNC(MEDIAN(F59:F64),2)</f>
        <v>85</v>
      </c>
      <c r="I65" s="488"/>
    </row>
    <row r="66" spans="1:9" s="249" customFormat="1" ht="15" hidden="1" customHeight="1">
      <c r="A66" s="7"/>
      <c r="F66" s="166"/>
    </row>
    <row r="67" spans="1:9" s="249" customFormat="1" ht="15" hidden="1" customHeight="1">
      <c r="A67" s="568" t="s">
        <v>113</v>
      </c>
      <c r="B67" s="874" t="s">
        <v>512</v>
      </c>
      <c r="C67" s="874"/>
      <c r="D67" s="569"/>
      <c r="E67" s="569"/>
      <c r="F67" s="570" t="s">
        <v>487</v>
      </c>
    </row>
    <row r="68" spans="1:9" s="249" customFormat="1" ht="15" hidden="1" customHeight="1">
      <c r="A68" s="571" t="s">
        <v>114</v>
      </c>
      <c r="B68" s="571" t="s">
        <v>115</v>
      </c>
      <c r="C68" s="571" t="s">
        <v>116</v>
      </c>
      <c r="D68" s="571" t="s">
        <v>117</v>
      </c>
      <c r="E68" s="571" t="s">
        <v>118</v>
      </c>
      <c r="F68" s="464" t="s">
        <v>327</v>
      </c>
    </row>
    <row r="69" spans="1:9" s="249" customFormat="1" ht="15" hidden="1" customHeight="1">
      <c r="A69" s="572" t="s">
        <v>488</v>
      </c>
      <c r="B69" s="572" t="s">
        <v>489</v>
      </c>
      <c r="C69" s="573">
        <v>45333</v>
      </c>
      <c r="D69" s="572" t="s">
        <v>513</v>
      </c>
      <c r="E69" s="572" t="s">
        <v>491</v>
      </c>
      <c r="F69" s="519">
        <v>93</v>
      </c>
    </row>
    <row r="70" spans="1:9" s="249" customFormat="1" ht="15" hidden="1" customHeight="1">
      <c r="A70" s="572" t="s">
        <v>496</v>
      </c>
      <c r="B70" s="572" t="s">
        <v>497</v>
      </c>
      <c r="C70" s="573">
        <v>45241</v>
      </c>
      <c r="D70" s="572" t="s">
        <v>514</v>
      </c>
      <c r="E70" s="572" t="s">
        <v>499</v>
      </c>
      <c r="F70" s="506"/>
      <c r="G70" s="579"/>
    </row>
    <row r="71" spans="1:9" s="249" customFormat="1" ht="15" hidden="1" customHeight="1">
      <c r="A71" s="572" t="s">
        <v>515</v>
      </c>
      <c r="B71" s="572" t="s">
        <v>516</v>
      </c>
      <c r="C71" s="573">
        <v>45241</v>
      </c>
      <c r="D71" s="572" t="s">
        <v>517</v>
      </c>
      <c r="E71" s="572" t="s">
        <v>518</v>
      </c>
      <c r="F71" s="500"/>
    </row>
    <row r="72" spans="1:9" s="249" customFormat="1" ht="15" hidden="1" customHeight="1">
      <c r="A72" s="572" t="s">
        <v>492</v>
      </c>
      <c r="B72" s="572" t="s">
        <v>493</v>
      </c>
      <c r="C72" s="573">
        <v>45241</v>
      </c>
      <c r="D72" s="572" t="s">
        <v>494</v>
      </c>
      <c r="E72" s="572" t="s">
        <v>495</v>
      </c>
      <c r="F72" s="500"/>
      <c r="G72" s="574"/>
    </row>
    <row r="73" spans="1:9" s="249" customFormat="1" ht="15" hidden="1" customHeight="1">
      <c r="A73" s="572" t="s">
        <v>500</v>
      </c>
      <c r="B73" s="572" t="s">
        <v>501</v>
      </c>
      <c r="C73" s="573">
        <v>45241</v>
      </c>
      <c r="D73" s="572" t="s">
        <v>502</v>
      </c>
      <c r="E73" s="572" t="s">
        <v>503</v>
      </c>
      <c r="F73" s="500"/>
    </row>
    <row r="74" spans="1:9" s="249" customFormat="1" ht="15" hidden="1" customHeight="1">
      <c r="A74" s="572" t="s">
        <v>504</v>
      </c>
      <c r="B74" s="572" t="s">
        <v>505</v>
      </c>
      <c r="C74" s="573">
        <v>45241</v>
      </c>
      <c r="D74" s="572" t="s">
        <v>506</v>
      </c>
      <c r="E74" s="572" t="s">
        <v>507</v>
      </c>
      <c r="F74" s="500"/>
    </row>
    <row r="75" spans="1:9" s="249" customFormat="1" ht="15" hidden="1" customHeight="1">
      <c r="A75" s="572" t="s">
        <v>508</v>
      </c>
      <c r="B75" s="572" t="s">
        <v>509</v>
      </c>
      <c r="C75" s="573">
        <v>45241</v>
      </c>
      <c r="D75" s="572" t="s">
        <v>510</v>
      </c>
      <c r="E75" s="572" t="s">
        <v>511</v>
      </c>
      <c r="F75" s="500"/>
    </row>
    <row r="76" spans="1:9" s="249" customFormat="1" ht="15" hidden="1" customHeight="1">
      <c r="A76" s="575" t="s">
        <v>119</v>
      </c>
      <c r="B76" s="576">
        <v>44503</v>
      </c>
      <c r="C76" s="577"/>
      <c r="D76" s="873" t="s">
        <v>415</v>
      </c>
      <c r="E76" s="873"/>
      <c r="F76" s="503">
        <f>MEDIAN(F69:F75)</f>
        <v>93</v>
      </c>
    </row>
    <row r="77" spans="1:9" s="249" customFormat="1" ht="15" hidden="1" customHeight="1">
      <c r="A77" s="10"/>
      <c r="B77" s="11"/>
      <c r="C77" s="11"/>
      <c r="D77" s="11"/>
      <c r="E77" s="11"/>
      <c r="F77" s="167"/>
    </row>
    <row r="78" spans="1:9" s="249" customFormat="1" ht="15" hidden="1" customHeight="1">
      <c r="A78" s="568" t="s">
        <v>113</v>
      </c>
      <c r="B78" s="874" t="s">
        <v>519</v>
      </c>
      <c r="C78" s="874"/>
      <c r="D78" s="569"/>
      <c r="E78" s="569"/>
      <c r="F78" s="570" t="s">
        <v>487</v>
      </c>
    </row>
    <row r="79" spans="1:9" s="249" customFormat="1" ht="15" hidden="1" customHeight="1">
      <c r="A79" s="571" t="s">
        <v>114</v>
      </c>
      <c r="B79" s="571" t="s">
        <v>115</v>
      </c>
      <c r="C79" s="571" t="s">
        <v>116</v>
      </c>
      <c r="D79" s="571" t="s">
        <v>117</v>
      </c>
      <c r="E79" s="571" t="s">
        <v>118</v>
      </c>
      <c r="F79" s="464" t="s">
        <v>327</v>
      </c>
    </row>
    <row r="80" spans="1:9" s="249" customFormat="1" ht="15" hidden="1" customHeight="1">
      <c r="A80" s="572" t="s">
        <v>488</v>
      </c>
      <c r="B80" s="572" t="s">
        <v>489</v>
      </c>
      <c r="C80" s="573">
        <v>45241</v>
      </c>
      <c r="D80" s="572" t="s">
        <v>513</v>
      </c>
      <c r="E80" s="572" t="s">
        <v>491</v>
      </c>
      <c r="F80" s="500"/>
    </row>
    <row r="81" spans="1:7" s="249" customFormat="1" ht="15" hidden="1" customHeight="1">
      <c r="A81" s="572" t="s">
        <v>496</v>
      </c>
      <c r="B81" s="572" t="s">
        <v>497</v>
      </c>
      <c r="C81" s="573">
        <v>45241</v>
      </c>
      <c r="D81" s="572" t="s">
        <v>514</v>
      </c>
      <c r="E81" s="572" t="s">
        <v>499</v>
      </c>
      <c r="F81" s="500"/>
    </row>
    <row r="82" spans="1:7" s="249" customFormat="1" ht="15" hidden="1" customHeight="1">
      <c r="A82" s="572" t="s">
        <v>515</v>
      </c>
      <c r="B82" s="572" t="s">
        <v>516</v>
      </c>
      <c r="C82" s="573">
        <v>45241</v>
      </c>
      <c r="D82" s="572" t="s">
        <v>517</v>
      </c>
      <c r="E82" s="572" t="s">
        <v>518</v>
      </c>
      <c r="F82" s="500"/>
    </row>
    <row r="83" spans="1:7" s="249" customFormat="1" ht="15" hidden="1" customHeight="1">
      <c r="A83" s="572" t="s">
        <v>492</v>
      </c>
      <c r="B83" s="572" t="s">
        <v>493</v>
      </c>
      <c r="C83" s="573">
        <v>45241</v>
      </c>
      <c r="D83" s="572" t="s">
        <v>494</v>
      </c>
      <c r="E83" s="572" t="s">
        <v>495</v>
      </c>
      <c r="F83" s="500"/>
      <c r="G83" s="574"/>
    </row>
    <row r="84" spans="1:7" s="249" customFormat="1" ht="15" hidden="1" customHeight="1">
      <c r="A84" s="572" t="s">
        <v>500</v>
      </c>
      <c r="B84" s="572" t="s">
        <v>501</v>
      </c>
      <c r="C84" s="573">
        <v>45241</v>
      </c>
      <c r="D84" s="572" t="s">
        <v>502</v>
      </c>
      <c r="E84" s="572" t="s">
        <v>503</v>
      </c>
      <c r="F84" s="500"/>
    </row>
    <row r="85" spans="1:7" s="249" customFormat="1" ht="15" hidden="1" customHeight="1">
      <c r="A85" s="572" t="s">
        <v>504</v>
      </c>
      <c r="B85" s="572" t="s">
        <v>505</v>
      </c>
      <c r="C85" s="573">
        <v>45241</v>
      </c>
      <c r="D85" s="572" t="s">
        <v>506</v>
      </c>
      <c r="E85" s="572" t="s">
        <v>507</v>
      </c>
      <c r="F85" s="500"/>
    </row>
    <row r="86" spans="1:7" s="249" customFormat="1" ht="15" hidden="1" customHeight="1">
      <c r="A86" s="572" t="s">
        <v>508</v>
      </c>
      <c r="B86" s="572" t="s">
        <v>509</v>
      </c>
      <c r="C86" s="573">
        <v>45241</v>
      </c>
      <c r="D86" s="572" t="s">
        <v>510</v>
      </c>
      <c r="E86" s="572" t="s">
        <v>511</v>
      </c>
      <c r="F86" s="500"/>
    </row>
    <row r="87" spans="1:7" s="249" customFormat="1" ht="15" hidden="1" customHeight="1">
      <c r="A87" s="575" t="s">
        <v>119</v>
      </c>
      <c r="B87" s="576">
        <v>44503</v>
      </c>
      <c r="C87" s="577"/>
      <c r="D87" s="873" t="s">
        <v>415</v>
      </c>
      <c r="E87" s="873"/>
      <c r="F87" s="503" t="e">
        <f>MEDIAN(F80:F86)</f>
        <v>#NUM!</v>
      </c>
    </row>
    <row r="88" spans="1:7" s="249" customFormat="1" ht="15" hidden="1" customHeight="1">
      <c r="A88" s="10"/>
      <c r="B88" s="11"/>
      <c r="C88" s="11"/>
      <c r="D88" s="11"/>
      <c r="E88" s="11"/>
      <c r="F88" s="167"/>
    </row>
    <row r="89" spans="1:7" s="249" customFormat="1" ht="15" hidden="1" customHeight="1">
      <c r="A89" s="568" t="s">
        <v>113</v>
      </c>
      <c r="B89" s="874" t="s">
        <v>520</v>
      </c>
      <c r="C89" s="874"/>
      <c r="D89" s="569"/>
      <c r="E89" s="569"/>
      <c r="F89" s="570" t="s">
        <v>487</v>
      </c>
    </row>
    <row r="90" spans="1:7" s="249" customFormat="1" ht="15" hidden="1" customHeight="1">
      <c r="A90" s="571" t="s">
        <v>114</v>
      </c>
      <c r="B90" s="571" t="s">
        <v>115</v>
      </c>
      <c r="C90" s="571" t="s">
        <v>116</v>
      </c>
      <c r="D90" s="571" t="s">
        <v>117</v>
      </c>
      <c r="E90" s="571" t="s">
        <v>118</v>
      </c>
      <c r="F90" s="464" t="s">
        <v>327</v>
      </c>
    </row>
    <row r="91" spans="1:7" s="249" customFormat="1" ht="15" hidden="1" customHeight="1">
      <c r="A91" s="572" t="s">
        <v>488</v>
      </c>
      <c r="B91" s="572" t="s">
        <v>489</v>
      </c>
      <c r="C91" s="573">
        <v>45241</v>
      </c>
      <c r="D91" s="572" t="s">
        <v>513</v>
      </c>
      <c r="E91" s="572" t="s">
        <v>491</v>
      </c>
      <c r="F91" s="500"/>
    </row>
    <row r="92" spans="1:7" s="249" customFormat="1" ht="15" hidden="1" customHeight="1">
      <c r="A92" s="572" t="s">
        <v>496</v>
      </c>
      <c r="B92" s="572" t="s">
        <v>497</v>
      </c>
      <c r="C92" s="573">
        <v>45241</v>
      </c>
      <c r="D92" s="572" t="s">
        <v>514</v>
      </c>
      <c r="E92" s="572" t="s">
        <v>499</v>
      </c>
      <c r="F92" s="500"/>
    </row>
    <row r="93" spans="1:7" s="249" customFormat="1" ht="15" hidden="1" customHeight="1">
      <c r="A93" s="572" t="s">
        <v>515</v>
      </c>
      <c r="B93" s="572" t="s">
        <v>516</v>
      </c>
      <c r="C93" s="573">
        <v>45241</v>
      </c>
      <c r="D93" s="572" t="s">
        <v>517</v>
      </c>
      <c r="E93" s="572" t="s">
        <v>518</v>
      </c>
      <c r="F93" s="500"/>
    </row>
    <row r="94" spans="1:7" s="249" customFormat="1" ht="15" hidden="1" customHeight="1">
      <c r="A94" s="572" t="s">
        <v>492</v>
      </c>
      <c r="B94" s="572" t="s">
        <v>493</v>
      </c>
      <c r="C94" s="573">
        <v>45241</v>
      </c>
      <c r="D94" s="572" t="s">
        <v>494</v>
      </c>
      <c r="E94" s="572" t="s">
        <v>495</v>
      </c>
      <c r="F94" s="500"/>
      <c r="G94" s="574"/>
    </row>
    <row r="95" spans="1:7" s="249" customFormat="1" ht="15" hidden="1" customHeight="1">
      <c r="A95" s="572" t="s">
        <v>500</v>
      </c>
      <c r="B95" s="572" t="s">
        <v>501</v>
      </c>
      <c r="C95" s="573">
        <v>45241</v>
      </c>
      <c r="D95" s="572" t="s">
        <v>502</v>
      </c>
      <c r="E95" s="572" t="s">
        <v>503</v>
      </c>
      <c r="F95" s="500"/>
    </row>
    <row r="96" spans="1:7" s="249" customFormat="1" ht="15" hidden="1" customHeight="1">
      <c r="A96" s="572" t="s">
        <v>504</v>
      </c>
      <c r="B96" s="572" t="s">
        <v>505</v>
      </c>
      <c r="C96" s="573">
        <v>45241</v>
      </c>
      <c r="D96" s="572" t="s">
        <v>506</v>
      </c>
      <c r="E96" s="572" t="s">
        <v>507</v>
      </c>
      <c r="F96" s="500"/>
    </row>
    <row r="97" spans="1:7" s="249" customFormat="1" ht="15" hidden="1" customHeight="1">
      <c r="A97" s="572" t="s">
        <v>508</v>
      </c>
      <c r="B97" s="572" t="s">
        <v>509</v>
      </c>
      <c r="C97" s="573">
        <v>45241</v>
      </c>
      <c r="D97" s="572" t="s">
        <v>510</v>
      </c>
      <c r="E97" s="572" t="s">
        <v>511</v>
      </c>
      <c r="F97" s="500"/>
    </row>
    <row r="98" spans="1:7" s="249" customFormat="1" ht="15" hidden="1" customHeight="1">
      <c r="A98" s="575" t="s">
        <v>119</v>
      </c>
      <c r="B98" s="576">
        <v>44503</v>
      </c>
      <c r="C98" s="577"/>
      <c r="D98" s="873" t="s">
        <v>415</v>
      </c>
      <c r="E98" s="873"/>
      <c r="F98" s="503" t="e">
        <f>MEDIAN(F91:F97)</f>
        <v>#NUM!</v>
      </c>
    </row>
    <row r="99" spans="1:7" s="249" customFormat="1">
      <c r="A99" s="10"/>
      <c r="B99" s="11"/>
      <c r="C99" s="11"/>
      <c r="D99" s="11"/>
      <c r="E99" s="11"/>
      <c r="F99" s="167"/>
    </row>
    <row r="100" spans="1:7" s="249" customFormat="1">
      <c r="A100" s="568" t="s">
        <v>113</v>
      </c>
      <c r="B100" s="874" t="s">
        <v>521</v>
      </c>
      <c r="C100" s="874"/>
      <c r="D100" s="569"/>
      <c r="E100" s="569"/>
      <c r="F100" s="570" t="s">
        <v>487</v>
      </c>
    </row>
    <row r="101" spans="1:7" s="249" customFormat="1" ht="30">
      <c r="A101" s="571" t="s">
        <v>114</v>
      </c>
      <c r="B101" s="571" t="s">
        <v>115</v>
      </c>
      <c r="C101" s="571" t="s">
        <v>116</v>
      </c>
      <c r="D101" s="571" t="s">
        <v>117</v>
      </c>
      <c r="E101" s="571" t="s">
        <v>118</v>
      </c>
      <c r="F101" s="464" t="s">
        <v>327</v>
      </c>
    </row>
    <row r="102" spans="1:7" s="249" customFormat="1">
      <c r="A102" s="572" t="s">
        <v>488</v>
      </c>
      <c r="B102" s="572" t="s">
        <v>489</v>
      </c>
      <c r="C102" s="573">
        <v>46127</v>
      </c>
      <c r="D102" s="572" t="s">
        <v>513</v>
      </c>
      <c r="E102" s="572" t="s">
        <v>491</v>
      </c>
      <c r="F102" s="519">
        <v>86</v>
      </c>
    </row>
    <row r="103" spans="1:7" s="249" customFormat="1" ht="15" hidden="1" customHeight="1">
      <c r="A103" s="572" t="s">
        <v>496</v>
      </c>
      <c r="B103" s="572" t="s">
        <v>497</v>
      </c>
      <c r="C103" s="573">
        <v>46127</v>
      </c>
      <c r="D103" s="572" t="s">
        <v>514</v>
      </c>
      <c r="E103" s="572" t="s">
        <v>499</v>
      </c>
      <c r="F103" s="500"/>
    </row>
    <row r="104" spans="1:7" s="249" customFormat="1" ht="15" hidden="1" customHeight="1">
      <c r="A104" s="572" t="s">
        <v>515</v>
      </c>
      <c r="B104" s="572" t="s">
        <v>516</v>
      </c>
      <c r="C104" s="573">
        <v>46127</v>
      </c>
      <c r="D104" s="572" t="s">
        <v>517</v>
      </c>
      <c r="E104" s="572" t="s">
        <v>518</v>
      </c>
      <c r="F104" s="519"/>
    </row>
    <row r="105" spans="1:7" s="249" customFormat="1" ht="15" hidden="1" customHeight="1">
      <c r="A105" s="572" t="s">
        <v>492</v>
      </c>
      <c r="B105" s="572" t="s">
        <v>493</v>
      </c>
      <c r="C105" s="573">
        <v>46127</v>
      </c>
      <c r="D105" s="572" t="s">
        <v>494</v>
      </c>
      <c r="E105" s="572" t="s">
        <v>495</v>
      </c>
      <c r="F105" s="500"/>
      <c r="G105" s="574"/>
    </row>
    <row r="106" spans="1:7" s="249" customFormat="1">
      <c r="A106" s="572" t="s">
        <v>500</v>
      </c>
      <c r="B106" s="572" t="s">
        <v>501</v>
      </c>
      <c r="C106" s="573">
        <v>46127</v>
      </c>
      <c r="D106" s="572" t="s">
        <v>502</v>
      </c>
      <c r="E106" s="572" t="s">
        <v>503</v>
      </c>
      <c r="F106" s="519">
        <v>100</v>
      </c>
    </row>
    <row r="107" spans="1:7" s="249" customFormat="1" ht="15" customHeight="1">
      <c r="A107" s="572" t="s">
        <v>504</v>
      </c>
      <c r="B107" s="572" t="s">
        <v>505</v>
      </c>
      <c r="C107" s="573">
        <v>46127</v>
      </c>
      <c r="D107" s="572" t="s">
        <v>506</v>
      </c>
      <c r="E107" s="572" t="s">
        <v>507</v>
      </c>
      <c r="F107" s="519">
        <v>80.55</v>
      </c>
    </row>
    <row r="108" spans="1:7" s="249" customFormat="1" ht="15" hidden="1" customHeight="1">
      <c r="A108" s="572" t="s">
        <v>508</v>
      </c>
      <c r="B108" s="572" t="s">
        <v>509</v>
      </c>
      <c r="C108" s="573">
        <v>45366</v>
      </c>
      <c r="D108" s="572" t="s">
        <v>510</v>
      </c>
      <c r="E108" s="572" t="s">
        <v>511</v>
      </c>
      <c r="F108" s="519"/>
    </row>
    <row r="109" spans="1:7" s="249" customFormat="1">
      <c r="A109" s="575" t="s">
        <v>119</v>
      </c>
      <c r="B109" s="576">
        <v>46127</v>
      </c>
      <c r="C109" s="577"/>
      <c r="D109" s="873" t="s">
        <v>415</v>
      </c>
      <c r="E109" s="873"/>
      <c r="F109" s="578">
        <f>TRUNC(MEDIAN(F102:F108),2)</f>
        <v>86</v>
      </c>
    </row>
    <row r="110" spans="1:7" s="249" customFormat="1" ht="15" hidden="1" customHeight="1">
      <c r="A110" s="10"/>
      <c r="B110" s="11"/>
      <c r="C110" s="11"/>
      <c r="D110" s="11"/>
      <c r="E110" s="11"/>
      <c r="F110" s="167"/>
    </row>
    <row r="111" spans="1:7" s="249" customFormat="1" ht="15" hidden="1" customHeight="1">
      <c r="A111" s="568" t="s">
        <v>113</v>
      </c>
      <c r="B111" s="874" t="s">
        <v>236</v>
      </c>
      <c r="C111" s="874"/>
      <c r="D111" s="569"/>
      <c r="E111" s="569"/>
      <c r="F111" s="570" t="s">
        <v>487</v>
      </c>
    </row>
    <row r="112" spans="1:7" s="249" customFormat="1" ht="15" hidden="1" customHeight="1">
      <c r="A112" s="571" t="s">
        <v>114</v>
      </c>
      <c r="B112" s="571" t="s">
        <v>115</v>
      </c>
      <c r="C112" s="571" t="s">
        <v>116</v>
      </c>
      <c r="D112" s="571" t="s">
        <v>117</v>
      </c>
      <c r="E112" s="571" t="s">
        <v>118</v>
      </c>
      <c r="F112" s="464" t="s">
        <v>327</v>
      </c>
    </row>
    <row r="113" spans="1:7" s="249" customFormat="1" ht="15" hidden="1" customHeight="1">
      <c r="A113" s="572" t="s">
        <v>488</v>
      </c>
      <c r="B113" s="572" t="s">
        <v>489</v>
      </c>
      <c r="C113" s="573">
        <v>45241</v>
      </c>
      <c r="D113" s="572" t="s">
        <v>513</v>
      </c>
      <c r="E113" s="572" t="s">
        <v>491</v>
      </c>
      <c r="F113" s="500"/>
    </row>
    <row r="114" spans="1:7" s="249" customFormat="1" ht="15" hidden="1" customHeight="1">
      <c r="A114" s="572" t="s">
        <v>496</v>
      </c>
      <c r="B114" s="572" t="s">
        <v>497</v>
      </c>
      <c r="C114" s="573">
        <v>45241</v>
      </c>
      <c r="D114" s="572" t="s">
        <v>514</v>
      </c>
      <c r="E114" s="572" t="s">
        <v>499</v>
      </c>
      <c r="F114" s="500"/>
    </row>
    <row r="115" spans="1:7" s="249" customFormat="1" ht="15" hidden="1" customHeight="1">
      <c r="A115" s="572" t="s">
        <v>515</v>
      </c>
      <c r="B115" s="572" t="s">
        <v>516</v>
      </c>
      <c r="C115" s="573">
        <v>45241</v>
      </c>
      <c r="D115" s="572" t="s">
        <v>517</v>
      </c>
      <c r="E115" s="572" t="s">
        <v>518</v>
      </c>
      <c r="F115" s="500"/>
    </row>
    <row r="116" spans="1:7" s="249" customFormat="1" ht="15" hidden="1" customHeight="1">
      <c r="A116" s="572" t="s">
        <v>492</v>
      </c>
      <c r="B116" s="572" t="s">
        <v>493</v>
      </c>
      <c r="C116" s="573">
        <v>45241</v>
      </c>
      <c r="D116" s="572" t="s">
        <v>494</v>
      </c>
      <c r="E116" s="572" t="s">
        <v>495</v>
      </c>
      <c r="F116" s="500"/>
      <c r="G116" s="574"/>
    </row>
    <row r="117" spans="1:7" s="249" customFormat="1" ht="15" hidden="1" customHeight="1">
      <c r="A117" s="572" t="s">
        <v>500</v>
      </c>
      <c r="B117" s="572" t="s">
        <v>501</v>
      </c>
      <c r="C117" s="573">
        <v>45241</v>
      </c>
      <c r="D117" s="572" t="s">
        <v>502</v>
      </c>
      <c r="E117" s="572" t="s">
        <v>503</v>
      </c>
      <c r="F117" s="500"/>
    </row>
    <row r="118" spans="1:7" s="249" customFormat="1" ht="15" hidden="1" customHeight="1">
      <c r="A118" s="572" t="s">
        <v>504</v>
      </c>
      <c r="B118" s="572" t="s">
        <v>505</v>
      </c>
      <c r="C118" s="573">
        <v>45241</v>
      </c>
      <c r="D118" s="572" t="s">
        <v>506</v>
      </c>
      <c r="E118" s="572" t="s">
        <v>507</v>
      </c>
      <c r="F118" s="500"/>
    </row>
    <row r="119" spans="1:7" s="249" customFormat="1" ht="15" hidden="1" customHeight="1">
      <c r="A119" s="572" t="s">
        <v>508</v>
      </c>
      <c r="B119" s="572" t="s">
        <v>509</v>
      </c>
      <c r="C119" s="573">
        <v>45241</v>
      </c>
      <c r="D119" s="572" t="s">
        <v>510</v>
      </c>
      <c r="E119" s="572" t="s">
        <v>511</v>
      </c>
      <c r="F119" s="500"/>
    </row>
    <row r="120" spans="1:7" s="249" customFormat="1" ht="15" hidden="1" customHeight="1">
      <c r="A120" s="575" t="s">
        <v>119</v>
      </c>
      <c r="B120" s="576">
        <v>44503</v>
      </c>
      <c r="C120" s="577"/>
      <c r="D120" s="873" t="s">
        <v>415</v>
      </c>
      <c r="E120" s="873"/>
      <c r="F120" s="503" t="e">
        <f>MEDIAN(F113:F119)</f>
        <v>#NUM!</v>
      </c>
    </row>
    <row r="121" spans="1:7" s="249" customFormat="1">
      <c r="A121" s="10"/>
      <c r="B121" s="11"/>
      <c r="C121" s="11"/>
      <c r="D121" s="11"/>
      <c r="E121" s="11"/>
      <c r="F121" s="167"/>
    </row>
    <row r="122" spans="1:7" s="249" customFormat="1">
      <c r="A122" s="568" t="s">
        <v>113</v>
      </c>
      <c r="B122" s="874" t="s">
        <v>590</v>
      </c>
      <c r="C122" s="874"/>
      <c r="D122" s="569"/>
      <c r="E122" s="569"/>
      <c r="F122" s="570" t="s">
        <v>487</v>
      </c>
    </row>
    <row r="123" spans="1:7" s="249" customFormat="1" ht="30">
      <c r="A123" s="571" t="s">
        <v>114</v>
      </c>
      <c r="B123" s="571" t="s">
        <v>115</v>
      </c>
      <c r="C123" s="571" t="s">
        <v>116</v>
      </c>
      <c r="D123" s="571" t="s">
        <v>117</v>
      </c>
      <c r="E123" s="571" t="s">
        <v>118</v>
      </c>
      <c r="F123" s="464" t="s">
        <v>327</v>
      </c>
    </row>
    <row r="124" spans="1:7" s="249" customFormat="1">
      <c r="A124" s="572" t="s">
        <v>488</v>
      </c>
      <c r="B124" s="572" t="s">
        <v>489</v>
      </c>
      <c r="C124" s="573">
        <v>46127</v>
      </c>
      <c r="D124" s="572" t="s">
        <v>513</v>
      </c>
      <c r="E124" s="572" t="s">
        <v>491</v>
      </c>
      <c r="F124" s="519">
        <v>54</v>
      </c>
    </row>
    <row r="125" spans="1:7" s="249" customFormat="1">
      <c r="A125" s="572" t="s">
        <v>500</v>
      </c>
      <c r="B125" s="572" t="s">
        <v>501</v>
      </c>
      <c r="C125" s="573">
        <v>46127</v>
      </c>
      <c r="D125" s="572" t="s">
        <v>502</v>
      </c>
      <c r="E125" s="572" t="s">
        <v>503</v>
      </c>
      <c r="F125" s="519">
        <v>90</v>
      </c>
    </row>
    <row r="126" spans="1:7" s="249" customFormat="1" ht="15" hidden="1" customHeight="1">
      <c r="A126" s="572" t="s">
        <v>496</v>
      </c>
      <c r="B126" s="572" t="s">
        <v>497</v>
      </c>
      <c r="C126" s="573">
        <v>46127</v>
      </c>
      <c r="D126" s="572" t="s">
        <v>514</v>
      </c>
      <c r="E126" s="572" t="s">
        <v>499</v>
      </c>
      <c r="F126" s="500"/>
    </row>
    <row r="127" spans="1:7" s="249" customFormat="1" ht="15" hidden="1" customHeight="1">
      <c r="A127" s="572" t="s">
        <v>492</v>
      </c>
      <c r="B127" s="572" t="s">
        <v>493</v>
      </c>
      <c r="C127" s="573">
        <v>46127</v>
      </c>
      <c r="D127" s="572" t="s">
        <v>494</v>
      </c>
      <c r="E127" s="572" t="s">
        <v>495</v>
      </c>
      <c r="F127" s="500"/>
      <c r="G127" s="574"/>
    </row>
    <row r="128" spans="1:7" s="249" customFormat="1" ht="15" hidden="1" customHeight="1">
      <c r="A128" s="572" t="s">
        <v>504</v>
      </c>
      <c r="B128" s="572" t="s">
        <v>505</v>
      </c>
      <c r="C128" s="573">
        <v>46127</v>
      </c>
      <c r="D128" s="572" t="s">
        <v>506</v>
      </c>
      <c r="E128" s="572" t="s">
        <v>507</v>
      </c>
      <c r="F128" s="519"/>
    </row>
    <row r="129" spans="1:8" s="249" customFormat="1">
      <c r="A129" s="572" t="s">
        <v>508</v>
      </c>
      <c r="B129" s="572" t="s">
        <v>509</v>
      </c>
      <c r="C129" s="573">
        <v>46127</v>
      </c>
      <c r="D129" s="572" t="s">
        <v>510</v>
      </c>
      <c r="E129" s="572" t="s">
        <v>511</v>
      </c>
      <c r="F129" s="519">
        <v>57</v>
      </c>
    </row>
    <row r="130" spans="1:8" s="249" customFormat="1">
      <c r="A130" s="575" t="s">
        <v>119</v>
      </c>
      <c r="B130" s="576">
        <v>46127</v>
      </c>
      <c r="C130" s="577"/>
      <c r="D130" s="873" t="s">
        <v>415</v>
      </c>
      <c r="E130" s="873"/>
      <c r="F130" s="578">
        <f>TRUNC(MEDIAN(F124:F129),2)</f>
        <v>57</v>
      </c>
    </row>
    <row r="131" spans="1:8">
      <c r="A131" s="493"/>
      <c r="B131" s="494"/>
      <c r="C131" s="494"/>
      <c r="D131" s="494"/>
      <c r="E131" s="494"/>
      <c r="F131" s="525"/>
    </row>
    <row r="132" spans="1:8" ht="15" hidden="1" customHeight="1">
      <c r="A132" s="502" t="s">
        <v>113</v>
      </c>
      <c r="B132" s="871" t="s">
        <v>522</v>
      </c>
      <c r="C132" s="871"/>
      <c r="D132" s="461"/>
      <c r="E132" s="461"/>
      <c r="F132" s="462" t="s">
        <v>523</v>
      </c>
    </row>
    <row r="133" spans="1:8" ht="15" hidden="1" customHeight="1">
      <c r="A133" s="499" t="s">
        <v>114</v>
      </c>
      <c r="B133" s="499" t="s">
        <v>115</v>
      </c>
      <c r="C133" s="499" t="s">
        <v>116</v>
      </c>
      <c r="D133" s="499" t="s">
        <v>117</v>
      </c>
      <c r="E133" s="507" t="s">
        <v>118</v>
      </c>
      <c r="F133" s="464" t="s">
        <v>327</v>
      </c>
    </row>
    <row r="134" spans="1:8" ht="15" hidden="1" customHeight="1">
      <c r="A134" s="236" t="s">
        <v>524</v>
      </c>
      <c r="B134" s="236" t="s">
        <v>525</v>
      </c>
      <c r="C134" s="235">
        <v>44503</v>
      </c>
      <c r="D134" s="236" t="s">
        <v>526</v>
      </c>
      <c r="E134" s="236" t="s">
        <v>527</v>
      </c>
      <c r="F134" s="500">
        <v>23</v>
      </c>
      <c r="G134" s="487"/>
      <c r="H134" s="487"/>
    </row>
    <row r="135" spans="1:8" ht="15" hidden="1" customHeight="1">
      <c r="A135" s="236" t="s">
        <v>528</v>
      </c>
      <c r="B135" s="236" t="s">
        <v>529</v>
      </c>
      <c r="C135" s="235">
        <v>44503</v>
      </c>
      <c r="D135" s="236" t="s">
        <v>530</v>
      </c>
      <c r="E135" s="236" t="s">
        <v>531</v>
      </c>
      <c r="F135" s="500">
        <v>36</v>
      </c>
    </row>
    <row r="136" spans="1:8" ht="15" hidden="1" customHeight="1">
      <c r="A136" s="236" t="s">
        <v>532</v>
      </c>
      <c r="B136" s="236" t="s">
        <v>533</v>
      </c>
      <c r="C136" s="235">
        <v>44503</v>
      </c>
      <c r="D136" s="236" t="s">
        <v>530</v>
      </c>
      <c r="E136" s="236" t="s">
        <v>534</v>
      </c>
      <c r="F136" s="500">
        <v>53.4</v>
      </c>
      <c r="G136" s="492"/>
    </row>
    <row r="137" spans="1:8" ht="15" hidden="1" customHeight="1">
      <c r="A137" s="476" t="s">
        <v>119</v>
      </c>
      <c r="B137" s="299">
        <v>44503</v>
      </c>
      <c r="C137" s="495"/>
      <c r="D137" s="872" t="s">
        <v>415</v>
      </c>
      <c r="E137" s="872"/>
      <c r="F137" s="503">
        <f>MEDIAN(F134:F136)</f>
        <v>36</v>
      </c>
    </row>
    <row r="138" spans="1:8" ht="15" hidden="1" customHeight="1">
      <c r="A138" s="493"/>
      <c r="B138" s="494"/>
      <c r="C138" s="494"/>
      <c r="D138" s="494"/>
      <c r="E138" s="494"/>
      <c r="F138" s="525"/>
    </row>
    <row r="139" spans="1:8" ht="15" hidden="1" customHeight="1">
      <c r="A139" s="502" t="s">
        <v>113</v>
      </c>
      <c r="B139" s="871" t="s">
        <v>535</v>
      </c>
      <c r="C139" s="871"/>
      <c r="D139" s="461"/>
      <c r="E139" s="461"/>
      <c r="F139" s="462" t="s">
        <v>523</v>
      </c>
    </row>
    <row r="140" spans="1:8" ht="15" hidden="1" customHeight="1">
      <c r="A140" s="499" t="s">
        <v>114</v>
      </c>
      <c r="B140" s="499" t="s">
        <v>115</v>
      </c>
      <c r="C140" s="499" t="s">
        <v>116</v>
      </c>
      <c r="D140" s="499" t="s">
        <v>117</v>
      </c>
      <c r="E140" s="499" t="s">
        <v>118</v>
      </c>
      <c r="F140" s="464" t="s">
        <v>327</v>
      </c>
    </row>
    <row r="141" spans="1:8" ht="15" hidden="1" customHeight="1">
      <c r="A141" s="236" t="s">
        <v>524</v>
      </c>
      <c r="B141" s="236" t="s">
        <v>525</v>
      </c>
      <c r="C141" s="235">
        <v>44503</v>
      </c>
      <c r="D141" s="236" t="s">
        <v>526</v>
      </c>
      <c r="E141" s="236" t="s">
        <v>527</v>
      </c>
      <c r="F141" s="500">
        <v>23</v>
      </c>
      <c r="G141" s="487"/>
      <c r="H141" s="487"/>
    </row>
    <row r="142" spans="1:8" ht="15" hidden="1" customHeight="1">
      <c r="A142" s="236" t="s">
        <v>528</v>
      </c>
      <c r="B142" s="236" t="s">
        <v>529</v>
      </c>
      <c r="C142" s="235">
        <v>44503</v>
      </c>
      <c r="D142" s="236" t="s">
        <v>530</v>
      </c>
      <c r="E142" s="236" t="s">
        <v>531</v>
      </c>
      <c r="F142" s="500">
        <v>30</v>
      </c>
    </row>
    <row r="143" spans="1:8" ht="15" hidden="1" customHeight="1">
      <c r="A143" s="236" t="s">
        <v>532</v>
      </c>
      <c r="B143" s="236" t="s">
        <v>533</v>
      </c>
      <c r="C143" s="235">
        <v>44503</v>
      </c>
      <c r="D143" s="236" t="s">
        <v>530</v>
      </c>
      <c r="E143" s="236" t="s">
        <v>534</v>
      </c>
      <c r="F143" s="500">
        <v>48.6</v>
      </c>
      <c r="G143" s="492"/>
    </row>
    <row r="144" spans="1:8" ht="15" hidden="1" customHeight="1">
      <c r="A144" s="496" t="s">
        <v>119</v>
      </c>
      <c r="B144" s="485">
        <v>44503</v>
      </c>
      <c r="C144" s="497"/>
      <c r="D144" s="872" t="s">
        <v>415</v>
      </c>
      <c r="E144" s="872"/>
      <c r="F144" s="503">
        <f>MEDIAN(F141:F143)</f>
        <v>30</v>
      </c>
    </row>
    <row r="145" spans="1:8" ht="15" hidden="1" customHeight="1">
      <c r="A145" s="493"/>
      <c r="B145" s="494"/>
      <c r="C145" s="494"/>
      <c r="D145" s="494"/>
      <c r="E145" s="494"/>
      <c r="F145" s="525"/>
    </row>
    <row r="146" spans="1:8" ht="15" hidden="1" customHeight="1">
      <c r="A146" s="502" t="s">
        <v>113</v>
      </c>
      <c r="B146" s="871" t="s">
        <v>536</v>
      </c>
      <c r="C146" s="871"/>
      <c r="D146" s="461"/>
      <c r="E146" s="461"/>
      <c r="F146" s="462" t="s">
        <v>523</v>
      </c>
    </row>
    <row r="147" spans="1:8" ht="15" hidden="1" customHeight="1">
      <c r="A147" s="499" t="s">
        <v>114</v>
      </c>
      <c r="B147" s="499" t="s">
        <v>115</v>
      </c>
      <c r="C147" s="499" t="s">
        <v>116</v>
      </c>
      <c r="D147" s="499" t="s">
        <v>117</v>
      </c>
      <c r="E147" s="507" t="s">
        <v>118</v>
      </c>
      <c r="F147" s="464" t="s">
        <v>327</v>
      </c>
    </row>
    <row r="148" spans="1:8" ht="15" hidden="1" customHeight="1">
      <c r="A148" s="236" t="s">
        <v>537</v>
      </c>
      <c r="B148" s="236" t="s">
        <v>538</v>
      </c>
      <c r="C148" s="235">
        <v>44503</v>
      </c>
      <c r="D148" s="236" t="s">
        <v>530</v>
      </c>
      <c r="E148" s="236" t="s">
        <v>539</v>
      </c>
      <c r="F148" s="500">
        <f>23/2.3</f>
        <v>10</v>
      </c>
      <c r="G148" s="487"/>
      <c r="H148" s="487"/>
    </row>
    <row r="149" spans="1:8" ht="15" hidden="1" customHeight="1">
      <c r="A149" s="236" t="s">
        <v>532</v>
      </c>
      <c r="B149" s="236" t="s">
        <v>533</v>
      </c>
      <c r="C149" s="235">
        <v>44503</v>
      </c>
      <c r="D149" s="236" t="s">
        <v>530</v>
      </c>
      <c r="E149" s="236" t="s">
        <v>534</v>
      </c>
      <c r="F149" s="500">
        <f>9.28/2.3</f>
        <v>4.034782608695652</v>
      </c>
    </row>
    <row r="150" spans="1:8" ht="15" hidden="1" customHeight="1">
      <c r="A150" s="236" t="s">
        <v>540</v>
      </c>
      <c r="B150" s="236" t="s">
        <v>541</v>
      </c>
      <c r="C150" s="235">
        <v>44503</v>
      </c>
      <c r="D150" s="236" t="s">
        <v>530</v>
      </c>
      <c r="E150" s="236" t="s">
        <v>534</v>
      </c>
      <c r="F150" s="500">
        <f>4/2.3</f>
        <v>1.7391304347826089</v>
      </c>
      <c r="G150" s="492"/>
    </row>
    <row r="151" spans="1:8" ht="15" hidden="1" customHeight="1">
      <c r="A151" s="476" t="s">
        <v>119</v>
      </c>
      <c r="B151" s="299">
        <v>44503</v>
      </c>
      <c r="C151" s="495"/>
      <c r="D151" s="872" t="s">
        <v>415</v>
      </c>
      <c r="E151" s="872"/>
      <c r="F151" s="503">
        <f>MEDIAN(F148:F150)</f>
        <v>4.034782608695652</v>
      </c>
    </row>
    <row r="152" spans="1:8" ht="15" hidden="1" customHeight="1">
      <c r="A152" s="493"/>
      <c r="B152" s="494"/>
      <c r="C152" s="494"/>
      <c r="D152" s="494"/>
      <c r="E152" s="494"/>
      <c r="F152" s="525"/>
    </row>
    <row r="153" spans="1:8" ht="15" hidden="1" customHeight="1">
      <c r="A153" s="502" t="s">
        <v>113</v>
      </c>
      <c r="B153" s="871" t="s">
        <v>542</v>
      </c>
      <c r="C153" s="871"/>
      <c r="D153" s="461"/>
      <c r="E153" s="461"/>
      <c r="F153" s="462" t="s">
        <v>459</v>
      </c>
    </row>
    <row r="154" spans="1:8" ht="15" hidden="1" customHeight="1">
      <c r="A154" s="499" t="s">
        <v>114</v>
      </c>
      <c r="B154" s="499" t="s">
        <v>115</v>
      </c>
      <c r="C154" s="499" t="s">
        <v>116</v>
      </c>
      <c r="D154" s="499" t="s">
        <v>117</v>
      </c>
      <c r="E154" s="499" t="s">
        <v>118</v>
      </c>
      <c r="F154" s="464" t="s">
        <v>327</v>
      </c>
    </row>
    <row r="155" spans="1:8" ht="15" hidden="1" customHeight="1">
      <c r="A155" s="236" t="s">
        <v>537</v>
      </c>
      <c r="B155" s="236" t="s">
        <v>538</v>
      </c>
      <c r="C155" s="235">
        <v>44503</v>
      </c>
      <c r="D155" s="236" t="s">
        <v>530</v>
      </c>
      <c r="E155" s="236" t="s">
        <v>539</v>
      </c>
      <c r="F155" s="500">
        <v>11.82</v>
      </c>
      <c r="G155" s="487"/>
      <c r="H155" s="487"/>
    </row>
    <row r="156" spans="1:8" ht="15" hidden="1" customHeight="1">
      <c r="A156" s="236" t="s">
        <v>532</v>
      </c>
      <c r="B156" s="236" t="s">
        <v>533</v>
      </c>
      <c r="C156" s="235">
        <v>44503</v>
      </c>
      <c r="D156" s="236" t="s">
        <v>530</v>
      </c>
      <c r="E156" s="236" t="s">
        <v>534</v>
      </c>
      <c r="F156" s="500">
        <v>8.91</v>
      </c>
    </row>
    <row r="157" spans="1:8" ht="15" hidden="1" customHeight="1">
      <c r="A157" s="236" t="s">
        <v>532</v>
      </c>
      <c r="B157" s="236" t="s">
        <v>533</v>
      </c>
      <c r="C157" s="235">
        <v>44503</v>
      </c>
      <c r="D157" s="236" t="s">
        <v>530</v>
      </c>
      <c r="E157" s="236" t="s">
        <v>534</v>
      </c>
      <c r="F157" s="500">
        <v>9.6999999999999993</v>
      </c>
      <c r="G157" s="492"/>
    </row>
    <row r="158" spans="1:8" ht="15" hidden="1" customHeight="1">
      <c r="A158" s="476" t="s">
        <v>119</v>
      </c>
      <c r="B158" s="299">
        <v>44503</v>
      </c>
      <c r="C158" s="477"/>
      <c r="D158" s="872" t="s">
        <v>415</v>
      </c>
      <c r="E158" s="872"/>
      <c r="F158" s="503">
        <f>MEDIAN(F155:F157)</f>
        <v>9.6999999999999993</v>
      </c>
    </row>
    <row r="159" spans="1:8" ht="15" hidden="1" customHeight="1">
      <c r="A159" s="489"/>
      <c r="B159" s="490"/>
      <c r="C159" s="490"/>
      <c r="D159" s="490"/>
      <c r="E159" s="490"/>
      <c r="F159" s="524"/>
    </row>
    <row r="160" spans="1:8" ht="15" hidden="1" customHeight="1">
      <c r="A160" s="460" t="s">
        <v>113</v>
      </c>
      <c r="B160" s="452" t="s">
        <v>362</v>
      </c>
      <c r="C160" s="452"/>
      <c r="D160" s="461"/>
      <c r="E160" s="461"/>
      <c r="F160" s="462" t="s">
        <v>416</v>
      </c>
    </row>
    <row r="161" spans="1:8" ht="15" hidden="1" customHeight="1">
      <c r="A161" s="463" t="s">
        <v>114</v>
      </c>
      <c r="B161" s="463" t="s">
        <v>115</v>
      </c>
      <c r="C161" s="463" t="s">
        <v>116</v>
      </c>
      <c r="D161" s="463" t="s">
        <v>117</v>
      </c>
      <c r="E161" s="463" t="s">
        <v>118</v>
      </c>
      <c r="F161" s="464" t="s">
        <v>327</v>
      </c>
    </row>
    <row r="162" spans="1:8" ht="15" hidden="1" customHeight="1">
      <c r="A162" s="236" t="s">
        <v>358</v>
      </c>
      <c r="B162" s="236" t="s">
        <v>359</v>
      </c>
      <c r="C162" s="235">
        <v>44503</v>
      </c>
      <c r="D162" s="236" t="s">
        <v>360</v>
      </c>
      <c r="E162" s="236" t="s">
        <v>361</v>
      </c>
      <c r="F162" s="465">
        <v>250</v>
      </c>
    </row>
    <row r="163" spans="1:8" ht="15" hidden="1" customHeight="1">
      <c r="A163" s="300" t="s">
        <v>119</v>
      </c>
      <c r="B163" s="299">
        <v>44503</v>
      </c>
      <c r="C163" s="301"/>
      <c r="D163" s="872" t="s">
        <v>415</v>
      </c>
      <c r="E163" s="872"/>
      <c r="F163" s="466">
        <v>250</v>
      </c>
    </row>
    <row r="164" spans="1:8" ht="15" hidden="1" customHeight="1">
      <c r="A164" s="493"/>
      <c r="B164" s="494"/>
      <c r="C164" s="494"/>
      <c r="D164" s="494"/>
      <c r="E164" s="494"/>
      <c r="F164" s="525"/>
    </row>
    <row r="165" spans="1:8" ht="15" hidden="1" customHeight="1">
      <c r="A165" s="502" t="s">
        <v>113</v>
      </c>
      <c r="B165" s="871" t="s">
        <v>543</v>
      </c>
      <c r="C165" s="871"/>
      <c r="D165" s="461"/>
      <c r="E165" s="461"/>
      <c r="F165" s="462" t="s">
        <v>459</v>
      </c>
    </row>
    <row r="166" spans="1:8" ht="15" hidden="1" customHeight="1">
      <c r="A166" s="499" t="s">
        <v>114</v>
      </c>
      <c r="B166" s="499" t="s">
        <v>115</v>
      </c>
      <c r="C166" s="499" t="s">
        <v>116</v>
      </c>
      <c r="D166" s="499" t="s">
        <v>117</v>
      </c>
      <c r="E166" s="499" t="s">
        <v>118</v>
      </c>
      <c r="F166" s="464" t="s">
        <v>327</v>
      </c>
    </row>
    <row r="167" spans="1:8" ht="15" hidden="1" customHeight="1">
      <c r="A167" s="236" t="s">
        <v>460</v>
      </c>
      <c r="B167" s="236" t="s">
        <v>461</v>
      </c>
      <c r="C167" s="235">
        <v>44503</v>
      </c>
      <c r="D167" s="236" t="s">
        <v>544</v>
      </c>
      <c r="E167" s="236" t="s">
        <v>463</v>
      </c>
      <c r="F167" s="500">
        <v>42</v>
      </c>
      <c r="G167" s="487"/>
      <c r="H167" s="487"/>
    </row>
    <row r="168" spans="1:8" ht="15" hidden="1" customHeight="1">
      <c r="A168" s="236" t="s">
        <v>464</v>
      </c>
      <c r="B168" s="236" t="s">
        <v>465</v>
      </c>
      <c r="C168" s="235">
        <v>44503</v>
      </c>
      <c r="D168" s="236" t="s">
        <v>545</v>
      </c>
      <c r="E168" s="498" t="s">
        <v>467</v>
      </c>
      <c r="F168" s="500">
        <v>38</v>
      </c>
      <c r="H168" s="28" t="s">
        <v>546</v>
      </c>
    </row>
    <row r="169" spans="1:8" ht="15" hidden="1" customHeight="1">
      <c r="A169" s="236" t="s">
        <v>468</v>
      </c>
      <c r="B169" s="236" t="s">
        <v>469</v>
      </c>
      <c r="C169" s="235">
        <v>44503</v>
      </c>
      <c r="D169" s="236" t="s">
        <v>547</v>
      </c>
      <c r="E169" s="498" t="s">
        <v>471</v>
      </c>
      <c r="F169" s="500">
        <v>36</v>
      </c>
      <c r="G169" s="492"/>
    </row>
    <row r="170" spans="1:8" hidden="1">
      <c r="A170" s="502" t="s">
        <v>113</v>
      </c>
      <c r="B170" s="871" t="s">
        <v>548</v>
      </c>
      <c r="C170" s="871"/>
      <c r="D170" s="461"/>
      <c r="E170" s="461"/>
      <c r="F170" s="462" t="s">
        <v>487</v>
      </c>
    </row>
    <row r="171" spans="1:8" ht="30" hidden="1">
      <c r="A171" s="499" t="s">
        <v>114</v>
      </c>
      <c r="B171" s="499" t="s">
        <v>115</v>
      </c>
      <c r="C171" s="499" t="s">
        <v>116</v>
      </c>
      <c r="D171" s="499" t="s">
        <v>117</v>
      </c>
      <c r="E171" s="499" t="s">
        <v>118</v>
      </c>
      <c r="F171" s="464" t="s">
        <v>327</v>
      </c>
    </row>
    <row r="172" spans="1:8" hidden="1">
      <c r="A172" s="236" t="s">
        <v>500</v>
      </c>
      <c r="B172" s="236" t="s">
        <v>501</v>
      </c>
      <c r="C172" s="235">
        <v>45149</v>
      </c>
      <c r="D172" s="236" t="s">
        <v>502</v>
      </c>
      <c r="E172" s="236" t="s">
        <v>503</v>
      </c>
      <c r="F172" s="519">
        <v>65</v>
      </c>
      <c r="G172" s="487"/>
      <c r="H172" s="487"/>
    </row>
    <row r="173" spans="1:8" hidden="1">
      <c r="A173" s="236" t="s">
        <v>558</v>
      </c>
      <c r="B173" s="236" t="s">
        <v>42</v>
      </c>
      <c r="C173" s="235">
        <v>45149</v>
      </c>
      <c r="D173" s="236" t="s">
        <v>559</v>
      </c>
      <c r="E173" s="236" t="s">
        <v>560</v>
      </c>
      <c r="F173" s="519">
        <v>110</v>
      </c>
    </row>
    <row r="174" spans="1:8" hidden="1">
      <c r="A174" s="236" t="s">
        <v>549</v>
      </c>
      <c r="B174" s="236" t="s">
        <v>516</v>
      </c>
      <c r="C174" s="235">
        <v>45149</v>
      </c>
      <c r="D174" s="236" t="s">
        <v>550</v>
      </c>
      <c r="E174" s="236" t="s">
        <v>551</v>
      </c>
      <c r="F174" s="519">
        <v>35</v>
      </c>
      <c r="G174" s="492"/>
    </row>
    <row r="175" spans="1:8" hidden="1">
      <c r="A175" s="476" t="s">
        <v>119</v>
      </c>
      <c r="B175" s="299">
        <v>45149</v>
      </c>
      <c r="C175" s="477"/>
      <c r="D175" s="872" t="s">
        <v>415</v>
      </c>
      <c r="E175" s="872"/>
      <c r="F175" s="501">
        <f>TRUNC(MEDIAN(F171:F174),2)</f>
        <v>65</v>
      </c>
    </row>
    <row r="176" spans="1:8" hidden="1">
      <c r="A176" s="478"/>
      <c r="B176" s="362"/>
      <c r="C176" s="362"/>
      <c r="D176" s="362"/>
      <c r="E176" s="362"/>
      <c r="F176" s="521"/>
    </row>
    <row r="177" spans="1:6" s="6" customFormat="1" hidden="1">
      <c r="A177" s="460" t="s">
        <v>113</v>
      </c>
      <c r="B177" s="452" t="s">
        <v>362</v>
      </c>
      <c r="C177" s="452"/>
      <c r="D177" s="461"/>
      <c r="E177" s="461"/>
      <c r="F177" s="462" t="s">
        <v>416</v>
      </c>
    </row>
    <row r="178" spans="1:6" ht="30" hidden="1">
      <c r="A178" s="463" t="s">
        <v>114</v>
      </c>
      <c r="B178" s="463" t="s">
        <v>115</v>
      </c>
      <c r="C178" s="463" t="s">
        <v>116</v>
      </c>
      <c r="D178" s="463" t="s">
        <v>117</v>
      </c>
      <c r="E178" s="463" t="s">
        <v>118</v>
      </c>
      <c r="F178" s="464" t="s">
        <v>327</v>
      </c>
    </row>
    <row r="179" spans="1:6" hidden="1">
      <c r="A179" s="236" t="s">
        <v>358</v>
      </c>
      <c r="B179" s="236" t="s">
        <v>359</v>
      </c>
      <c r="C179" s="235">
        <v>44503</v>
      </c>
      <c r="D179" s="236" t="s">
        <v>360</v>
      </c>
      <c r="E179" s="236" t="s">
        <v>361</v>
      </c>
      <c r="F179" s="465">
        <v>250</v>
      </c>
    </row>
    <row r="180" spans="1:6" hidden="1">
      <c r="A180" s="300" t="s">
        <v>119</v>
      </c>
      <c r="B180" s="299">
        <v>45148</v>
      </c>
      <c r="C180" s="301"/>
      <c r="D180" s="872" t="s">
        <v>415</v>
      </c>
      <c r="E180" s="872"/>
      <c r="F180" s="466">
        <v>250</v>
      </c>
    </row>
  </sheetData>
  <mergeCells count="38">
    <mergeCell ref="D180:E180"/>
    <mergeCell ref="B1:F1"/>
    <mergeCell ref="B2:C2"/>
    <mergeCell ref="D2:E2"/>
    <mergeCell ref="D3:E3"/>
    <mergeCell ref="B3:C3"/>
    <mergeCell ref="D46:E46"/>
    <mergeCell ref="D55:E55"/>
    <mergeCell ref="D65:E65"/>
    <mergeCell ref="B67:C67"/>
    <mergeCell ref="D76:E76"/>
    <mergeCell ref="B78:C78"/>
    <mergeCell ref="D87:E87"/>
    <mergeCell ref="B89:C89"/>
    <mergeCell ref="D98:E98"/>
    <mergeCell ref="B100:C100"/>
    <mergeCell ref="A1:A3"/>
    <mergeCell ref="D12:E12"/>
    <mergeCell ref="D21:E21"/>
    <mergeCell ref="D30:E30"/>
    <mergeCell ref="D39:E39"/>
    <mergeCell ref="D109:E109"/>
    <mergeCell ref="B111:C111"/>
    <mergeCell ref="D120:E120"/>
    <mergeCell ref="B122:C122"/>
    <mergeCell ref="D130:E130"/>
    <mergeCell ref="B132:C132"/>
    <mergeCell ref="D137:E137"/>
    <mergeCell ref="B139:C139"/>
    <mergeCell ref="D144:E144"/>
    <mergeCell ref="B146:C146"/>
    <mergeCell ref="B170:C170"/>
    <mergeCell ref="D175:E175"/>
    <mergeCell ref="D151:E151"/>
    <mergeCell ref="B153:C153"/>
    <mergeCell ref="D158:E158"/>
    <mergeCell ref="D163:E163"/>
    <mergeCell ref="B165:C165"/>
  </mergeCells>
  <printOptions horizontalCentered="1"/>
  <pageMargins left="0.51181102362204722" right="0.51181102362204722" top="0.59055118110236227" bottom="0.78740157480314965" header="0.31496062992125984" footer="0.19685039370078741"/>
  <pageSetup paperSize="9" scale="75" orientation="landscape" r:id="rId1"/>
  <headerFooter>
    <oddFooter>&amp;CEng° Darcio Pagani Vieira
Crea/SC - 077.222-9</oddFooter>
  </headerFooter>
  <colBreaks count="1" manualBreakCount="1">
    <brk id="7" max="11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showGridLines="0" view="pageBreakPreview" zoomScale="85" zoomScaleNormal="55" zoomScaleSheetLayoutView="85" workbookViewId="0">
      <pane ySplit="5" topLeftCell="A6" activePane="bottomLeft" state="frozen"/>
      <selection activeCell="C26" sqref="C26"/>
      <selection pane="bottomLeft" activeCell="D8" sqref="D8"/>
    </sheetView>
  </sheetViews>
  <sheetFormatPr defaultRowHeight="15"/>
  <cols>
    <col min="1" max="1" width="17.28515625" style="249" customWidth="1"/>
    <col min="2" max="2" width="48.28515625" style="249" bestFit="1" customWidth="1"/>
    <col min="3" max="4" width="13.85546875" style="329" customWidth="1"/>
    <col min="5" max="5" width="22.140625" style="329" bestFit="1" customWidth="1"/>
    <col min="6" max="6" width="12.140625" style="327" bestFit="1" customWidth="1"/>
    <col min="7" max="7" width="49.7109375" style="534" bestFit="1" customWidth="1"/>
    <col min="8" max="8" width="15" style="545" customWidth="1"/>
    <col min="9" max="9" width="48.28515625" style="249" bestFit="1" customWidth="1"/>
    <col min="10" max="11" width="9.28515625" style="249" bestFit="1" customWidth="1"/>
    <col min="12" max="12" width="8.7109375" style="249" bestFit="1" customWidth="1"/>
    <col min="13" max="13" width="12.28515625" style="249" bestFit="1" customWidth="1"/>
    <col min="14" max="14" width="12.7109375" style="249" bestFit="1" customWidth="1"/>
    <col min="15" max="15" width="16.42578125" style="249" bestFit="1" customWidth="1"/>
    <col min="16" max="16384" width="9.140625" style="249"/>
  </cols>
  <sheetData>
    <row r="1" spans="1:11" ht="35.25" customHeight="1">
      <c r="A1" s="646"/>
      <c r="B1" s="879" t="s">
        <v>276</v>
      </c>
      <c r="C1" s="880"/>
      <c r="D1" s="880"/>
      <c r="E1" s="881"/>
      <c r="F1" s="322"/>
      <c r="G1" s="531"/>
      <c r="H1" s="540"/>
    </row>
    <row r="2" spans="1:11">
      <c r="A2" s="646"/>
      <c r="B2" s="429" t="str">
        <f>PAVIM.!$G$2</f>
        <v>PREFEITURA MUNICIPAL DE MARACAJÁ</v>
      </c>
      <c r="C2" s="660" t="str">
        <f>PAVIM.!$I$2</f>
        <v>BAIRRO: ESPIGÃO DA TOCA</v>
      </c>
      <c r="D2" s="660"/>
      <c r="E2" s="430" t="str">
        <f>PAVIM.!$K$2</f>
        <v>MUNICIPIO: MARACAJÁ</v>
      </c>
      <c r="F2" s="323"/>
      <c r="G2" s="532"/>
      <c r="H2" s="541"/>
    </row>
    <row r="3" spans="1:11">
      <c r="A3" s="646"/>
      <c r="B3" s="431" t="str">
        <f>PAVIM.!$G$3</f>
        <v>RODOVIA ANGELINO ACORDI</v>
      </c>
      <c r="C3" s="663" t="str">
        <f>PAVIM.!$M$2</f>
        <v>ESTADO: SANTA CATARINA</v>
      </c>
      <c r="D3" s="663"/>
      <c r="E3" s="432" t="str">
        <f ca="1">PAVIM.!$M$3</f>
        <v>DATA: 08/10/26</v>
      </c>
      <c r="F3" s="323"/>
      <c r="G3" s="532"/>
      <c r="H3" s="541"/>
    </row>
    <row r="4" spans="1:11">
      <c r="A4" s="10"/>
      <c r="B4" s="11"/>
      <c r="C4" s="13"/>
      <c r="D4" s="13"/>
      <c r="E4" s="167"/>
      <c r="F4" s="323"/>
      <c r="G4" s="532"/>
      <c r="H4" s="541"/>
    </row>
    <row r="5" spans="1:11" ht="15.75" customHeight="1">
      <c r="A5" s="529" t="s">
        <v>275</v>
      </c>
      <c r="B5" s="467" t="s">
        <v>274</v>
      </c>
      <c r="C5" s="468">
        <v>45017</v>
      </c>
      <c r="D5" s="468">
        <v>45323</v>
      </c>
      <c r="E5" s="529" t="s">
        <v>183</v>
      </c>
      <c r="F5" s="324"/>
      <c r="G5" s="533"/>
      <c r="H5" s="542"/>
    </row>
    <row r="6" spans="1:11" s="6" customFormat="1">
      <c r="A6" s="197" t="s">
        <v>277</v>
      </c>
      <c r="B6" s="196" t="s">
        <v>219</v>
      </c>
      <c r="C6" s="197">
        <v>472.85</v>
      </c>
      <c r="D6" s="197">
        <f>VLOOKUP(B6,G:H,2,FALSE)</f>
        <v>483.10500000000002</v>
      </c>
      <c r="E6" s="198">
        <f>D6/C6</f>
        <v>1.0216876387860843</v>
      </c>
      <c r="F6" s="324"/>
      <c r="G6" s="533" t="s">
        <v>219</v>
      </c>
      <c r="H6" s="542">
        <v>483.10500000000002</v>
      </c>
      <c r="I6" s="6">
        <v>483.10500000000002</v>
      </c>
      <c r="J6" s="338"/>
      <c r="K6" s="33"/>
    </row>
    <row r="7" spans="1:11">
      <c r="A7" s="197" t="s">
        <v>281</v>
      </c>
      <c r="B7" s="196" t="s">
        <v>260</v>
      </c>
      <c r="C7" s="197">
        <v>473.029</v>
      </c>
      <c r="D7" s="197">
        <f>VLOOKUP(B7,G:H,2,FALSE)</f>
        <v>467.39499999999998</v>
      </c>
      <c r="E7" s="198">
        <f t="shared" ref="E7:E25" si="0">D7/C7</f>
        <v>0.98808952516653314</v>
      </c>
      <c r="F7" s="325"/>
      <c r="G7" s="325" t="s">
        <v>260</v>
      </c>
      <c r="H7" s="543">
        <v>467.39499999999998</v>
      </c>
      <c r="I7" s="249">
        <v>562.59699999999998</v>
      </c>
    </row>
    <row r="8" spans="1:11" ht="15" customHeight="1">
      <c r="A8" s="197" t="s">
        <v>433</v>
      </c>
      <c r="B8" s="196" t="s">
        <v>426</v>
      </c>
      <c r="C8" s="197">
        <v>98.963999999999999</v>
      </c>
      <c r="D8" s="197">
        <f>VLOOKUP(B8,G:H,2,FALSE)</f>
        <v>97.105000000000004</v>
      </c>
      <c r="E8" s="198">
        <f t="shared" si="0"/>
        <v>0.98121539145547887</v>
      </c>
      <c r="F8" s="325"/>
      <c r="G8" s="325" t="s">
        <v>426</v>
      </c>
      <c r="H8" s="543">
        <v>97.105000000000004</v>
      </c>
      <c r="I8" s="6">
        <v>417.714</v>
      </c>
      <c r="J8" s="6"/>
    </row>
    <row r="9" spans="1:11">
      <c r="A9" s="197" t="s">
        <v>432</v>
      </c>
      <c r="B9" s="196" t="s">
        <v>421</v>
      </c>
      <c r="C9" s="197">
        <v>466.48099999999999</v>
      </c>
      <c r="D9" s="197">
        <f>VLOOKUP(B9,G:H,2,FALSE)</f>
        <v>470.416</v>
      </c>
      <c r="E9" s="198">
        <f t="shared" si="0"/>
        <v>1.0084354989806659</v>
      </c>
      <c r="F9" s="325"/>
      <c r="G9" s="325" t="s">
        <v>421</v>
      </c>
      <c r="H9" s="543">
        <v>470.416</v>
      </c>
      <c r="I9" s="249">
        <v>462.51600000000002</v>
      </c>
    </row>
    <row r="10" spans="1:11" s="6" customFormat="1">
      <c r="A10" s="197" t="s">
        <v>278</v>
      </c>
      <c r="B10" s="196" t="s">
        <v>185</v>
      </c>
      <c r="C10" s="197">
        <v>548.76499999999999</v>
      </c>
      <c r="D10" s="197">
        <f t="shared" ref="D10" si="1">VLOOKUP(B10,G:H,2,FALSE)</f>
        <v>562.59699999999998</v>
      </c>
      <c r="E10" s="198">
        <f>D10/C10</f>
        <v>1.0252056891383379</v>
      </c>
      <c r="F10" s="324"/>
      <c r="G10" s="533" t="s">
        <v>185</v>
      </c>
      <c r="H10" s="542">
        <v>562.59699999999998</v>
      </c>
      <c r="I10" s="249">
        <v>450.77</v>
      </c>
      <c r="J10" s="249"/>
    </row>
    <row r="11" spans="1:11">
      <c r="A11" s="197" t="s">
        <v>295</v>
      </c>
      <c r="B11" s="196" t="s">
        <v>420</v>
      </c>
      <c r="C11" s="197">
        <v>277.97199999999998</v>
      </c>
      <c r="D11" s="197">
        <f t="shared" ref="D11:D33" si="2">VLOOKUP(B11,G:H,2,FALSE)</f>
        <v>288.77199999999999</v>
      </c>
      <c r="E11" s="198">
        <f t="shared" si="0"/>
        <v>1.0388528340983985</v>
      </c>
      <c r="F11" s="325"/>
      <c r="G11" s="325" t="s">
        <v>420</v>
      </c>
      <c r="H11" s="543">
        <v>288.77199999999999</v>
      </c>
      <c r="I11" s="249">
        <v>262.72000000000003</v>
      </c>
    </row>
    <row r="12" spans="1:11">
      <c r="A12" s="197" t="s">
        <v>279</v>
      </c>
      <c r="B12" s="196" t="s">
        <v>184</v>
      </c>
      <c r="C12" s="197">
        <v>451.49599999999998</v>
      </c>
      <c r="D12" s="197">
        <f t="shared" si="2"/>
        <v>462.51600000000002</v>
      </c>
      <c r="E12" s="198">
        <f t="shared" si="0"/>
        <v>1.0244077466910007</v>
      </c>
      <c r="F12" s="325"/>
      <c r="G12" s="325" t="s">
        <v>184</v>
      </c>
      <c r="H12" s="543">
        <v>462.51600000000002</v>
      </c>
      <c r="I12" s="249">
        <v>97.105000000000004</v>
      </c>
    </row>
    <row r="13" spans="1:11">
      <c r="A13" s="197" t="s">
        <v>282</v>
      </c>
      <c r="B13" s="196" t="s">
        <v>187</v>
      </c>
      <c r="C13" s="197">
        <v>443.55900000000003</v>
      </c>
      <c r="D13" s="197">
        <f t="shared" si="2"/>
        <v>450.77</v>
      </c>
      <c r="E13" s="198">
        <f t="shared" si="0"/>
        <v>1.0162571382837458</v>
      </c>
      <c r="F13" s="325"/>
      <c r="G13" s="325" t="s">
        <v>187</v>
      </c>
      <c r="H13" s="543">
        <v>450.77</v>
      </c>
      <c r="I13" s="249">
        <v>470.416</v>
      </c>
    </row>
    <row r="14" spans="1:11">
      <c r="A14" s="197" t="s">
        <v>288</v>
      </c>
      <c r="B14" s="196" t="s">
        <v>261</v>
      </c>
      <c r="C14" s="197">
        <v>412.67500000000001</v>
      </c>
      <c r="D14" s="197">
        <f t="shared" si="2"/>
        <v>417.714</v>
      </c>
      <c r="E14" s="198">
        <f t="shared" si="0"/>
        <v>1.0122105773308294</v>
      </c>
      <c r="F14" s="325"/>
      <c r="G14" s="325" t="s">
        <v>261</v>
      </c>
      <c r="H14" s="543">
        <v>417.714</v>
      </c>
      <c r="I14" s="249">
        <v>116.05800000000001</v>
      </c>
    </row>
    <row r="15" spans="1:11">
      <c r="A15" s="197" t="s">
        <v>283</v>
      </c>
      <c r="B15" s="196" t="s">
        <v>262</v>
      </c>
      <c r="C15" s="197">
        <v>411.18599999999998</v>
      </c>
      <c r="D15" s="197">
        <f t="shared" si="2"/>
        <v>429.31799999999998</v>
      </c>
      <c r="E15" s="198">
        <f t="shared" si="0"/>
        <v>1.0440968320905868</v>
      </c>
      <c r="F15" s="325"/>
      <c r="G15" s="325" t="s">
        <v>262</v>
      </c>
      <c r="H15" s="543">
        <v>429.31799999999998</v>
      </c>
      <c r="I15" s="249">
        <v>160.249</v>
      </c>
    </row>
    <row r="16" spans="1:11">
      <c r="A16" s="197" t="s">
        <v>284</v>
      </c>
      <c r="B16" s="195" t="s">
        <v>263</v>
      </c>
      <c r="C16" s="197">
        <v>863.49800000000005</v>
      </c>
      <c r="D16" s="197">
        <f t="shared" si="2"/>
        <v>912.50900000000001</v>
      </c>
      <c r="E16" s="198">
        <f t="shared" si="0"/>
        <v>1.056758672284128</v>
      </c>
      <c r="F16" s="325"/>
      <c r="G16" s="325" t="s">
        <v>263</v>
      </c>
      <c r="H16" s="543">
        <v>912.50900000000001</v>
      </c>
      <c r="I16" s="249">
        <v>429.31799999999998</v>
      </c>
    </row>
    <row r="17" spans="1:10">
      <c r="A17" s="197" t="s">
        <v>280</v>
      </c>
      <c r="B17" s="362" t="s">
        <v>264</v>
      </c>
      <c r="C17" s="197">
        <v>1128.8050000000001</v>
      </c>
      <c r="D17" s="197">
        <f t="shared" si="2"/>
        <v>1098.095</v>
      </c>
      <c r="E17" s="198">
        <f t="shared" si="0"/>
        <v>0.97279423815450849</v>
      </c>
      <c r="F17" s="325"/>
      <c r="G17" s="325" t="s">
        <v>264</v>
      </c>
      <c r="H17" s="543">
        <v>1098.095</v>
      </c>
      <c r="I17" s="6">
        <v>906.28899999999999</v>
      </c>
      <c r="J17" s="6"/>
    </row>
    <row r="18" spans="1:10" s="6" customFormat="1">
      <c r="A18" s="197" t="s">
        <v>289</v>
      </c>
      <c r="B18" s="196" t="s">
        <v>357</v>
      </c>
      <c r="C18" s="197">
        <v>1061.635</v>
      </c>
      <c r="D18" s="197">
        <f t="shared" si="2"/>
        <v>1092.6849999999999</v>
      </c>
      <c r="E18" s="198">
        <f t="shared" si="0"/>
        <v>1.0292473401875408</v>
      </c>
      <c r="F18" s="324"/>
      <c r="G18" s="533" t="s">
        <v>357</v>
      </c>
      <c r="H18" s="542">
        <v>1092.6849999999999</v>
      </c>
      <c r="I18" s="249">
        <v>827.53800000000001</v>
      </c>
      <c r="J18" s="249"/>
    </row>
    <row r="19" spans="1:10">
      <c r="A19" s="197" t="s">
        <v>290</v>
      </c>
      <c r="B19" s="196" t="s">
        <v>265</v>
      </c>
      <c r="C19" s="197">
        <v>1360.703</v>
      </c>
      <c r="D19" s="197">
        <f t="shared" si="2"/>
        <v>1299.43</v>
      </c>
      <c r="E19" s="198">
        <f t="shared" si="0"/>
        <v>0.9549696002728002</v>
      </c>
      <c r="F19" s="325"/>
      <c r="G19" s="325" t="s">
        <v>265</v>
      </c>
      <c r="H19" s="543">
        <v>1299.43</v>
      </c>
      <c r="I19" s="249">
        <v>142.30799999999999</v>
      </c>
    </row>
    <row r="20" spans="1:10">
      <c r="A20" s="197" t="s">
        <v>434</v>
      </c>
      <c r="B20" s="196" t="s">
        <v>266</v>
      </c>
      <c r="C20" s="197">
        <v>370.24400000000003</v>
      </c>
      <c r="D20" s="197">
        <f t="shared" si="2"/>
        <v>345.59300000000002</v>
      </c>
      <c r="E20" s="198">
        <f t="shared" si="0"/>
        <v>0.93341958276163828</v>
      </c>
      <c r="F20" s="325"/>
      <c r="G20" s="325" t="s">
        <v>266</v>
      </c>
      <c r="H20" s="543">
        <v>345.59300000000002</v>
      </c>
      <c r="I20" s="249">
        <v>140.922</v>
      </c>
    </row>
    <row r="21" spans="1:10">
      <c r="A21" s="197" t="s">
        <v>291</v>
      </c>
      <c r="B21" s="196" t="s">
        <v>267</v>
      </c>
      <c r="C21" s="197">
        <v>495.01299999999998</v>
      </c>
      <c r="D21" s="197">
        <f t="shared" si="2"/>
        <v>475.55900000000003</v>
      </c>
      <c r="E21" s="198">
        <f t="shared" si="0"/>
        <v>0.96070002201962379</v>
      </c>
      <c r="F21" s="326"/>
      <c r="G21" s="326" t="s">
        <v>267</v>
      </c>
      <c r="H21" s="544">
        <v>475.55900000000003</v>
      </c>
      <c r="I21" s="249">
        <v>881.24</v>
      </c>
    </row>
    <row r="22" spans="1:10">
      <c r="A22" s="197" t="s">
        <v>285</v>
      </c>
      <c r="B22" s="196" t="s">
        <v>186</v>
      </c>
      <c r="C22" s="197">
        <v>263.33300000000003</v>
      </c>
      <c r="D22" s="197">
        <f t="shared" si="2"/>
        <v>262.72000000000003</v>
      </c>
      <c r="E22" s="198">
        <f t="shared" si="0"/>
        <v>0.99767214895208733</v>
      </c>
      <c r="F22" s="325"/>
      <c r="G22" s="325" t="s">
        <v>186</v>
      </c>
      <c r="H22" s="543">
        <v>262.72000000000003</v>
      </c>
      <c r="I22" s="89">
        <v>134.14599999999999</v>
      </c>
    </row>
    <row r="23" spans="1:10">
      <c r="A23" s="197" t="s">
        <v>286</v>
      </c>
      <c r="B23" s="195" t="s">
        <v>268</v>
      </c>
      <c r="C23" s="197">
        <v>835.548</v>
      </c>
      <c r="D23" s="197">
        <f t="shared" si="2"/>
        <v>881.24</v>
      </c>
      <c r="E23" s="198">
        <f t="shared" si="0"/>
        <v>1.0546850689607299</v>
      </c>
      <c r="F23" s="325"/>
      <c r="G23" s="325" t="s">
        <v>268</v>
      </c>
      <c r="H23" s="543">
        <v>881.24</v>
      </c>
      <c r="I23" s="89">
        <v>141.79300000000001</v>
      </c>
    </row>
    <row r="24" spans="1:10">
      <c r="A24" s="197" t="s">
        <v>292</v>
      </c>
      <c r="B24" s="195" t="s">
        <v>269</v>
      </c>
      <c r="C24" s="197">
        <v>905.84799999999996</v>
      </c>
      <c r="D24" s="197">
        <f t="shared" si="2"/>
        <v>906.28899999999999</v>
      </c>
      <c r="E24" s="198">
        <f t="shared" si="0"/>
        <v>1.0004868366436754</v>
      </c>
      <c r="F24" s="325"/>
      <c r="G24" s="325" t="s">
        <v>269</v>
      </c>
      <c r="H24" s="543">
        <v>906.28899999999999</v>
      </c>
      <c r="I24" s="89">
        <v>171.65</v>
      </c>
    </row>
    <row r="25" spans="1:10">
      <c r="A25" s="197" t="s">
        <v>435</v>
      </c>
      <c r="B25" s="195" t="s">
        <v>270</v>
      </c>
      <c r="C25" s="197">
        <v>835.39</v>
      </c>
      <c r="D25" s="197">
        <f t="shared" si="2"/>
        <v>827.53800000000001</v>
      </c>
      <c r="E25" s="198">
        <f t="shared" si="0"/>
        <v>0.99060079723243044</v>
      </c>
      <c r="F25" s="325"/>
      <c r="G25" s="325" t="s">
        <v>270</v>
      </c>
      <c r="H25" s="543">
        <v>827.53800000000001</v>
      </c>
      <c r="I25" s="89">
        <v>146.21</v>
      </c>
    </row>
    <row r="26" spans="1:10">
      <c r="A26" s="197" t="s">
        <v>287</v>
      </c>
      <c r="B26" s="195" t="s">
        <v>271</v>
      </c>
      <c r="C26" s="197">
        <v>139.898</v>
      </c>
      <c r="D26" s="197">
        <f t="shared" si="2"/>
        <v>146.21</v>
      </c>
      <c r="E26" s="198">
        <f>D26/C26</f>
        <v>1.0451185863986621</v>
      </c>
      <c r="F26" s="325"/>
      <c r="G26" s="325" t="s">
        <v>271</v>
      </c>
      <c r="H26" s="543">
        <v>146.21</v>
      </c>
      <c r="I26" s="89">
        <v>288.77199999999999</v>
      </c>
    </row>
    <row r="27" spans="1:10">
      <c r="A27" s="197" t="s">
        <v>293</v>
      </c>
      <c r="B27" s="195" t="s">
        <v>272</v>
      </c>
      <c r="C27" s="197">
        <v>170.00399999999999</v>
      </c>
      <c r="D27" s="197">
        <f t="shared" si="2"/>
        <v>171.65</v>
      </c>
      <c r="E27" s="198">
        <f>D27/C27</f>
        <v>1.0096821251264676</v>
      </c>
      <c r="F27" s="325"/>
      <c r="G27" s="325" t="s">
        <v>272</v>
      </c>
      <c r="H27" s="543">
        <v>171.65</v>
      </c>
      <c r="I27" s="538">
        <v>1092.6849999999999</v>
      </c>
    </row>
    <row r="28" spans="1:10">
      <c r="A28" s="197" t="s">
        <v>294</v>
      </c>
      <c r="B28" s="196" t="s">
        <v>273</v>
      </c>
      <c r="C28" s="197">
        <v>159.239</v>
      </c>
      <c r="D28" s="197">
        <f t="shared" si="2"/>
        <v>160.249</v>
      </c>
      <c r="E28" s="198">
        <f>D28/C28</f>
        <v>1.0063426673113998</v>
      </c>
      <c r="G28" s="534" t="s">
        <v>273</v>
      </c>
      <c r="H28" s="545">
        <v>160.249</v>
      </c>
      <c r="I28" s="539">
        <v>1098.095</v>
      </c>
      <c r="J28" s="6"/>
    </row>
    <row r="29" spans="1:10" s="6" customFormat="1">
      <c r="A29" s="197" t="s">
        <v>436</v>
      </c>
      <c r="B29" s="196" t="s">
        <v>427</v>
      </c>
      <c r="C29" s="197">
        <v>146.32499999999999</v>
      </c>
      <c r="D29" s="197">
        <f t="shared" si="2"/>
        <v>148.09</v>
      </c>
      <c r="E29" s="198">
        <f t="shared" ref="E29:E33" si="3">D29/C29</f>
        <v>1.0120621903297455</v>
      </c>
      <c r="F29" s="324"/>
      <c r="G29" s="533" t="s">
        <v>427</v>
      </c>
      <c r="H29" s="542">
        <v>148.09</v>
      </c>
      <c r="I29" s="249"/>
      <c r="J29" s="249"/>
    </row>
    <row r="30" spans="1:10">
      <c r="A30" s="197" t="s">
        <v>437</v>
      </c>
      <c r="B30" s="196" t="s">
        <v>428</v>
      </c>
      <c r="C30" s="197">
        <v>137.001</v>
      </c>
      <c r="D30" s="197">
        <f t="shared" si="2"/>
        <v>134.14599999999999</v>
      </c>
      <c r="E30" s="198">
        <f t="shared" si="3"/>
        <v>0.97916073605302134</v>
      </c>
      <c r="F30" s="325"/>
      <c r="G30" s="325" t="s">
        <v>428</v>
      </c>
      <c r="H30" s="543">
        <v>134.14599999999999</v>
      </c>
      <c r="I30" s="89"/>
    </row>
    <row r="31" spans="1:10">
      <c r="A31" s="197" t="s">
        <v>438</v>
      </c>
      <c r="B31" s="196" t="s">
        <v>429</v>
      </c>
      <c r="C31" s="197">
        <v>142.49600000000001</v>
      </c>
      <c r="D31" s="197">
        <f t="shared" si="2"/>
        <v>140.922</v>
      </c>
      <c r="E31" s="198">
        <f t="shared" si="3"/>
        <v>0.98895407590388495</v>
      </c>
      <c r="F31" s="325"/>
      <c r="G31" s="325" t="s">
        <v>429</v>
      </c>
      <c r="H31" s="543">
        <v>140.922</v>
      </c>
      <c r="I31" s="89"/>
    </row>
    <row r="32" spans="1:10">
      <c r="A32" s="197" t="s">
        <v>439</v>
      </c>
      <c r="B32" s="196" t="s">
        <v>430</v>
      </c>
      <c r="C32" s="197">
        <v>144.82599999999999</v>
      </c>
      <c r="D32" s="197">
        <f t="shared" si="2"/>
        <v>141.79300000000001</v>
      </c>
      <c r="E32" s="198">
        <f t="shared" si="3"/>
        <v>0.97905762777401861</v>
      </c>
      <c r="F32" s="325"/>
      <c r="G32" s="325" t="s">
        <v>430</v>
      </c>
      <c r="H32" s="543">
        <v>141.79300000000001</v>
      </c>
    </row>
    <row r="33" spans="1:14">
      <c r="A33" s="197" t="s">
        <v>440</v>
      </c>
      <c r="B33" s="196" t="s">
        <v>431</v>
      </c>
      <c r="C33" s="197">
        <v>117.68</v>
      </c>
      <c r="D33" s="197">
        <f t="shared" si="2"/>
        <v>116.05800000000001</v>
      </c>
      <c r="E33" s="198">
        <f t="shared" si="3"/>
        <v>0.98621685927940173</v>
      </c>
      <c r="F33" s="323"/>
      <c r="G33" s="532" t="s">
        <v>431</v>
      </c>
      <c r="H33" s="541">
        <v>116.05800000000001</v>
      </c>
      <c r="K33" s="250"/>
      <c r="L33" s="250"/>
      <c r="M33" s="250"/>
      <c r="N33" s="250"/>
    </row>
    <row r="34" spans="1:14">
      <c r="A34" s="339"/>
      <c r="B34" s="14"/>
      <c r="C34" s="339"/>
      <c r="D34" s="339"/>
      <c r="E34" s="339"/>
      <c r="F34" s="323"/>
      <c r="G34" s="532"/>
      <c r="H34" s="541"/>
      <c r="K34" s="250"/>
      <c r="L34" s="250"/>
      <c r="M34" s="250"/>
      <c r="N34" s="250"/>
    </row>
    <row r="35" spans="1:14">
      <c r="A35" s="9"/>
      <c r="B35" s="8"/>
      <c r="C35" s="9"/>
      <c r="D35" s="9"/>
      <c r="E35" s="9"/>
      <c r="F35" s="323"/>
      <c r="G35" s="532"/>
      <c r="H35" s="541"/>
      <c r="K35" s="250"/>
      <c r="L35" s="250"/>
      <c r="M35" s="250"/>
      <c r="N35" s="250"/>
    </row>
    <row r="36" spans="1:14">
      <c r="A36" s="9"/>
      <c r="B36" s="8"/>
      <c r="C36" s="9"/>
      <c r="D36" s="9"/>
      <c r="E36" s="9"/>
      <c r="F36" s="323"/>
      <c r="G36" s="532"/>
      <c r="H36" s="541"/>
      <c r="K36" s="250"/>
      <c r="L36" s="250"/>
      <c r="M36" s="250"/>
      <c r="N36" s="250"/>
    </row>
    <row r="37" spans="1:14">
      <c r="A37" s="9"/>
      <c r="B37" s="8"/>
      <c r="C37" s="9"/>
      <c r="D37" s="9"/>
      <c r="E37" s="9"/>
      <c r="F37" s="323"/>
      <c r="G37" s="532"/>
      <c r="H37" s="541"/>
      <c r="K37" s="250"/>
      <c r="L37" s="250"/>
      <c r="M37" s="250"/>
      <c r="N37" s="250"/>
    </row>
    <row r="38" spans="1:14">
      <c r="A38" s="9"/>
      <c r="B38" s="8"/>
      <c r="C38" s="9"/>
      <c r="D38" s="9"/>
      <c r="E38" s="9"/>
      <c r="F38" s="323"/>
      <c r="G38" s="532"/>
      <c r="H38" s="541"/>
      <c r="K38" s="250"/>
      <c r="L38" s="250"/>
      <c r="M38" s="250"/>
      <c r="N38" s="250"/>
    </row>
    <row r="39" spans="1:14">
      <c r="A39" s="9"/>
      <c r="B39" s="8"/>
      <c r="C39" s="9"/>
      <c r="D39" s="9"/>
      <c r="E39" s="9"/>
      <c r="F39" s="323"/>
      <c r="G39" s="532"/>
      <c r="H39" s="541"/>
      <c r="K39" s="250"/>
      <c r="L39" s="250"/>
      <c r="M39" s="250"/>
      <c r="N39" s="250"/>
    </row>
    <row r="40" spans="1:14">
      <c r="A40" s="9"/>
      <c r="B40" s="8"/>
      <c r="C40" s="9"/>
      <c r="D40" s="9"/>
      <c r="E40" s="9"/>
      <c r="F40" s="323"/>
      <c r="G40" s="532"/>
      <c r="H40" s="541"/>
      <c r="K40" s="250"/>
      <c r="L40" s="250"/>
      <c r="M40" s="250"/>
      <c r="N40" s="250"/>
    </row>
    <row r="41" spans="1:14">
      <c r="A41" s="9"/>
      <c r="B41" s="8"/>
      <c r="C41" s="9"/>
      <c r="D41" s="9"/>
      <c r="E41" s="9"/>
      <c r="F41" s="323"/>
      <c r="G41" s="532"/>
      <c r="H41" s="541"/>
      <c r="K41" s="250"/>
      <c r="L41" s="250"/>
      <c r="M41" s="250"/>
      <c r="N41" s="250"/>
    </row>
    <row r="42" spans="1:14">
      <c r="A42" s="9"/>
      <c r="B42" s="8"/>
      <c r="C42" s="9"/>
      <c r="D42" s="9"/>
      <c r="E42" s="9"/>
      <c r="F42" s="323"/>
      <c r="G42" s="532"/>
      <c r="H42" s="541"/>
      <c r="K42" s="250"/>
      <c r="L42" s="250"/>
      <c r="M42" s="250"/>
      <c r="N42" s="250"/>
    </row>
    <row r="43" spans="1:14">
      <c r="A43" s="9"/>
      <c r="B43" s="8"/>
      <c r="C43" s="9"/>
      <c r="D43" s="9"/>
      <c r="E43" s="9"/>
      <c r="F43" s="323"/>
      <c r="G43" s="532"/>
      <c r="H43" s="541"/>
      <c r="K43" s="250"/>
      <c r="L43" s="250"/>
      <c r="M43" s="250"/>
      <c r="N43" s="250"/>
    </row>
    <row r="44" spans="1:14">
      <c r="A44" s="9"/>
      <c r="B44" s="8"/>
      <c r="C44" s="9"/>
      <c r="D44" s="9"/>
      <c r="E44" s="9"/>
      <c r="F44" s="323"/>
      <c r="G44" s="532"/>
      <c r="H44" s="541"/>
      <c r="K44" s="250"/>
      <c r="L44" s="250"/>
      <c r="M44" s="250"/>
      <c r="N44" s="250"/>
    </row>
    <row r="45" spans="1:14">
      <c r="A45" s="9"/>
      <c r="B45" s="8"/>
      <c r="C45" s="9"/>
      <c r="D45" s="9"/>
      <c r="E45" s="9"/>
      <c r="F45" s="323"/>
      <c r="G45" s="532"/>
      <c r="H45" s="541"/>
      <c r="K45" s="250"/>
      <c r="L45" s="250"/>
      <c r="M45" s="250"/>
      <c r="N45" s="250"/>
    </row>
    <row r="46" spans="1:14">
      <c r="A46" s="9"/>
      <c r="B46" s="8"/>
      <c r="C46" s="9"/>
      <c r="D46" s="9"/>
      <c r="E46" s="9"/>
      <c r="F46" s="323"/>
      <c r="G46" s="532"/>
      <c r="H46" s="541"/>
      <c r="K46" s="250"/>
      <c r="L46" s="250"/>
      <c r="M46" s="250"/>
      <c r="N46" s="250"/>
    </row>
    <row r="47" spans="1:14">
      <c r="A47" s="9"/>
      <c r="B47" s="8"/>
      <c r="C47" s="9"/>
      <c r="D47" s="9"/>
      <c r="E47" s="9"/>
      <c r="F47" s="323"/>
      <c r="G47" s="532"/>
      <c r="H47" s="541"/>
      <c r="K47" s="250"/>
      <c r="L47" s="250"/>
      <c r="M47" s="250"/>
      <c r="N47" s="250"/>
    </row>
    <row r="48" spans="1:14">
      <c r="A48" s="9"/>
      <c r="B48" s="8"/>
      <c r="C48" s="9"/>
      <c r="D48" s="9"/>
      <c r="E48" s="9"/>
      <c r="F48" s="323"/>
      <c r="G48" s="532"/>
      <c r="H48" s="541"/>
      <c r="K48" s="250"/>
      <c r="L48" s="250"/>
      <c r="M48" s="250"/>
      <c r="N48" s="250"/>
    </row>
    <row r="49" spans="1:14">
      <c r="A49" s="9"/>
      <c r="B49" s="8"/>
      <c r="C49" s="9"/>
      <c r="D49" s="9"/>
      <c r="E49" s="9"/>
      <c r="F49" s="323"/>
      <c r="G49" s="532"/>
      <c r="H49" s="541"/>
      <c r="K49" s="250"/>
      <c r="L49" s="250"/>
      <c r="M49" s="250"/>
      <c r="N49" s="250"/>
    </row>
    <row r="50" spans="1:14">
      <c r="A50" s="9"/>
      <c r="B50" s="8"/>
      <c r="C50" s="9"/>
      <c r="D50" s="9"/>
      <c r="E50" s="9"/>
      <c r="F50" s="323"/>
      <c r="G50" s="532"/>
      <c r="H50" s="541"/>
      <c r="K50" s="250"/>
      <c r="L50" s="250"/>
      <c r="M50" s="250"/>
      <c r="N50" s="250"/>
    </row>
    <row r="51" spans="1:14">
      <c r="A51" s="9"/>
      <c r="B51" s="8"/>
      <c r="C51" s="9"/>
      <c r="D51" s="9"/>
      <c r="E51" s="9"/>
      <c r="F51" s="323"/>
      <c r="G51" s="532"/>
      <c r="H51" s="541"/>
      <c r="K51" s="250"/>
      <c r="L51" s="250"/>
      <c r="M51" s="250"/>
      <c r="N51" s="250"/>
    </row>
    <row r="52" spans="1:14">
      <c r="A52" s="9"/>
      <c r="B52" s="8"/>
      <c r="C52" s="9"/>
      <c r="D52" s="9"/>
      <c r="E52" s="9"/>
      <c r="F52" s="323"/>
      <c r="G52" s="532"/>
      <c r="H52" s="541"/>
      <c r="K52" s="250"/>
      <c r="L52" s="250"/>
      <c r="M52" s="250"/>
      <c r="N52" s="250"/>
    </row>
    <row r="53" spans="1:14">
      <c r="A53" s="9"/>
      <c r="B53" s="8"/>
      <c r="C53" s="9"/>
      <c r="D53" s="9"/>
      <c r="E53" s="9"/>
      <c r="F53" s="323"/>
      <c r="G53" s="532"/>
      <c r="H53" s="541"/>
      <c r="K53" s="250"/>
      <c r="L53" s="250"/>
      <c r="M53" s="250"/>
      <c r="N53" s="250"/>
    </row>
    <row r="54" spans="1:14">
      <c r="A54" s="9"/>
      <c r="B54" s="8"/>
      <c r="C54" s="9"/>
      <c r="D54" s="9"/>
      <c r="E54" s="9"/>
      <c r="F54" s="323"/>
      <c r="G54" s="532"/>
      <c r="H54" s="541"/>
      <c r="K54" s="250"/>
      <c r="L54" s="250"/>
      <c r="M54" s="250"/>
      <c r="N54" s="250"/>
    </row>
    <row r="55" spans="1:14">
      <c r="A55" s="9"/>
      <c r="B55" s="8"/>
      <c r="C55" s="9"/>
      <c r="D55" s="9"/>
      <c r="E55" s="9"/>
      <c r="F55" s="323"/>
      <c r="G55" s="532"/>
      <c r="H55" s="541"/>
      <c r="K55" s="250"/>
      <c r="L55" s="250"/>
      <c r="M55" s="250"/>
      <c r="N55" s="250"/>
    </row>
    <row r="56" spans="1:14">
      <c r="A56" s="9"/>
      <c r="B56" s="8"/>
      <c r="C56" s="9"/>
      <c r="D56" s="9"/>
      <c r="E56" s="9"/>
      <c r="F56" s="323"/>
      <c r="G56" s="532"/>
      <c r="H56" s="541"/>
      <c r="K56" s="250"/>
      <c r="L56" s="250"/>
      <c r="M56" s="250"/>
      <c r="N56" s="250"/>
    </row>
    <row r="57" spans="1:14">
      <c r="A57" s="9"/>
      <c r="B57" s="8"/>
      <c r="C57" s="9"/>
      <c r="D57" s="9"/>
      <c r="E57" s="9"/>
      <c r="F57" s="323"/>
      <c r="G57" s="532"/>
      <c r="H57" s="541"/>
      <c r="K57" s="250"/>
      <c r="L57" s="250"/>
      <c r="M57" s="250"/>
      <c r="N57" s="250"/>
    </row>
    <row r="58" spans="1:14">
      <c r="A58" s="9"/>
      <c r="B58" s="8"/>
      <c r="C58" s="9"/>
      <c r="D58" s="9"/>
      <c r="E58" s="9"/>
      <c r="F58" s="323"/>
      <c r="G58" s="532"/>
      <c r="H58" s="541"/>
      <c r="K58" s="250"/>
      <c r="L58" s="250"/>
      <c r="M58" s="250"/>
      <c r="N58" s="250"/>
    </row>
    <row r="59" spans="1:14">
      <c r="A59" s="9"/>
      <c r="B59" s="8"/>
      <c r="C59" s="9"/>
      <c r="D59" s="9"/>
      <c r="E59" s="9"/>
      <c r="F59" s="323"/>
      <c r="G59" s="532"/>
      <c r="H59" s="541"/>
      <c r="K59" s="250"/>
      <c r="L59" s="250"/>
      <c r="M59" s="250"/>
      <c r="N59" s="250"/>
    </row>
    <row r="60" spans="1:14">
      <c r="A60" s="9"/>
      <c r="B60" s="8"/>
      <c r="C60" s="9"/>
      <c r="D60" s="9"/>
      <c r="E60" s="9"/>
      <c r="F60" s="323"/>
      <c r="G60" s="532"/>
      <c r="H60" s="541"/>
      <c r="K60" s="250"/>
      <c r="L60" s="250"/>
      <c r="M60" s="250"/>
      <c r="N60" s="250"/>
    </row>
    <row r="61" spans="1:14">
      <c r="A61" s="8"/>
      <c r="B61" s="8"/>
      <c r="C61" s="9"/>
      <c r="D61" s="9"/>
      <c r="E61" s="9"/>
      <c r="F61" s="323"/>
      <c r="G61" s="532"/>
      <c r="H61" s="541"/>
      <c r="K61" s="250"/>
      <c r="L61" s="250"/>
      <c r="M61" s="250"/>
      <c r="N61" s="250"/>
    </row>
    <row r="62" spans="1:14">
      <c r="A62" s="8"/>
      <c r="B62" s="8"/>
      <c r="C62" s="9"/>
      <c r="D62" s="9"/>
      <c r="E62" s="9"/>
      <c r="F62" s="323"/>
      <c r="G62" s="532"/>
      <c r="H62" s="541"/>
    </row>
    <row r="63" spans="1:14">
      <c r="A63" s="8"/>
      <c r="B63" s="8"/>
      <c r="C63" s="9"/>
      <c r="D63" s="9"/>
      <c r="E63" s="9"/>
      <c r="F63" s="323"/>
      <c r="G63" s="532"/>
      <c r="H63" s="541"/>
    </row>
    <row r="64" spans="1:14">
      <c r="A64" s="8"/>
      <c r="B64" s="8"/>
      <c r="C64" s="9"/>
      <c r="D64" s="32"/>
      <c r="E64" s="424"/>
      <c r="F64" s="323"/>
      <c r="G64" s="532"/>
      <c r="H64" s="541"/>
    </row>
    <row r="65" spans="1:14">
      <c r="A65" s="8"/>
      <c r="B65" s="8"/>
      <c r="C65" s="9"/>
      <c r="D65" s="9"/>
      <c r="E65" s="9"/>
      <c r="F65" s="328"/>
      <c r="G65" s="532"/>
      <c r="H65" s="546"/>
    </row>
    <row r="66" spans="1:14" s="251" customFormat="1">
      <c r="A66" s="249"/>
      <c r="B66" s="249"/>
      <c r="C66" s="329"/>
      <c r="D66" s="329"/>
      <c r="E66" s="329"/>
      <c r="F66" s="323"/>
      <c r="G66" s="532"/>
      <c r="H66" s="541"/>
      <c r="I66" s="249"/>
      <c r="J66" s="249"/>
      <c r="K66" s="249"/>
      <c r="L66" s="249"/>
      <c r="M66" s="249"/>
      <c r="N66" s="249"/>
    </row>
    <row r="68" spans="1:14" s="251" customFormat="1">
      <c r="A68" s="249"/>
      <c r="B68" s="249"/>
      <c r="C68" s="329"/>
      <c r="D68" s="329"/>
      <c r="E68" s="329"/>
      <c r="F68" s="327"/>
      <c r="G68" s="534"/>
      <c r="H68" s="545"/>
      <c r="I68" s="249"/>
      <c r="J68" s="249"/>
      <c r="K68" s="249"/>
      <c r="L68" s="249"/>
      <c r="M68" s="249"/>
      <c r="N68" s="249"/>
    </row>
    <row r="69" spans="1:14" s="251" customFormat="1">
      <c r="A69" s="249"/>
      <c r="B69" s="249"/>
      <c r="C69" s="329"/>
      <c r="D69" s="329"/>
      <c r="E69" s="329"/>
      <c r="F69" s="327"/>
      <c r="G69" s="534"/>
      <c r="H69" s="545"/>
      <c r="I69" s="249"/>
      <c r="J69" s="249"/>
      <c r="K69" s="249"/>
      <c r="L69" s="249"/>
      <c r="M69" s="249"/>
      <c r="N69" s="249"/>
    </row>
    <row r="70" spans="1:14" s="251" customFormat="1">
      <c r="A70" s="249"/>
      <c r="B70" s="249"/>
      <c r="C70" s="329"/>
      <c r="D70" s="329"/>
      <c r="E70" s="329"/>
      <c r="F70" s="327"/>
      <c r="G70" s="534"/>
      <c r="H70" s="545"/>
      <c r="I70" s="249"/>
      <c r="J70" s="249"/>
      <c r="K70" s="249"/>
      <c r="L70" s="249"/>
      <c r="M70" s="249"/>
      <c r="N70" s="249"/>
    </row>
  </sheetData>
  <mergeCells count="4">
    <mergeCell ref="C2:D2"/>
    <mergeCell ref="C3:D3"/>
    <mergeCell ref="B1:E1"/>
    <mergeCell ref="A1:A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headerFooter>
    <oddFooter>&amp;CEng° Darcio Pagani Vieira
Crea/SC - 077.222-9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GridLines="0" view="pageBreakPreview" zoomScaleNormal="100" zoomScaleSheetLayoutView="100" workbookViewId="0">
      <selection activeCell="A10" sqref="A10:M10"/>
    </sheetView>
  </sheetViews>
  <sheetFormatPr defaultRowHeight="15"/>
  <cols>
    <col min="1" max="1" width="16.42578125" style="249" customWidth="1"/>
    <col min="2" max="2" width="55.42578125" style="249" bestFit="1" customWidth="1"/>
    <col min="3" max="3" width="37.140625" style="249" customWidth="1"/>
    <col min="4" max="4" width="34.85546875" style="249" customWidth="1"/>
    <col min="5" max="5" width="25.28515625" style="249" customWidth="1"/>
    <col min="6" max="6" width="9.5703125" style="249" bestFit="1" customWidth="1"/>
    <col min="7" max="16384" width="9.140625" style="249"/>
  </cols>
  <sheetData>
    <row r="1" spans="1:6" ht="49.5" customHeight="1">
      <c r="A1" s="883" t="s">
        <v>456</v>
      </c>
      <c r="B1" s="882" t="s">
        <v>174</v>
      </c>
      <c r="C1" s="882"/>
      <c r="D1" s="882"/>
      <c r="E1" s="391"/>
    </row>
    <row r="2" spans="1:6" ht="15.75" customHeight="1">
      <c r="A2" s="884"/>
      <c r="B2" s="425" t="str">
        <f>[3]PAVIM.!$G$2</f>
        <v>PREFEITURA MUNICIPAL DE MARACAJÁ</v>
      </c>
      <c r="C2" s="426" t="str">
        <f>[3]PAVIM.!$I$2</f>
        <v>BAIRRO: VILA BEATRIZ</v>
      </c>
      <c r="D2" s="426" t="str">
        <f>[3]PAVIM.!$M$2</f>
        <v>ESTADO: SANTA CATARINA</v>
      </c>
      <c r="E2" s="392"/>
    </row>
    <row r="3" spans="1:6" ht="15.75" customHeight="1">
      <c r="A3" s="885"/>
      <c r="B3" s="427" t="str">
        <f>[3]PAVIM.!$G$3</f>
        <v>RUA FLORIANÓPOLIS</v>
      </c>
      <c r="C3" s="425" t="str">
        <f>[3]PAVIM.!$K$2</f>
        <v>MUNICIPIO: MARACAJÁ</v>
      </c>
      <c r="D3" s="428" t="str">
        <f ca="1">PAVIM.!M3</f>
        <v>DATA: 08/10/26</v>
      </c>
      <c r="E3" s="393"/>
    </row>
    <row r="4" spans="1:6" ht="15.75">
      <c r="A4" s="389"/>
      <c r="B4" s="388"/>
      <c r="C4" s="102"/>
      <c r="D4" s="102"/>
      <c r="E4" s="390"/>
    </row>
    <row r="5" spans="1:6" ht="41.25" customHeight="1">
      <c r="A5" s="387" t="s">
        <v>175</v>
      </c>
      <c r="B5" s="900" t="s">
        <v>176</v>
      </c>
      <c r="C5" s="901"/>
      <c r="D5" s="901"/>
      <c r="E5" s="902"/>
    </row>
    <row r="6" spans="1:6" ht="18.75" customHeight="1">
      <c r="A6" s="469" t="s">
        <v>177</v>
      </c>
      <c r="B6" s="892" t="s">
        <v>178</v>
      </c>
      <c r="C6" s="893"/>
      <c r="D6" s="470" t="s">
        <v>422</v>
      </c>
      <c r="E6" s="471" t="s">
        <v>179</v>
      </c>
    </row>
    <row r="7" spans="1:6" ht="18.75" customHeight="1">
      <c r="A7" s="472">
        <v>46113</v>
      </c>
      <c r="B7" s="894" t="s">
        <v>180</v>
      </c>
      <c r="C7" s="895"/>
      <c r="D7" s="385" t="s">
        <v>423</v>
      </c>
      <c r="E7" s="552">
        <v>2.7792232389467499</v>
      </c>
      <c r="F7" s="103"/>
    </row>
    <row r="8" spans="1:6" ht="18.75" customHeight="1">
      <c r="A8" s="473">
        <v>46113</v>
      </c>
      <c r="B8" s="896" t="s">
        <v>449</v>
      </c>
      <c r="C8" s="897"/>
      <c r="D8" s="182" t="s">
        <v>423</v>
      </c>
      <c r="E8" s="553">
        <v>2.6680161898916901</v>
      </c>
    </row>
    <row r="9" spans="1:6" ht="18.75" customHeight="1">
      <c r="A9" s="474">
        <v>46113</v>
      </c>
      <c r="B9" s="898" t="s">
        <v>249</v>
      </c>
      <c r="C9" s="899"/>
      <c r="D9" s="386" t="s">
        <v>423</v>
      </c>
      <c r="E9" s="554">
        <v>3.7256143490034099</v>
      </c>
    </row>
    <row r="10" spans="1:6" ht="18.75" customHeight="1">
      <c r="A10" s="886" t="s">
        <v>181</v>
      </c>
      <c r="B10" s="887"/>
      <c r="C10" s="887"/>
      <c r="D10" s="887"/>
      <c r="E10" s="888"/>
    </row>
    <row r="11" spans="1:6" s="104" customFormat="1" ht="18.75" customHeight="1">
      <c r="A11" s="889" t="s">
        <v>455</v>
      </c>
      <c r="B11" s="890"/>
      <c r="C11" s="890"/>
      <c r="D11" s="890"/>
      <c r="E11" s="891"/>
    </row>
    <row r="12" spans="1:6">
      <c r="A12" s="14"/>
      <c r="B12" s="14"/>
      <c r="C12" s="14"/>
      <c r="D12" s="14"/>
      <c r="E12" s="14"/>
    </row>
    <row r="13" spans="1:6">
      <c r="A13" s="8"/>
      <c r="B13" s="8"/>
      <c r="C13" s="8"/>
      <c r="D13" s="8"/>
      <c r="E13" s="8"/>
    </row>
    <row r="14" spans="1:6">
      <c r="A14" s="8"/>
      <c r="B14" s="8"/>
      <c r="C14" s="8"/>
      <c r="D14" s="8"/>
      <c r="E14" s="8"/>
    </row>
    <row r="15" spans="1:6">
      <c r="A15" s="8"/>
      <c r="B15" s="8"/>
      <c r="C15" s="8"/>
      <c r="D15" s="8"/>
      <c r="E15" s="8"/>
    </row>
    <row r="16" spans="1:6">
      <c r="A16" s="8"/>
      <c r="B16" s="8"/>
      <c r="C16" s="8"/>
      <c r="D16" s="8"/>
      <c r="E16" s="8"/>
    </row>
    <row r="17" spans="1:5">
      <c r="A17" s="8"/>
      <c r="B17" s="8"/>
      <c r="C17" s="8"/>
      <c r="D17" s="8"/>
      <c r="E17" s="8"/>
    </row>
    <row r="18" spans="1:5">
      <c r="A18" s="8"/>
      <c r="B18" s="8"/>
      <c r="C18" s="8"/>
      <c r="D18" s="8"/>
      <c r="E18" s="8"/>
    </row>
    <row r="19" spans="1:5">
      <c r="A19" s="8"/>
      <c r="B19" s="8"/>
      <c r="C19" s="8"/>
      <c r="D19" s="8"/>
      <c r="E19" s="8"/>
    </row>
    <row r="20" spans="1:5">
      <c r="A20" s="8"/>
      <c r="B20" s="8"/>
      <c r="C20" s="8"/>
      <c r="D20" s="8"/>
      <c r="E20" s="8"/>
    </row>
    <row r="21" spans="1:5">
      <c r="A21" s="8"/>
      <c r="B21" s="8"/>
      <c r="C21" s="8"/>
      <c r="D21" s="8"/>
      <c r="E21" s="8"/>
    </row>
    <row r="22" spans="1:5">
      <c r="A22" s="8"/>
      <c r="B22" s="8"/>
      <c r="C22" s="8"/>
      <c r="D22" s="8"/>
      <c r="E22" s="8"/>
    </row>
    <row r="23" spans="1:5">
      <c r="A23" s="8"/>
      <c r="B23" s="8"/>
      <c r="C23" s="8"/>
      <c r="D23" s="8"/>
      <c r="E23" s="8"/>
    </row>
    <row r="24" spans="1:5">
      <c r="A24" s="8"/>
      <c r="B24" s="8"/>
      <c r="C24" s="8"/>
      <c r="D24" s="8"/>
      <c r="E24" s="8"/>
    </row>
    <row r="25" spans="1:5">
      <c r="A25" s="8"/>
      <c r="B25" s="8"/>
      <c r="C25" s="8"/>
      <c r="D25" s="8"/>
      <c r="E25" s="8"/>
    </row>
    <row r="26" spans="1:5">
      <c r="A26" s="8"/>
      <c r="B26" s="8"/>
      <c r="C26" s="8"/>
      <c r="D26" s="8"/>
      <c r="E26" s="8"/>
    </row>
    <row r="27" spans="1:5">
      <c r="A27" s="8"/>
      <c r="B27" s="8"/>
      <c r="C27" s="8"/>
      <c r="D27" s="8"/>
      <c r="E27" s="8"/>
    </row>
    <row r="28" spans="1:5">
      <c r="A28" s="8"/>
      <c r="B28" s="8"/>
      <c r="C28" s="8"/>
      <c r="D28" s="8"/>
      <c r="E28" s="8"/>
    </row>
    <row r="29" spans="1:5">
      <c r="A29" s="8"/>
      <c r="B29" s="8"/>
      <c r="C29" s="8"/>
      <c r="D29" s="8"/>
      <c r="E29" s="8"/>
    </row>
    <row r="30" spans="1:5">
      <c r="A30" s="8"/>
      <c r="B30" s="8"/>
      <c r="C30" s="8"/>
      <c r="D30" s="8"/>
      <c r="E30" s="8"/>
    </row>
    <row r="31" spans="1:5">
      <c r="A31" s="8"/>
      <c r="B31" s="8"/>
      <c r="C31" s="8"/>
      <c r="D31" s="8"/>
      <c r="E31" s="8"/>
    </row>
    <row r="32" spans="1:5">
      <c r="A32" s="8"/>
      <c r="B32" s="8"/>
      <c r="C32" s="8"/>
      <c r="D32" s="8"/>
      <c r="E32" s="8"/>
    </row>
    <row r="33" spans="1:5">
      <c r="A33" s="8"/>
      <c r="B33" s="8"/>
      <c r="C33" s="8"/>
      <c r="D33" s="8"/>
      <c r="E33" s="8"/>
    </row>
    <row r="34" spans="1:5">
      <c r="A34" s="8"/>
      <c r="B34" s="8"/>
      <c r="C34" s="8"/>
      <c r="D34" s="8"/>
      <c r="E34" s="8"/>
    </row>
    <row r="35" spans="1:5">
      <c r="A35" s="8"/>
      <c r="B35" s="8"/>
      <c r="C35" s="8"/>
      <c r="D35" s="8"/>
      <c r="E35" s="8"/>
    </row>
  </sheetData>
  <mergeCells count="9">
    <mergeCell ref="B1:D1"/>
    <mergeCell ref="A1:A3"/>
    <mergeCell ref="A10:E10"/>
    <mergeCell ref="A11:E11"/>
    <mergeCell ref="B6:C6"/>
    <mergeCell ref="B7:C7"/>
    <mergeCell ref="B8:C8"/>
    <mergeCell ref="B9:C9"/>
    <mergeCell ref="B5:E5"/>
  </mergeCells>
  <hyperlinks>
    <hyperlink ref="A11" r:id="rId1" display="http://www.anp.gov.br/precos-e-defesa-da-concorrencia/precos/precos-de-distribuicao"/>
  </hyperlink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landscape" horizontalDpi="300" verticalDpi="300" r:id="rId2"/>
  <headerFooter>
    <oddFooter>&amp;CEng° Darcio Pagani Vieira
Crea/SC - 077.222-9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19</vt:i4>
      </vt:variant>
    </vt:vector>
  </HeadingPairs>
  <TitlesOfParts>
    <vt:vector size="34" baseType="lpstr">
      <vt:lpstr>ORÇAMENTO</vt:lpstr>
      <vt:lpstr>QCI</vt:lpstr>
      <vt:lpstr>CRONOGRAMA</vt:lpstr>
      <vt:lpstr>TERRAPL.</vt:lpstr>
      <vt:lpstr>DIM. DREN.</vt:lpstr>
      <vt:lpstr>BACIAS</vt:lpstr>
      <vt:lpstr>DRENAGEM</vt:lpstr>
      <vt:lpstr>PAVIM.</vt:lpstr>
      <vt:lpstr>SINALIZAÇÃO</vt:lpstr>
      <vt:lpstr>BDI</vt:lpstr>
      <vt:lpstr>COMP. SINAPI</vt:lpstr>
      <vt:lpstr>COMP. SICRO</vt:lpstr>
      <vt:lpstr>COTAÇÃO</vt:lpstr>
      <vt:lpstr>REAJUSTE</vt:lpstr>
      <vt:lpstr>MAT. BET.</vt:lpstr>
      <vt:lpstr>BDI!Area_de_impressao</vt:lpstr>
      <vt:lpstr>'COMP. SICRO'!Area_de_impressao</vt:lpstr>
      <vt:lpstr>'COMP. SINAPI'!Area_de_impressao</vt:lpstr>
      <vt:lpstr>COTAÇÃO!Area_de_impressao</vt:lpstr>
      <vt:lpstr>CRONOGRAMA!Area_de_impressao</vt:lpstr>
      <vt:lpstr>'DIM. DREN.'!Area_de_impressao</vt:lpstr>
      <vt:lpstr>DRENAGEM!Area_de_impressao</vt:lpstr>
      <vt:lpstr>'MAT. BET.'!Area_de_impressao</vt:lpstr>
      <vt:lpstr>ORÇAMENTO!Area_de_impressao</vt:lpstr>
      <vt:lpstr>PAVIM.!Area_de_impressao</vt:lpstr>
      <vt:lpstr>REAJUSTE!Area_de_impressao</vt:lpstr>
      <vt:lpstr>SINALIZAÇÃO!Area_de_impressao</vt:lpstr>
      <vt:lpstr>TERRAPL.!Area_de_impressao</vt:lpstr>
      <vt:lpstr>'COMP. SINAPI'!Titulos_de_impressao</vt:lpstr>
      <vt:lpstr>COTAÇÃO!Titulos_de_impressao</vt:lpstr>
      <vt:lpstr>'DIM. DREN.'!Titulos_de_impressao</vt:lpstr>
      <vt:lpstr>DRENAGEM!Titulos_de_impressao</vt:lpstr>
      <vt:lpstr>PAVIM.!Titulos_de_impressao</vt:lpstr>
      <vt:lpstr>TERRAPL.!Titulos_de_impressao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vinicius mengue</cp:lastModifiedBy>
  <cp:lastPrinted>2026-10-08T13:12:45Z</cp:lastPrinted>
  <dcterms:created xsi:type="dcterms:W3CDTF">2018-05-07T18:41:35Z</dcterms:created>
  <dcterms:modified xsi:type="dcterms:W3CDTF">2026-10-08T17:54:04Z</dcterms:modified>
</cp:coreProperties>
</file>