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EstaPasta_de_trabalho"/>
  <mc:AlternateContent xmlns:mc="http://schemas.openxmlformats.org/markup-compatibility/2006">
    <mc:Choice Requires="x15">
      <x15ac:absPath xmlns:x15ac="http://schemas.microsoft.com/office/spreadsheetml/2010/11/ac" url="C:\Users\Meu Computador\Desktop\"/>
    </mc:Choice>
  </mc:AlternateContent>
  <bookViews>
    <workbookView xWindow="0" yWindow="0" windowWidth="51600" windowHeight="17235" activeTab="3"/>
  </bookViews>
  <sheets>
    <sheet name="DADOS" sheetId="16" r:id="rId1"/>
    <sheet name="BDI (1)" sheetId="17" state="hidden" r:id="rId2"/>
    <sheet name="BDI (2)" sheetId="18" state="hidden" r:id="rId3"/>
    <sheet name="PO" sheetId="12" r:id="rId4"/>
    <sheet name="PLQ" sheetId="13" r:id="rId5"/>
    <sheet name="CFF" sheetId="11" r:id="rId6"/>
  </sheets>
  <definedNames>
    <definedName name="_xlnm._FilterDatabase" localSheetId="5">CFF!#REF!</definedName>
    <definedName name="_xlnm._FilterDatabase" localSheetId="0">DADOS!#REF!</definedName>
    <definedName name="_xlnm._FilterDatabase" localSheetId="4">PLQ!$A$10:$O$13</definedName>
    <definedName name="_xlnm._FilterDatabase" localSheetId="3">PO!$C$10:$T$13</definedName>
    <definedName name="_xlnm.Print_Area" localSheetId="1">'BDI (1)'!$I$1:$R$50</definedName>
    <definedName name="_xlnm.Print_Area" localSheetId="2">'BDI (2)'!$I$1:$R$50</definedName>
    <definedName name="_xlnm.Print_Area" localSheetId="5">CFF!$L$1:$X$51</definedName>
    <definedName name="_xlnm.Print_Area" localSheetId="0">DADOS!$A$1:$X$87</definedName>
    <definedName name="_xlnm.Print_Area" localSheetId="4">PLQ!$B$1:$P$83</definedName>
    <definedName name="_xlnm.Print_Area" localSheetId="3">PO!$K$1:$T$92</definedName>
    <definedName name="_xlnm.Database">TEXT(Import.DataBase,"mm-aaaa")</definedName>
    <definedName name="CFF.ColunaPadrão">CFF!$AC:$AC</definedName>
    <definedName name="CFF.Colunas">CFF!$P$10:$X$10</definedName>
    <definedName name="CFF.Dados">OFFSET(CFF!$L$17,1,0):OFFSET(CFF!$X$45,-1,-1)</definedName>
    <definedName name="CFF.IncluirLinha">MAX(PO!$V$12:$V$77)*CFF.NumLinha-ROW(CFF!$F$45)+ROW(CFF!$F$17)+1</definedName>
    <definedName name="CFF.Item">OFFSET(CFF!$L$17,1,0):OFFSET(CFF!$X$45,-1,-1)</definedName>
    <definedName name="CFF.LinhaPadrão">CFF!$A$11:$W$11</definedName>
    <definedName name="CFF.NumLinha">ROW(CFF!$D$14)-ROW(CFF!$D$10)-1</definedName>
    <definedName name="Código" localSheetId="4">PLQ!$M1</definedName>
    <definedName name="Código" localSheetId="3">PO!$M1</definedName>
    <definedName name="Composições.LinhaPadrão" localSheetId="2">#REF!</definedName>
    <definedName name="Composições.LinhaPadrão">#REF!</definedName>
    <definedName name="Cotações.LinhaPadrão" localSheetId="2">#REF!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4">PLQ!$L1</definedName>
    <definedName name="Fonte" localSheetId="3">PO!$L1</definedName>
    <definedName name="Import.Ação">DADOS!$J$29</definedName>
    <definedName name="Import.Apelido">DADOS!$Q$32</definedName>
    <definedName name="Import.CNPJ">DADOS!$B$57</definedName>
    <definedName name="Import.Código">OFFSET(PO!$M$12,1,0):OFFSET(PO!$M$77,-1,0)</definedName>
    <definedName name="Import.CR">DADOS!$A$29</definedName>
    <definedName name="Import.CTEF">DADOS!$A$43</definedName>
    <definedName name="Import.CustoUnitário">OFFSET(PO!$Q$12,1,0):OFFSET(PO!$Q$77,-1,0)</definedName>
    <definedName name="Import.DadosBDI">DADOS!$S$108:$S$112</definedName>
    <definedName name="Import.DataAssinaturaCTEF">DADOS!$U$43</definedName>
    <definedName name="Import.DataBase">DADOS!$A$38</definedName>
    <definedName name="Import.DataBaseLicit">DADOS!$H$43</definedName>
    <definedName name="Import.DataCot" localSheetId="2">OFFSET(#REF!,1,0):OFFSET(#REF!,-1,0)</definedName>
    <definedName name="Import.DataCot">OFFSET(#REF!,1,0):OFFSET(#REF!,-1,0)</definedName>
    <definedName name="Import.DataCotIndice" localSheetId="2">OFFSET(#REF!,1,0):OFFSET(#REF!,-1,0)</definedName>
    <definedName name="Import.DataCotIndice">OFFSET(#REF!,1,0):OFFSET(#REF!,-1,0)</definedName>
    <definedName name="Import.DataInícioObra">DADOS!$A$48</definedName>
    <definedName name="Import.DescComp" localSheetId="2">OFFSET(#REF!,1,0):OFFSET(#REF!,-1,0)</definedName>
    <definedName name="Import.DescComp">OFFSET(#REF!,1,0):OFFSET(#REF!,-1,0)</definedName>
    <definedName name="Import.DescCot" localSheetId="2">OFFSET(#REF!,1,0):OFFSET(#REF!,-1,0)</definedName>
    <definedName name="Import.DescCot">OFFSET(#REF!,1,0):OFFSET(#REF!,-1,0)</definedName>
    <definedName name="Import.DescLote">DADOS!$G$38</definedName>
    <definedName name="Import.Descrição">OFFSET(PO!$N$12,1,0):OFFSET(PO!$N$77,-1,0)</definedName>
    <definedName name="Import.Desoneracao">DADOS!$C$38</definedName>
    <definedName name="Import.DesoneracaoLicit">DADOS!$J$43</definedName>
    <definedName name="Import.Empresa">DADOS!$C$43</definedName>
    <definedName name="Import.FontComp" localSheetId="2">OFFSET(#REF!,1,0):OFFSET(#REF!,-1,0)</definedName>
    <definedName name="Import.FontComp">OFFSET(#REF!,1,0):OFFSET(#REF!,-1,0)</definedName>
    <definedName name="Import.Fonte">OFFSET(PO!$L$12,1,0):OFFSET(PO!$L$77,-1,0)</definedName>
    <definedName name="Import.FrenteDeObra">PLQ!$F$9:OFFSET(PLQ!$P$9,0,-1)</definedName>
    <definedName name="Import.Gestor">DADOS!$C$29</definedName>
    <definedName name="Import.IndiceAtual" localSheetId="2">OFFSET(#REF!,1,0):OFFSET(#REF!,-1,0)</definedName>
    <definedName name="Import.IndiceAtual">OFFSET(#REF!,1,0):OFFSET(#REF!,-1,0)</definedName>
    <definedName name="Import.IndiceCot" localSheetId="2">OFFSET(#REF!,1,0):OFFSET(#REF!,-1,0)</definedName>
    <definedName name="Import.IndiceCot">OFFSET(#REF!,1,0):OFFSET(#REF!,-1,0)</definedName>
    <definedName name="Import.Item">OFFSET(PO!$K$12,1,0):OFFSET(PO!$K$77,-1,0)</definedName>
    <definedName name="Import.Localidade">DADOS!$K$32</definedName>
    <definedName name="Import.LocalSINAPI">DADOS!$D$38</definedName>
    <definedName name="Import.Município">DADOS!$G$32</definedName>
    <definedName name="Import.Nível">OFFSET(PO!$J$12,1,0):OFFSET(PO!$J$77,-1,0)</definedName>
    <definedName name="Import.NomeEmpresaForn" localSheetId="2">OFFSET(#REF!,1,0):OFFSET(#REF!,-1,0)</definedName>
    <definedName name="Import.NomeEmpresaForn">OFFSET(#REF!,1,0):OFFSET(#REF!,-1,0)</definedName>
    <definedName name="Import.ObjetoCR">DADOS!$P$29</definedName>
    <definedName name="Import.ObjetoCTEF">DADOS!$O$43</definedName>
    <definedName name="Import.ObsComp" localSheetId="2">OFFSET(#REF!,1,0):OFFSET(#REF!,-1,0)</definedName>
    <definedName name="Import.ObsComp">OFFSET(#REF!,1,0):OFFSET(#REF!,-1,0)</definedName>
    <definedName name="Import.ObsCot" localSheetId="2">OFFSET(#REF!,1,0):OFFSET(#REF!,-1,0)</definedName>
    <definedName name="Import.ObsCot">OFFSET(#REF!,1,0):OFFSET(#REF!,-1,0)</definedName>
    <definedName name="Import.ObsForn" localSheetId="2">OFFSET(#REF!,1,0):OFFSET(#REF!,-1,0)</definedName>
    <definedName name="Import.ObsForn">OFFSET(#REF!,1,0):OFFSET(#REF!,-1,0)</definedName>
    <definedName name="Import.ObsIndice" localSheetId="2">OFFSET(#REF!,1,0):OFFSET(#REF!,-1,0)</definedName>
    <definedName name="Import.ObsIndice">OFFSET(#REF!,1,0):OFFSET(#REF!,-1,0)</definedName>
    <definedName name="Import.PLQ">OFFSET(PLQ!$F$12,1,0):OFFSET(PLQ!$P$77,-1,-1)</definedName>
    <definedName name="Import.POArred">PO!$X$3:$X$7</definedName>
    <definedName name="Import.PreçoTotal">OFFSET(PO!$T$12,1,0):OFFSET(PO!$T$77,-1,0)</definedName>
    <definedName name="Import.PreçoUnitário">OFFSET(PO!$S$12,1,0):OFFSET(PO!$S$77,-1,0)</definedName>
    <definedName name="Import.Programa">DADOS!$F$29</definedName>
    <definedName name="Import.Proponente">DADOS!$A$32</definedName>
    <definedName name="Import.Quantidade">OFFSET(PO!$P$12,1,0):OFFSET(PO!$P$77,-1,0)</definedName>
    <definedName name="Import.RegimeExecução">DADOS!$K$43</definedName>
    <definedName name="Import.TelefoneForn" localSheetId="2">OFFSET(#REF!,1,0):OFFSET(#REF!,-1,0)</definedName>
    <definedName name="Import.TelefoneForn">OFFSET(#REF!,1,0):OFFSET(#REF!,-1,0)</definedName>
    <definedName name="Import.TipoComp" localSheetId="2">OFFSET(#REF!,1,0):OFFSET(#REF!,-1,0)</definedName>
    <definedName name="Import.TipoComp">OFFSET(#REF!,1,0):OFFSET(#REF!,-1,0)</definedName>
    <definedName name="Import.TipoCot" localSheetId="2">OFFSET(#REF!,1,0):OFFSET(#REF!,-1,0)</definedName>
    <definedName name="Import.TipoCot">OFFSET(#REF!,1,0):OFFSET(#REF!,-1,0)</definedName>
    <definedName name="Import.Unidade">OFFSET(PO!$O$12,1,0):OFFSET(PO!$O$77,-1,0)</definedName>
    <definedName name="Import.UnidadeComp" localSheetId="2">OFFSET(#REF!,1,0):OFFSET(#REF!,-1,0)</definedName>
    <definedName name="Import.UnidadeComp">OFFSET(#REF!,1,0):OFFSET(#REF!,-1,0)</definedName>
    <definedName name="Import.UnidCot" localSheetId="2">OFFSET(#REF!,1,0):OFFSET(#REF!,-1,0)</definedName>
    <definedName name="Import.UnidCot">OFFSET(#REF!,1,0):OFFSET(#REF!,-1,0)</definedName>
    <definedName name="Import.Valor1Indice" localSheetId="2">OFFSET(#REF!,1,0):OFFSET(#REF!,-1,0)</definedName>
    <definedName name="Import.Valor1Indice">OFFSET(#REF!,1,0):OFFSET(#REF!,-1,0)</definedName>
    <definedName name="Import.Valor2Indice" localSheetId="2">OFFSET(#REF!,1,0):OFFSET(#REF!,-1,0)</definedName>
    <definedName name="Import.Valor2Indice">OFFSET(#REF!,1,0):OFFSET(#REF!,-1,0)</definedName>
    <definedName name="Import.ValorBDI">OFFSET(PO!$Z$12,1,0):OFFSET(PO!$Z$77,-1,0)</definedName>
    <definedName name="Import.ValorCot" localSheetId="2">OFFSET(#REF!,1,0):OFFSET(#REF!,-1,0)</definedName>
    <definedName name="Import.ValorCot">OFFSET(#REF!,1,0):OFFSET(#REF!,-1,0)</definedName>
    <definedName name="Import.Vigência">DADOS!$W$43</definedName>
    <definedName name="Índices.LinhaPadrão" localSheetId="2">#REF!</definedName>
    <definedName name="Índices.LinhaPadrão">#REF!</definedName>
    <definedName name="Linhacabeçalhodados">DADOS!$A$220:$X$220</definedName>
    <definedName name="LinhaEncargosSociais">PO!$K$78</definedName>
    <definedName name="linhaSINAPIxls" localSheetId="3">PO!$X1</definedName>
    <definedName name="ListaFornecedor" localSheetId="2">OFFSET(#REF!,0,0,MAX(#REF!)+1)</definedName>
    <definedName name="ListaFornecedor">OFFSET(#REF!,0,0,MAX(#REF!)+1)</definedName>
    <definedName name="ListaIndice" localSheetId="2">OFFSET(#REF!,1,0,MAX(#REF!))</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PLQ!$B$9:OFFSET(PLQ!$B$77,-1,0)</definedName>
    <definedName name="PLQ.LinhaPadrão">PLQ!$A$11:$P$11</definedName>
    <definedName name="PLQ.qtde.frentes">COUNTA(PLQ!$F$9:$P$9)</definedName>
    <definedName name="PO.BDI">OFFSET(PO!$R$12,1,0):OFFSET(PO!$R$77,-1,0)</definedName>
    <definedName name="PO.CustoRef">OFFSET(PO!$Y$12,1,0):OFFSET(PO!$Y$77,-1,0)</definedName>
    <definedName name="PO.CustoUnitario">ROUND(PO!$Q1,15-13*PO!$X$4)</definedName>
    <definedName name="PO.Dados">PO!$C$12:OFFSET(PO!$Z$77,-1,0)</definedName>
    <definedName name="PO.FormulaQuant">PO!$P$9</definedName>
    <definedName name="PO.LinhaPadrão">PO!$C$11:$Z$11</definedName>
    <definedName name="PO.PrecoUnitario">ROUND(PO!$S1,15-13*PO!$X$6)</definedName>
    <definedName name="PO.Quantidade">ROUND(PO!$P1,15-13*PO!$X$3)</definedName>
    <definedName name="Referencia.Descricao" localSheetId="2">#N/A</definedName>
    <definedName name="Referencia.Descricao">IF(ISNUMBER(PO!linhaSINAPIxls),INDEX(INDIRECT("'[Referência "&amp;_xlnm.Database&amp;".xls]Banco'!$b:$g"),PO!linhaSINAPIxls,3),"")</definedName>
    <definedName name="Referencia.Desonerado" localSheetId="2">#N/A</definedName>
    <definedName name="Referencia.Desonerado">IF(ISNUMBER(PO!linhaSINAPIxls),VALUE(INDEX(INDIRECT("'[Referência "&amp;_xlnm.Database&amp;".xls]Banco'!$b:$g"),PO!linhaSINAPIxls,5)),0)</definedName>
    <definedName name="Referencia.NaoDesonerado" localSheetId="2">#N/A</definedName>
    <definedName name="Referencia.NaoDesonerado">IF(ISNUMBER(PO!linhaSINAPIxls),VALUE(INDEX(INDIRECT("'[Referência "&amp;_xlnm.Database&amp;".xls]Banco'!$b:$g"),PO!linhaSINAPIxls,6)),0)</definedName>
    <definedName name="Referencia.Unidade" localSheetId="2">#N/A</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5">CFF!$L:$O,CFF!$10:$10</definedName>
    <definedName name="_xlnm.Print_Titles" localSheetId="4">PLQ!$B:$E,PLQ!$9:$10</definedName>
    <definedName name="_xlnm.Print_Titles" localSheetId="3">PO!$10:$10</definedName>
    <definedName name="Versao">DADOS!$A$2</definedName>
    <definedName name="VTOTAL1">ROUND(PO.Quantidade*PO.PrecoUnitario,15-13*PO!$X$7)</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54" i="13" l="1"/>
  <c r="E54" i="13" s="1"/>
  <c r="P54" i="12" s="1"/>
  <c r="W54" i="12"/>
  <c r="A54" i="12"/>
  <c r="A32" i="13"/>
  <c r="E32" i="13" s="1"/>
  <c r="P32" i="12" s="1"/>
  <c r="A31" i="13"/>
  <c r="W32" i="12"/>
  <c r="V32" i="12"/>
  <c r="A32" i="12"/>
  <c r="W31" i="12"/>
  <c r="A31" i="12"/>
  <c r="I54" i="12" l="1"/>
  <c r="V54" i="12"/>
  <c r="D54" i="13"/>
  <c r="B54" i="12"/>
  <c r="H54" i="12"/>
  <c r="D31" i="13"/>
  <c r="D32" i="13"/>
  <c r="B31" i="12"/>
  <c r="H31" i="12"/>
  <c r="I31" i="12"/>
  <c r="V31" i="12"/>
  <c r="B32" i="12"/>
  <c r="H32" i="12"/>
  <c r="E31" i="13"/>
  <c r="P31" i="12" s="1"/>
  <c r="I32" i="12"/>
  <c r="A29" i="13"/>
  <c r="E29" i="13" s="1"/>
  <c r="P29" i="12" s="1"/>
  <c r="W29" i="12"/>
  <c r="A29" i="12"/>
  <c r="A51" i="13"/>
  <c r="E51" i="13" s="1"/>
  <c r="P51" i="12" s="1"/>
  <c r="W51" i="12"/>
  <c r="D51" i="13"/>
  <c r="C51" i="13"/>
  <c r="A51" i="12"/>
  <c r="B51" i="12" s="1"/>
  <c r="A42" i="13"/>
  <c r="E42" i="13" s="1"/>
  <c r="P42" i="12" s="1"/>
  <c r="W42" i="12"/>
  <c r="D42" i="13"/>
  <c r="A42" i="12"/>
  <c r="V42" i="12" s="1"/>
  <c r="C54" i="13" l="1"/>
  <c r="C32" i="13"/>
  <c r="C31" i="13"/>
  <c r="H51" i="12"/>
  <c r="I51" i="12"/>
  <c r="V51" i="12"/>
  <c r="D29" i="13"/>
  <c r="I29" i="12"/>
  <c r="V29" i="12"/>
  <c r="B29" i="12"/>
  <c r="H29" i="12"/>
  <c r="C42" i="13"/>
  <c r="B42" i="12"/>
  <c r="H42" i="12"/>
  <c r="I42" i="12"/>
  <c r="A73" i="13"/>
  <c r="E73" i="13" s="1"/>
  <c r="P73" i="12" s="1"/>
  <c r="W73" i="12"/>
  <c r="A73" i="12"/>
  <c r="F53" i="13"/>
  <c r="A53" i="13"/>
  <c r="W53" i="12"/>
  <c r="C53" i="13"/>
  <c r="A53" i="12"/>
  <c r="V53" i="12" s="1"/>
  <c r="A52" i="13"/>
  <c r="E52" i="13" s="1"/>
  <c r="P52" i="12" s="1"/>
  <c r="A50" i="13"/>
  <c r="A49" i="13"/>
  <c r="E49" i="13" s="1"/>
  <c r="P49" i="12" s="1"/>
  <c r="A48" i="13"/>
  <c r="A47" i="13"/>
  <c r="E47" i="13" s="1"/>
  <c r="P47" i="12" s="1"/>
  <c r="W52" i="12"/>
  <c r="D52" i="13"/>
  <c r="A52" i="12"/>
  <c r="I52" i="12" s="1"/>
  <c r="W50" i="12"/>
  <c r="D50" i="13"/>
  <c r="C50" i="13"/>
  <c r="A50" i="12"/>
  <c r="V50" i="12" s="1"/>
  <c r="W49" i="12"/>
  <c r="A49" i="12"/>
  <c r="I49" i="12" s="1"/>
  <c r="W48" i="12"/>
  <c r="A48" i="12"/>
  <c r="I48" i="12" s="1"/>
  <c r="X47" i="12"/>
  <c r="D47" i="13" s="1"/>
  <c r="W47" i="12"/>
  <c r="A47" i="12"/>
  <c r="X54" i="12"/>
  <c r="X32" i="12"/>
  <c r="X31" i="12"/>
  <c r="E53" i="13" l="1"/>
  <c r="P53" i="12" s="1"/>
  <c r="C29" i="13"/>
  <c r="D73" i="13"/>
  <c r="I73" i="12"/>
  <c r="V73" i="12"/>
  <c r="B73" i="12"/>
  <c r="H73" i="12"/>
  <c r="I53" i="12"/>
  <c r="D53" i="13"/>
  <c r="B53" i="12"/>
  <c r="H53" i="12"/>
  <c r="B49" i="12"/>
  <c r="V48" i="12"/>
  <c r="I50" i="12"/>
  <c r="B52" i="12"/>
  <c r="H52" i="12"/>
  <c r="H49" i="12"/>
  <c r="D48" i="13"/>
  <c r="B48" i="12"/>
  <c r="H48" i="12"/>
  <c r="V49" i="12"/>
  <c r="B50" i="12"/>
  <c r="H50" i="12"/>
  <c r="V52" i="12"/>
  <c r="C48" i="13"/>
  <c r="E50" i="13"/>
  <c r="P50" i="12" s="1"/>
  <c r="E48" i="13"/>
  <c r="P48" i="12" s="1"/>
  <c r="A66" i="13"/>
  <c r="E66" i="13" s="1"/>
  <c r="P66" i="12" s="1"/>
  <c r="W66" i="12"/>
  <c r="D66" i="13"/>
  <c r="A66" i="12"/>
  <c r="A38" i="13"/>
  <c r="E38" i="13" s="1"/>
  <c r="P38" i="12" s="1"/>
  <c r="W38" i="12"/>
  <c r="A38" i="12"/>
  <c r="V38" i="12" s="1"/>
  <c r="F20" i="13"/>
  <c r="A20" i="13"/>
  <c r="W20" i="12"/>
  <c r="A20" i="12"/>
  <c r="V20" i="12" s="1"/>
  <c r="C73" i="13" l="1"/>
  <c r="C52" i="13"/>
  <c r="C49" i="13"/>
  <c r="C47" i="13"/>
  <c r="I38" i="12"/>
  <c r="I66" i="12"/>
  <c r="V66" i="12"/>
  <c r="B66" i="12"/>
  <c r="H66" i="12"/>
  <c r="E20" i="13"/>
  <c r="P20" i="12" s="1"/>
  <c r="C38" i="13"/>
  <c r="D38" i="13"/>
  <c r="B38" i="12"/>
  <c r="H38" i="12"/>
  <c r="D20" i="13"/>
  <c r="B20" i="12"/>
  <c r="H20" i="12"/>
  <c r="I20" i="12"/>
  <c r="A43" i="13"/>
  <c r="E43" i="13" s="1"/>
  <c r="P43" i="12" s="1"/>
  <c r="W43" i="12"/>
  <c r="A43" i="12"/>
  <c r="I43" i="12" s="1"/>
  <c r="A68" i="13"/>
  <c r="W68" i="12"/>
  <c r="A68" i="12"/>
  <c r="I68" i="12" s="1"/>
  <c r="A67" i="13"/>
  <c r="E67" i="13" s="1"/>
  <c r="P67" i="12" s="1"/>
  <c r="W67" i="12"/>
  <c r="A67" i="12"/>
  <c r="B67" i="12" s="1"/>
  <c r="A76" i="13"/>
  <c r="E76" i="13" s="1"/>
  <c r="P76" i="12" s="1"/>
  <c r="A75" i="13"/>
  <c r="E75" i="13" s="1"/>
  <c r="P75" i="12" s="1"/>
  <c r="A74" i="13"/>
  <c r="E74" i="13" s="1"/>
  <c r="P74" i="12" s="1"/>
  <c r="A72" i="13"/>
  <c r="E72" i="13" s="1"/>
  <c r="P72" i="12" s="1"/>
  <c r="A71" i="13"/>
  <c r="E71" i="13" s="1"/>
  <c r="P71" i="12" s="1"/>
  <c r="A70" i="13"/>
  <c r="E70" i="13" s="1"/>
  <c r="P70" i="12" s="1"/>
  <c r="W76" i="12"/>
  <c r="A76" i="12"/>
  <c r="H76" i="12" s="1"/>
  <c r="W75" i="12"/>
  <c r="D75" i="13"/>
  <c r="A75" i="12"/>
  <c r="H75" i="12" s="1"/>
  <c r="W74" i="12"/>
  <c r="A74" i="12"/>
  <c r="H74" i="12" s="1"/>
  <c r="W72" i="12"/>
  <c r="D72" i="13"/>
  <c r="C72" i="13"/>
  <c r="A72" i="12"/>
  <c r="V72" i="12" s="1"/>
  <c r="X71" i="12"/>
  <c r="D71" i="13" s="1"/>
  <c r="W71" i="12"/>
  <c r="A71" i="12"/>
  <c r="W70" i="12"/>
  <c r="D70" i="13"/>
  <c r="A70" i="12"/>
  <c r="V70" i="12" s="1"/>
  <c r="A28" i="13"/>
  <c r="E28" i="13" s="1"/>
  <c r="P28" i="12" s="1"/>
  <c r="A27" i="13"/>
  <c r="E27" i="13" s="1"/>
  <c r="P27" i="12" s="1"/>
  <c r="A26" i="13"/>
  <c r="E26" i="13" s="1"/>
  <c r="P26" i="12" s="1"/>
  <c r="A25" i="13"/>
  <c r="E25" i="13" s="1"/>
  <c r="P25" i="12" s="1"/>
  <c r="A24" i="13"/>
  <c r="E24" i="13" s="1"/>
  <c r="P24" i="12" s="1"/>
  <c r="A23" i="13"/>
  <c r="E23" i="13" s="1"/>
  <c r="P23" i="12" s="1"/>
  <c r="A22" i="13"/>
  <c r="E22" i="13" s="1"/>
  <c r="P22" i="12" s="1"/>
  <c r="A21" i="13"/>
  <c r="E21" i="13" s="1"/>
  <c r="P21" i="12" s="1"/>
  <c r="W28" i="12"/>
  <c r="A28" i="12"/>
  <c r="V28" i="12" s="1"/>
  <c r="W27" i="12"/>
  <c r="A27" i="12"/>
  <c r="V27" i="12" s="1"/>
  <c r="X26" i="12"/>
  <c r="W26" i="12"/>
  <c r="A26" i="12"/>
  <c r="W25" i="12"/>
  <c r="A25" i="12"/>
  <c r="V25" i="12" s="1"/>
  <c r="W24" i="12"/>
  <c r="A24" i="12"/>
  <c r="B24" i="12" s="1"/>
  <c r="W23" i="12"/>
  <c r="A23" i="12"/>
  <c r="B23" i="12" s="1"/>
  <c r="W22" i="12"/>
  <c r="A22" i="12"/>
  <c r="V22" i="12" s="1"/>
  <c r="W21" i="12"/>
  <c r="A21" i="12"/>
  <c r="V21" i="12" s="1"/>
  <c r="A69" i="13"/>
  <c r="A65" i="13"/>
  <c r="E65" i="13" s="1"/>
  <c r="P65" i="12" s="1"/>
  <c r="A64" i="13"/>
  <c r="E64" i="13" s="1"/>
  <c r="P64" i="12" s="1"/>
  <c r="A63" i="13"/>
  <c r="A62" i="13"/>
  <c r="E62" i="13" s="1"/>
  <c r="P62" i="12" s="1"/>
  <c r="A61" i="13"/>
  <c r="E61" i="13" s="1"/>
  <c r="P61" i="12" s="1"/>
  <c r="A60" i="13"/>
  <c r="A59" i="13"/>
  <c r="E59" i="13" s="1"/>
  <c r="P59" i="12" s="1"/>
  <c r="A58" i="13"/>
  <c r="E58" i="13" s="1"/>
  <c r="P58" i="12" s="1"/>
  <c r="A57" i="13"/>
  <c r="A56" i="13"/>
  <c r="E56" i="13" s="1"/>
  <c r="P56" i="12" s="1"/>
  <c r="A55" i="13"/>
  <c r="E55" i="13" s="1"/>
  <c r="P55" i="12" s="1"/>
  <c r="A46" i="13"/>
  <c r="A45" i="13"/>
  <c r="E45" i="13" s="1"/>
  <c r="P45" i="12" s="1"/>
  <c r="A44" i="13"/>
  <c r="E44" i="13" s="1"/>
  <c r="P44" i="12" s="1"/>
  <c r="A41" i="13"/>
  <c r="E41" i="13" s="1"/>
  <c r="P41" i="12" s="1"/>
  <c r="A40" i="13"/>
  <c r="A39" i="13"/>
  <c r="E39" i="13" s="1"/>
  <c r="P39" i="12" s="1"/>
  <c r="A37" i="13"/>
  <c r="E37" i="13" s="1"/>
  <c r="P37" i="12" s="1"/>
  <c r="A36" i="13"/>
  <c r="A35" i="13"/>
  <c r="E35" i="13" s="1"/>
  <c r="P35" i="12" s="1"/>
  <c r="A34" i="13"/>
  <c r="E34" i="13" s="1"/>
  <c r="P34" i="12" s="1"/>
  <c r="A33" i="13"/>
  <c r="A30" i="13"/>
  <c r="E30" i="13" s="1"/>
  <c r="P30" i="12" s="1"/>
  <c r="A19" i="13"/>
  <c r="X69" i="12"/>
  <c r="W69" i="12"/>
  <c r="A69" i="12"/>
  <c r="W65" i="12"/>
  <c r="A65" i="12"/>
  <c r="I65" i="12" s="1"/>
  <c r="W64" i="12"/>
  <c r="A64" i="12"/>
  <c r="W63" i="12"/>
  <c r="A63" i="12"/>
  <c r="I63" i="12" s="1"/>
  <c r="X62" i="12"/>
  <c r="W62" i="12"/>
  <c r="A62" i="12"/>
  <c r="W61" i="12"/>
  <c r="A61" i="12"/>
  <c r="I61" i="12" s="1"/>
  <c r="W60" i="12"/>
  <c r="A60" i="12"/>
  <c r="I60" i="12" s="1"/>
  <c r="W59" i="12"/>
  <c r="A59" i="12"/>
  <c r="I59" i="12" s="1"/>
  <c r="W58" i="12"/>
  <c r="A58" i="12"/>
  <c r="B58" i="12" s="1"/>
  <c r="W57" i="12"/>
  <c r="A57" i="12"/>
  <c r="W56" i="12"/>
  <c r="A56" i="12"/>
  <c r="W55" i="12"/>
  <c r="A55" i="12"/>
  <c r="V55" i="12" s="1"/>
  <c r="W46" i="12"/>
  <c r="A46" i="12"/>
  <c r="I46" i="12" s="1"/>
  <c r="W45" i="12"/>
  <c r="A45" i="12"/>
  <c r="W44" i="12"/>
  <c r="A44" i="12"/>
  <c r="I44" i="12" s="1"/>
  <c r="W41" i="12"/>
  <c r="A41" i="12"/>
  <c r="W40" i="12"/>
  <c r="A40" i="12"/>
  <c r="W39" i="12"/>
  <c r="A39" i="12"/>
  <c r="B39" i="12" s="1"/>
  <c r="W37" i="12"/>
  <c r="A37" i="12"/>
  <c r="W36" i="12"/>
  <c r="A36" i="12"/>
  <c r="H36" i="12" s="1"/>
  <c r="X35" i="12"/>
  <c r="W35" i="12"/>
  <c r="A35" i="12"/>
  <c r="W34" i="12"/>
  <c r="A34" i="12"/>
  <c r="B34" i="12" s="1"/>
  <c r="W33" i="12"/>
  <c r="A33" i="12"/>
  <c r="W30" i="12"/>
  <c r="A30" i="12"/>
  <c r="V30" i="12" s="1"/>
  <c r="W19" i="12"/>
  <c r="A19" i="12"/>
  <c r="X19" i="12"/>
  <c r="D49" i="13" l="1"/>
  <c r="C66" i="13"/>
  <c r="C20" i="13"/>
  <c r="V43" i="12"/>
  <c r="B43" i="12"/>
  <c r="H43" i="12"/>
  <c r="H67" i="12"/>
  <c r="H34" i="12"/>
  <c r="H27" i="12"/>
  <c r="B68" i="12"/>
  <c r="H68" i="12"/>
  <c r="E68" i="13"/>
  <c r="P68" i="12" s="1"/>
  <c r="V68" i="12"/>
  <c r="I67" i="12"/>
  <c r="V67" i="12"/>
  <c r="B72" i="12"/>
  <c r="B74" i="12"/>
  <c r="V76" i="12"/>
  <c r="H39" i="12"/>
  <c r="V34" i="12"/>
  <c r="V36" i="12"/>
  <c r="B25" i="12"/>
  <c r="H72" i="12"/>
  <c r="V74" i="12"/>
  <c r="V75" i="12"/>
  <c r="B75" i="12"/>
  <c r="B76" i="12"/>
  <c r="B70" i="12"/>
  <c r="B22" i="12"/>
  <c r="H23" i="12"/>
  <c r="H25" i="12"/>
  <c r="B36" i="12"/>
  <c r="H24" i="12"/>
  <c r="B27" i="12"/>
  <c r="B30" i="12"/>
  <c r="V39" i="12"/>
  <c r="B46" i="12"/>
  <c r="B21" i="12"/>
  <c r="H22" i="12"/>
  <c r="I23" i="12"/>
  <c r="V24" i="12"/>
  <c r="I27" i="12"/>
  <c r="H70" i="12"/>
  <c r="H30" i="12"/>
  <c r="H21" i="12"/>
  <c r="I22" i="12"/>
  <c r="V23" i="12"/>
  <c r="D74" i="13"/>
  <c r="D76" i="13"/>
  <c r="C74" i="13"/>
  <c r="C71" i="13"/>
  <c r="C76" i="13"/>
  <c r="I70" i="12"/>
  <c r="I72" i="12"/>
  <c r="I75" i="12"/>
  <c r="C70" i="13"/>
  <c r="C75" i="13"/>
  <c r="I74" i="12"/>
  <c r="I76" i="12"/>
  <c r="D44" i="13"/>
  <c r="D25" i="13"/>
  <c r="C23" i="13"/>
  <c r="D24" i="13"/>
  <c r="D21" i="13"/>
  <c r="D19" i="13"/>
  <c r="C34" i="13"/>
  <c r="C30" i="13"/>
  <c r="D64" i="13"/>
  <c r="D23" i="13"/>
  <c r="D57" i="13"/>
  <c r="D22" i="13"/>
  <c r="C27" i="13"/>
  <c r="C22" i="13"/>
  <c r="D34" i="13"/>
  <c r="D26" i="13"/>
  <c r="D27" i="13"/>
  <c r="D41" i="13"/>
  <c r="D28" i="13"/>
  <c r="B28" i="12"/>
  <c r="H28" i="12"/>
  <c r="I21" i="12"/>
  <c r="I24" i="12"/>
  <c r="I25" i="12"/>
  <c r="I28" i="12"/>
  <c r="C57" i="13"/>
  <c r="D69" i="13"/>
  <c r="C36" i="13"/>
  <c r="D30" i="13"/>
  <c r="D39" i="13"/>
  <c r="D46" i="13"/>
  <c r="D36" i="13"/>
  <c r="C45" i="13"/>
  <c r="C55" i="13"/>
  <c r="D45" i="13"/>
  <c r="D55" i="13"/>
  <c r="D56" i="13"/>
  <c r="V33" i="12"/>
  <c r="V37" i="12"/>
  <c r="V40" i="12"/>
  <c r="V56" i="12"/>
  <c r="H56" i="12"/>
  <c r="H57" i="12"/>
  <c r="B57" i="12"/>
  <c r="I57" i="12"/>
  <c r="E57" i="13"/>
  <c r="P57" i="12" s="1"/>
  <c r="E63" i="13"/>
  <c r="P63" i="12" s="1"/>
  <c r="I30" i="12"/>
  <c r="D33" i="13"/>
  <c r="I34" i="12"/>
  <c r="D35" i="13"/>
  <c r="I36" i="12"/>
  <c r="D37" i="13"/>
  <c r="I39" i="12"/>
  <c r="D40" i="13"/>
  <c r="V46" i="12"/>
  <c r="H46" i="12"/>
  <c r="H55" i="12"/>
  <c r="B55" i="12"/>
  <c r="I55" i="12"/>
  <c r="B56" i="12"/>
  <c r="I56" i="12"/>
  <c r="V57" i="12"/>
  <c r="D58" i="13"/>
  <c r="D63" i="13"/>
  <c r="V65" i="12"/>
  <c r="H65" i="12"/>
  <c r="B65" i="12"/>
  <c r="E33" i="13"/>
  <c r="P33" i="12" s="1"/>
  <c r="E40" i="13"/>
  <c r="P40" i="12" s="1"/>
  <c r="H44" i="12"/>
  <c r="I45" i="12"/>
  <c r="V59" i="12"/>
  <c r="H59" i="12"/>
  <c r="B59" i="12"/>
  <c r="H33" i="12"/>
  <c r="H37" i="12"/>
  <c r="B41" i="12"/>
  <c r="H41" i="12"/>
  <c r="B44" i="12"/>
  <c r="V45" i="12"/>
  <c r="D59" i="13"/>
  <c r="D61" i="13"/>
  <c r="V63" i="12"/>
  <c r="H63" i="12"/>
  <c r="B63" i="12"/>
  <c r="I64" i="12"/>
  <c r="H64" i="12"/>
  <c r="B64" i="12"/>
  <c r="V64" i="12"/>
  <c r="E19" i="13"/>
  <c r="P19" i="12" s="1"/>
  <c r="E36" i="13"/>
  <c r="P36" i="12" s="1"/>
  <c r="V41" i="12"/>
  <c r="V44" i="12"/>
  <c r="B33" i="12"/>
  <c r="B37" i="12"/>
  <c r="H40" i="12"/>
  <c r="I33" i="12"/>
  <c r="I37" i="12"/>
  <c r="I40" i="12"/>
  <c r="I41" i="12"/>
  <c r="H60" i="12"/>
  <c r="B60" i="12"/>
  <c r="V60" i="12"/>
  <c r="D62" i="13"/>
  <c r="H45" i="12"/>
  <c r="B45" i="12"/>
  <c r="B40" i="12"/>
  <c r="H58" i="12"/>
  <c r="V58" i="12"/>
  <c r="I58" i="12"/>
  <c r="D60" i="13"/>
  <c r="V61" i="12"/>
  <c r="H61" i="12"/>
  <c r="B61" i="12"/>
  <c r="D65" i="13"/>
  <c r="E46" i="13"/>
  <c r="P46" i="12" s="1"/>
  <c r="E60" i="13"/>
  <c r="P60" i="12" s="1"/>
  <c r="E69" i="13"/>
  <c r="P69" i="12" s="1"/>
  <c r="A18" i="13"/>
  <c r="E18" i="13" s="1"/>
  <c r="P18" i="12" s="1"/>
  <c r="A17" i="13"/>
  <c r="E17" i="13" s="1"/>
  <c r="P17" i="12" s="1"/>
  <c r="A16" i="13"/>
  <c r="E16" i="13" s="1"/>
  <c r="P16" i="12" s="1"/>
  <c r="A15" i="13"/>
  <c r="E15" i="13" s="1"/>
  <c r="P15" i="12" s="1"/>
  <c r="W18" i="12"/>
  <c r="A18" i="12"/>
  <c r="V18" i="12" s="1"/>
  <c r="W17" i="12"/>
  <c r="A17" i="12"/>
  <c r="V17" i="12" s="1"/>
  <c r="W16" i="12"/>
  <c r="A16" i="12"/>
  <c r="V16" i="12" s="1"/>
  <c r="W15" i="12"/>
  <c r="A15" i="12"/>
  <c r="I15" i="12" s="1"/>
  <c r="A14" i="13"/>
  <c r="X14" i="12"/>
  <c r="W14" i="12"/>
  <c r="A14" i="12"/>
  <c r="C43" i="13" l="1"/>
  <c r="C68" i="13"/>
  <c r="C67" i="13"/>
  <c r="V15" i="12"/>
  <c r="B18" i="12"/>
  <c r="I18" i="12"/>
  <c r="I17" i="12"/>
  <c r="C24" i="13"/>
  <c r="C25" i="13"/>
  <c r="C26" i="13"/>
  <c r="C21" i="13"/>
  <c r="C28" i="13"/>
  <c r="C39" i="13"/>
  <c r="C19" i="13"/>
  <c r="C41" i="13"/>
  <c r="C59" i="13"/>
  <c r="C37" i="13"/>
  <c r="C33" i="13"/>
  <c r="C61" i="13"/>
  <c r="C69" i="13"/>
  <c r="C65" i="13"/>
  <c r="C62" i="13"/>
  <c r="C58" i="13"/>
  <c r="C60" i="13"/>
  <c r="C44" i="13"/>
  <c r="C64" i="13"/>
  <c r="C63" i="13"/>
  <c r="C46" i="13"/>
  <c r="C56" i="13"/>
  <c r="C40" i="13"/>
  <c r="C35" i="13"/>
  <c r="B16" i="12"/>
  <c r="H16" i="12"/>
  <c r="I16" i="12"/>
  <c r="H18" i="12"/>
  <c r="C17" i="13"/>
  <c r="D17" i="13"/>
  <c r="C15" i="13"/>
  <c r="D15" i="13"/>
  <c r="B15" i="12"/>
  <c r="H15" i="12"/>
  <c r="B17" i="12"/>
  <c r="H17" i="12"/>
  <c r="D14" i="13"/>
  <c r="E14" i="13"/>
  <c r="P14" i="12" s="1"/>
  <c r="D43" i="13" l="1"/>
  <c r="D68" i="13"/>
  <c r="D67" i="13"/>
  <c r="C18" i="13"/>
  <c r="C16" i="13"/>
  <c r="C14" i="13"/>
  <c r="D18" i="13" l="1"/>
  <c r="D16" i="13"/>
  <c r="J50" i="18" l="1"/>
  <c r="J49" i="18"/>
  <c r="J48" i="18"/>
  <c r="J47" i="18"/>
  <c r="A45" i="18"/>
  <c r="A46" i="18" s="1"/>
  <c r="C44" i="18"/>
  <c r="A39" i="18"/>
  <c r="A40" i="18" s="1"/>
  <c r="C38" i="18"/>
  <c r="I35" i="18"/>
  <c r="M32" i="18"/>
  <c r="I29" i="18"/>
  <c r="A28" i="18"/>
  <c r="C28" i="18" s="1"/>
  <c r="C27" i="18"/>
  <c r="N24" i="18"/>
  <c r="M22" i="18"/>
  <c r="I22" i="18"/>
  <c r="A22" i="18"/>
  <c r="A23" i="18" s="1"/>
  <c r="M21" i="18"/>
  <c r="I21" i="18"/>
  <c r="C21" i="18"/>
  <c r="M20" i="18"/>
  <c r="I20" i="18"/>
  <c r="M19" i="18"/>
  <c r="I19" i="18"/>
  <c r="M18" i="18"/>
  <c r="I18" i="18"/>
  <c r="A15" i="18"/>
  <c r="A17" i="18" s="1"/>
  <c r="C14" i="18"/>
  <c r="C13" i="18"/>
  <c r="C12" i="18"/>
  <c r="Q11" i="18"/>
  <c r="I37" i="18" s="1"/>
  <c r="C11" i="18"/>
  <c r="C10" i="18"/>
  <c r="C9" i="18"/>
  <c r="I8" i="18"/>
  <c r="C8" i="18"/>
  <c r="K5" i="18"/>
  <c r="I5" i="18"/>
  <c r="A3" i="18"/>
  <c r="C3" i="18" s="1"/>
  <c r="C2" i="18"/>
  <c r="N1" i="18"/>
  <c r="A4" i="18" l="1"/>
  <c r="A5" i="18" s="1"/>
  <c r="A6" i="18" s="1"/>
  <c r="C22" i="18"/>
  <c r="C39" i="18"/>
  <c r="C15" i="18"/>
  <c r="A29" i="18"/>
  <c r="A32" i="18" s="1"/>
  <c r="C32" i="18" s="1"/>
  <c r="C5" i="18"/>
  <c r="C17" i="18"/>
  <c r="A18" i="18"/>
  <c r="A41" i="18"/>
  <c r="C40" i="18"/>
  <c r="C23" i="18"/>
  <c r="A24" i="18"/>
  <c r="A33" i="18"/>
  <c r="C46" i="18"/>
  <c r="A47" i="18"/>
  <c r="C4" i="18"/>
  <c r="N25" i="18"/>
  <c r="O25" i="18" s="1"/>
  <c r="N26" i="18"/>
  <c r="C29" i="18"/>
  <c r="L32" i="18"/>
  <c r="M33" i="18"/>
  <c r="C45" i="18"/>
  <c r="E7" i="13"/>
  <c r="P9" i="12"/>
  <c r="F10" i="13"/>
  <c r="G10" i="13" s="1"/>
  <c r="H10" i="13" s="1"/>
  <c r="I10" i="13" s="1"/>
  <c r="J10" i="13" s="1"/>
  <c r="K10" i="13" s="1"/>
  <c r="L10" i="13" s="1"/>
  <c r="M10" i="13" s="1"/>
  <c r="N10" i="13" s="1"/>
  <c r="O10" i="13" s="1"/>
  <c r="U10" i="13"/>
  <c r="AC9" i="11"/>
  <c r="AC10" i="11" s="1"/>
  <c r="K85" i="12"/>
  <c r="X13" i="12"/>
  <c r="W13" i="12"/>
  <c r="N24" i="17"/>
  <c r="Q224" i="16"/>
  <c r="Q223" i="16"/>
  <c r="P2" i="11"/>
  <c r="A20" i="11"/>
  <c r="A23" i="11" s="1"/>
  <c r="A26" i="11" s="1"/>
  <c r="Q10" i="12"/>
  <c r="Q11" i="17"/>
  <c r="L32" i="17" s="1"/>
  <c r="N8" i="11"/>
  <c r="O9" i="11"/>
  <c r="P9" i="11" s="1"/>
  <c r="Q9" i="11" s="1"/>
  <c r="R9" i="11" s="1"/>
  <c r="S9" i="11" s="1"/>
  <c r="T9" i="11" s="1"/>
  <c r="U9" i="11" s="1"/>
  <c r="V9" i="11" s="1"/>
  <c r="W9" i="11" s="1"/>
  <c r="O10" i="11"/>
  <c r="A13" i="11"/>
  <c r="M11" i="11" s="1"/>
  <c r="D17" i="11"/>
  <c r="L47" i="11"/>
  <c r="K91" i="12"/>
  <c r="A11" i="13"/>
  <c r="E11" i="13" s="1"/>
  <c r="P11" i="12" s="1"/>
  <c r="X11" i="12"/>
  <c r="Y11" i="12" s="1"/>
  <c r="J12" i="12"/>
  <c r="A12" i="13" s="1"/>
  <c r="N12" i="12"/>
  <c r="C12" i="13" s="1"/>
  <c r="A13" i="13"/>
  <c r="E13" i="13" s="1"/>
  <c r="P13" i="12" s="1"/>
  <c r="K88" i="12"/>
  <c r="I42" i="18" s="1"/>
  <c r="N2" i="12"/>
  <c r="Y10" i="12"/>
  <c r="Z10" i="12"/>
  <c r="A11" i="12"/>
  <c r="H11" i="12" s="1"/>
  <c r="W11" i="12"/>
  <c r="A13" i="12"/>
  <c r="V13" i="12" s="1"/>
  <c r="N1" i="17"/>
  <c r="C2" i="17"/>
  <c r="A3" i="17"/>
  <c r="C3" i="17" s="1"/>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A29" i="17" s="1"/>
  <c r="I29" i="17"/>
  <c r="M32" i="17"/>
  <c r="I35" i="17"/>
  <c r="C38" i="17"/>
  <c r="A39" i="17"/>
  <c r="C39" i="17" s="1"/>
  <c r="C44" i="17"/>
  <c r="A45" i="17"/>
  <c r="C45" i="17" s="1"/>
  <c r="J47" i="17"/>
  <c r="J48" i="17"/>
  <c r="J49" i="17"/>
  <c r="J50" i="17"/>
  <c r="A55" i="16"/>
  <c r="G55" i="16" s="1"/>
  <c r="A56" i="16"/>
  <c r="G56" i="16" s="1"/>
  <c r="A57" i="16"/>
  <c r="I50" i="18" s="1"/>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A4" i="17"/>
  <c r="A5" i="17" s="1"/>
  <c r="V38" i="16"/>
  <c r="X38" i="16"/>
  <c r="W38" i="16"/>
  <c r="A29" i="11" l="1"/>
  <c r="E13" i="12"/>
  <c r="D13" i="12"/>
  <c r="F13" i="12"/>
  <c r="C13" i="12"/>
  <c r="S13" i="12"/>
  <c r="G13" i="12"/>
  <c r="A23" i="17"/>
  <c r="C23" i="17" s="1"/>
  <c r="O27" i="17"/>
  <c r="N25" i="17"/>
  <c r="O25" i="17" s="1"/>
  <c r="M33" i="17"/>
  <c r="A40" i="17"/>
  <c r="C40" i="17" s="1"/>
  <c r="A24" i="17"/>
  <c r="C24" i="17" s="1"/>
  <c r="B11" i="12"/>
  <c r="A17" i="17"/>
  <c r="A18" i="17" s="1"/>
  <c r="I37" i="17"/>
  <c r="I42" i="17"/>
  <c r="B79" i="13"/>
  <c r="A25" i="18"/>
  <c r="C24" i="18"/>
  <c r="I49" i="17"/>
  <c r="I49" i="18"/>
  <c r="A34" i="18"/>
  <c r="C34" i="18" s="1"/>
  <c r="C33" i="18"/>
  <c r="C6" i="18"/>
  <c r="A7" i="18"/>
  <c r="C7" i="18" s="1"/>
  <c r="L50" i="11"/>
  <c r="O42" i="18"/>
  <c r="A19" i="18"/>
  <c r="C18" i="18"/>
  <c r="A48" i="18"/>
  <c r="C47" i="18"/>
  <c r="N27" i="18"/>
  <c r="A42" i="18"/>
  <c r="C41" i="18"/>
  <c r="C4" i="17"/>
  <c r="C28" i="17"/>
  <c r="U12" i="12"/>
  <c r="C11" i="12"/>
  <c r="E11" i="12"/>
  <c r="F11" i="12"/>
  <c r="P10" i="11"/>
  <c r="R10" i="11" s="1"/>
  <c r="T10" i="11" s="1"/>
  <c r="V10" i="11" s="1"/>
  <c r="Q10" i="11"/>
  <c r="S10" i="11" s="1"/>
  <c r="U10" i="11" s="1"/>
  <c r="W10" i="11" s="1"/>
  <c r="L11" i="11"/>
  <c r="N26" i="17"/>
  <c r="K13" i="11"/>
  <c r="N11" i="11" s="1"/>
  <c r="C13" i="11"/>
  <c r="F13" i="11" s="1"/>
  <c r="D13" i="13"/>
  <c r="O11" i="12"/>
  <c r="D11" i="13" s="1"/>
  <c r="X227" i="16"/>
  <c r="S112" i="16"/>
  <c r="S111" i="16"/>
  <c r="W227" i="16"/>
  <c r="V227" i="16"/>
  <c r="S110" i="16"/>
  <c r="C17" i="17"/>
  <c r="O42" i="17"/>
  <c r="B82" i="13"/>
  <c r="A41" i="17"/>
  <c r="A32" i="17"/>
  <c r="C29" i="17"/>
  <c r="M18" i="11"/>
  <c r="C20" i="11"/>
  <c r="A5" i="12"/>
  <c r="C13" i="13"/>
  <c r="A25" i="17"/>
  <c r="C5" i="17"/>
  <c r="A6" i="17"/>
  <c r="I50" i="17"/>
  <c r="G57" i="16"/>
  <c r="A46" i="17"/>
  <c r="N11" i="12"/>
  <c r="I11" i="12"/>
  <c r="G11" i="12"/>
  <c r="V11" i="12"/>
  <c r="D11" i="12"/>
  <c r="U38" i="16"/>
  <c r="A32" i="11" l="1"/>
  <c r="N27" i="17"/>
  <c r="Q21" i="18"/>
  <c r="P19" i="18"/>
  <c r="R18" i="18"/>
  <c r="U227" i="16"/>
  <c r="S109" i="16"/>
  <c r="Q20" i="18"/>
  <c r="C42" i="18"/>
  <c r="A43" i="18"/>
  <c r="C43" i="18" s="1"/>
  <c r="A20" i="18"/>
  <c r="C20" i="18" s="1"/>
  <c r="C19" i="18"/>
  <c r="R26" i="18"/>
  <c r="P18" i="18"/>
  <c r="R22" i="18"/>
  <c r="P20" i="18"/>
  <c r="P26" i="18"/>
  <c r="Q18" i="18"/>
  <c r="P21" i="18"/>
  <c r="R19" i="18"/>
  <c r="Q22" i="18"/>
  <c r="Q19" i="18"/>
  <c r="A49" i="18"/>
  <c r="C49" i="18" s="1"/>
  <c r="C48" i="18"/>
  <c r="P22" i="18"/>
  <c r="R20" i="18"/>
  <c r="A26" i="18"/>
  <c r="C26" i="18" s="1"/>
  <c r="C25" i="18"/>
  <c r="Q26" i="18"/>
  <c r="R21" i="18"/>
  <c r="I13" i="11"/>
  <c r="J13" i="11"/>
  <c r="K11" i="12"/>
  <c r="B11" i="13" s="1"/>
  <c r="H13" i="11"/>
  <c r="G13" i="11"/>
  <c r="B13" i="11"/>
  <c r="E13" i="11"/>
  <c r="C46" i="17"/>
  <c r="A47" i="17"/>
  <c r="C25" i="17"/>
  <c r="A26" i="17"/>
  <c r="C26" i="17" s="1"/>
  <c r="K13" i="12"/>
  <c r="E20" i="11"/>
  <c r="H20" i="11"/>
  <c r="F20" i="11"/>
  <c r="G20" i="11"/>
  <c r="C32" i="17"/>
  <c r="A33" i="17"/>
  <c r="U11" i="12"/>
  <c r="C11" i="13"/>
  <c r="A7" i="17"/>
  <c r="C7" i="17" s="1"/>
  <c r="C6" i="17"/>
  <c r="A42" i="17"/>
  <c r="C41" i="17"/>
  <c r="A19" i="17"/>
  <c r="C18" i="17"/>
  <c r="T38" i="16"/>
  <c r="Z54" i="12" l="1"/>
  <c r="S54" i="12" s="1"/>
  <c r="T54" i="12" s="1"/>
  <c r="U54" i="12" s="1"/>
  <c r="Z31" i="12"/>
  <c r="S31" i="12" s="1"/>
  <c r="T31" i="12" s="1"/>
  <c r="U31" i="12" s="1"/>
  <c r="Z32" i="12"/>
  <c r="S32" i="12" s="1"/>
  <c r="T32" i="12" s="1"/>
  <c r="U32" i="12" s="1"/>
  <c r="Z29" i="12"/>
  <c r="S29" i="12" s="1"/>
  <c r="T29" i="12" s="1"/>
  <c r="Z51" i="12"/>
  <c r="S51" i="12" s="1"/>
  <c r="T51" i="12" s="1"/>
  <c r="Z42" i="12"/>
  <c r="S42" i="12" s="1"/>
  <c r="T42" i="12" s="1"/>
  <c r="A35" i="11"/>
  <c r="Z73" i="12"/>
  <c r="S73" i="12" s="1"/>
  <c r="T73" i="12" s="1"/>
  <c r="Z53" i="12"/>
  <c r="Z52" i="12"/>
  <c r="Z49" i="12"/>
  <c r="Z47" i="12"/>
  <c r="S47" i="12" s="1"/>
  <c r="Z48" i="12"/>
  <c r="Z50" i="12"/>
  <c r="Z66" i="12"/>
  <c r="Z38" i="12"/>
  <c r="Z20" i="12"/>
  <c r="S20" i="12" s="1"/>
  <c r="T20" i="12" s="1"/>
  <c r="Z43" i="12"/>
  <c r="Z68" i="12"/>
  <c r="Z67" i="12"/>
  <c r="Z76" i="12"/>
  <c r="Z74" i="12"/>
  <c r="Z71" i="12"/>
  <c r="S71" i="12" s="1"/>
  <c r="Z75" i="12"/>
  <c r="Z72" i="12"/>
  <c r="Z70" i="12"/>
  <c r="Z28" i="12"/>
  <c r="Z25" i="12"/>
  <c r="S25" i="12" s="1"/>
  <c r="T25" i="12" s="1"/>
  <c r="Z24" i="12"/>
  <c r="S24" i="12" s="1"/>
  <c r="T24" i="12" s="1"/>
  <c r="Z21" i="12"/>
  <c r="S21" i="12" s="1"/>
  <c r="T21" i="12" s="1"/>
  <c r="Z27" i="12"/>
  <c r="Z26" i="12"/>
  <c r="S26" i="12" s="1"/>
  <c r="Z23" i="12"/>
  <c r="Z22" i="12"/>
  <c r="Z69" i="12"/>
  <c r="S69" i="12" s="1"/>
  <c r="Z64" i="12"/>
  <c r="Z62" i="12"/>
  <c r="S62" i="12" s="1"/>
  <c r="Z60" i="12"/>
  <c r="Z56" i="12"/>
  <c r="Z55" i="12"/>
  <c r="Z61" i="12"/>
  <c r="Z57" i="12"/>
  <c r="Z40" i="12"/>
  <c r="Z37" i="12"/>
  <c r="Z35" i="12"/>
  <c r="S35" i="12" s="1"/>
  <c r="Z33" i="12"/>
  <c r="Z59" i="12"/>
  <c r="Z63" i="12"/>
  <c r="Z41" i="12"/>
  <c r="Z58" i="12"/>
  <c r="Z44" i="12"/>
  <c r="Z39" i="12"/>
  <c r="Z36" i="12"/>
  <c r="Z34" i="12"/>
  <c r="Z30" i="12"/>
  <c r="Z19" i="12"/>
  <c r="S19" i="12" s="1"/>
  <c r="Z65" i="12"/>
  <c r="Z46" i="12"/>
  <c r="Z45" i="12"/>
  <c r="Z17" i="12"/>
  <c r="S17" i="12" s="1"/>
  <c r="T17" i="12" s="1"/>
  <c r="Z18" i="12"/>
  <c r="S18" i="12" s="1"/>
  <c r="T18" i="12" s="1"/>
  <c r="Z16" i="12"/>
  <c r="S16" i="12" s="1"/>
  <c r="T16" i="12" s="1"/>
  <c r="Z15" i="12"/>
  <c r="S15" i="12" s="1"/>
  <c r="T15" i="12" s="1"/>
  <c r="V14" i="12"/>
  <c r="M21" i="11" s="1"/>
  <c r="Z14" i="12"/>
  <c r="S14" i="12" s="1"/>
  <c r="O26" i="18"/>
  <c r="V27" i="18" s="1"/>
  <c r="T16" i="18" s="1"/>
  <c r="T227" i="16"/>
  <c r="Z11" i="12"/>
  <c r="S11" i="12" s="1"/>
  <c r="T11" i="12" s="1"/>
  <c r="S108" i="16"/>
  <c r="Z13" i="12"/>
  <c r="O27" i="18"/>
  <c r="R19" i="17"/>
  <c r="Q22" i="17"/>
  <c r="P20" i="17"/>
  <c r="P21" i="17"/>
  <c r="Q18" i="17"/>
  <c r="R21" i="17"/>
  <c r="R18" i="17"/>
  <c r="P18" i="17"/>
  <c r="Q21" i="17"/>
  <c r="P19" i="17"/>
  <c r="R20" i="17"/>
  <c r="Q19" i="17"/>
  <c r="Q20" i="17"/>
  <c r="D13" i="11"/>
  <c r="T13" i="11"/>
  <c r="R11" i="11"/>
  <c r="T11" i="11"/>
  <c r="AC12" i="11"/>
  <c r="S11" i="11"/>
  <c r="P12" i="11"/>
  <c r="P11" i="11"/>
  <c r="Q11" i="11"/>
  <c r="T12" i="11"/>
  <c r="S12" i="11"/>
  <c r="V12" i="11"/>
  <c r="Q13" i="11"/>
  <c r="U13" i="11"/>
  <c r="U11" i="11"/>
  <c r="U12" i="11"/>
  <c r="Q12" i="11"/>
  <c r="R13" i="11"/>
  <c r="W11" i="11"/>
  <c r="AC13" i="11"/>
  <c r="R12" i="11"/>
  <c r="AC11" i="11"/>
  <c r="V11" i="11"/>
  <c r="W13" i="11"/>
  <c r="W12" i="11"/>
  <c r="P13" i="11"/>
  <c r="S13" i="11"/>
  <c r="V13" i="11"/>
  <c r="P22" i="17"/>
  <c r="C42" i="17"/>
  <c r="A43" i="17"/>
  <c r="C43" i="17" s="1"/>
  <c r="A48" i="17"/>
  <c r="C47" i="17"/>
  <c r="Q26" i="17"/>
  <c r="C19" i="17"/>
  <c r="A20" i="17"/>
  <c r="C20" i="17" s="1"/>
  <c r="R26" i="17"/>
  <c r="L18" i="11"/>
  <c r="B13" i="13"/>
  <c r="R22" i="17"/>
  <c r="P26" i="17"/>
  <c r="C33" i="17"/>
  <c r="A34" i="17"/>
  <c r="C34" i="17" s="1"/>
  <c r="C23" i="11" l="1"/>
  <c r="G23" i="11" s="1"/>
  <c r="A38" i="11"/>
  <c r="O26" i="17"/>
  <c r="V27" i="17" s="1"/>
  <c r="T16" i="17" s="1"/>
  <c r="A49" i="17"/>
  <c r="C49" i="17" s="1"/>
  <c r="C48" i="17"/>
  <c r="B20" i="11" l="1"/>
  <c r="E23" i="11"/>
  <c r="F23" i="11"/>
  <c r="H23" i="11"/>
  <c r="A41" i="11"/>
  <c r="V19" i="12"/>
  <c r="C26" i="11" s="1"/>
  <c r="B23" i="11" s="1"/>
  <c r="W21" i="11" s="1"/>
  <c r="E14" i="12"/>
  <c r="G14" i="12"/>
  <c r="F14" i="12"/>
  <c r="M24" i="11" l="1"/>
  <c r="V21" i="11"/>
  <c r="H26" i="11"/>
  <c r="U21" i="11"/>
  <c r="P22" i="11"/>
  <c r="AC21" i="11"/>
  <c r="AC22" i="11" s="1"/>
  <c r="G26" i="11"/>
  <c r="Q21" i="11"/>
  <c r="R21" i="11"/>
  <c r="F26" i="11"/>
  <c r="S21" i="11"/>
  <c r="T21" i="11"/>
  <c r="E26" i="11"/>
  <c r="V26" i="12"/>
  <c r="M27" i="11" s="1"/>
  <c r="A44" i="11"/>
  <c r="F15" i="12"/>
  <c r="F16" i="12" s="1"/>
  <c r="F17" i="12" s="1"/>
  <c r="F18" i="12" s="1"/>
  <c r="F19" i="12" s="1"/>
  <c r="F20" i="12" s="1"/>
  <c r="G15" i="12"/>
  <c r="G16" i="12" s="1"/>
  <c r="G17" i="12" s="1"/>
  <c r="G18" i="12" s="1"/>
  <c r="G19" i="12" s="1"/>
  <c r="G20" i="12" s="1"/>
  <c r="E15" i="12"/>
  <c r="E16" i="12" s="1"/>
  <c r="E17" i="12" s="1"/>
  <c r="E18" i="12" s="1"/>
  <c r="E19" i="12" s="1"/>
  <c r="E20" i="12" s="1"/>
  <c r="Q22" i="11" l="1"/>
  <c r="R22" i="11" s="1"/>
  <c r="S22" i="11" s="1"/>
  <c r="T22" i="11" s="1"/>
  <c r="U22" i="11" s="1"/>
  <c r="C29" i="11"/>
  <c r="J23" i="11"/>
  <c r="V35" i="12"/>
  <c r="E21" i="12"/>
  <c r="E22" i="12" s="1"/>
  <c r="E23" i="12" s="1"/>
  <c r="E24" i="12" s="1"/>
  <c r="E25" i="12" s="1"/>
  <c r="E26" i="12" s="1"/>
  <c r="E27" i="12" s="1"/>
  <c r="F21" i="12"/>
  <c r="F22" i="12" s="1"/>
  <c r="F23" i="12" s="1"/>
  <c r="F24" i="12" s="1"/>
  <c r="F25" i="12" s="1"/>
  <c r="F26" i="12" s="1"/>
  <c r="F27" i="12" s="1"/>
  <c r="G21" i="12"/>
  <c r="G22" i="12" s="1"/>
  <c r="G23" i="12" s="1"/>
  <c r="G24" i="12" s="1"/>
  <c r="G25" i="12" s="1"/>
  <c r="G26" i="12" s="1"/>
  <c r="G27" i="12" s="1"/>
  <c r="H29" i="11" l="1"/>
  <c r="B26" i="11"/>
  <c r="G29" i="11"/>
  <c r="C32" i="11"/>
  <c r="F29" i="11"/>
  <c r="J26" i="11" s="1"/>
  <c r="M30" i="11"/>
  <c r="E29" i="11"/>
  <c r="V47" i="12"/>
  <c r="M33" i="11" s="1"/>
  <c r="E28" i="12"/>
  <c r="F28" i="12"/>
  <c r="G28" i="12"/>
  <c r="E69" i="12"/>
  <c r="E70" i="12" s="1"/>
  <c r="E71" i="12" s="1"/>
  <c r="E72" i="12" s="1"/>
  <c r="G69" i="12"/>
  <c r="G70" i="12" s="1"/>
  <c r="G71" i="12" s="1"/>
  <c r="G72" i="12" s="1"/>
  <c r="F69" i="12"/>
  <c r="F70" i="12" s="1"/>
  <c r="F71" i="12" s="1"/>
  <c r="F72" i="12" s="1"/>
  <c r="V22" i="11"/>
  <c r="E32" i="11" l="1"/>
  <c r="F32" i="11"/>
  <c r="J29" i="11" s="1"/>
  <c r="G32" i="11"/>
  <c r="H32" i="11"/>
  <c r="P25" i="11"/>
  <c r="V24" i="11"/>
  <c r="W24" i="11"/>
  <c r="T24" i="11"/>
  <c r="R24" i="11"/>
  <c r="AC24" i="11"/>
  <c r="AC25" i="11" s="1"/>
  <c r="S24" i="11"/>
  <c r="Q24" i="11"/>
  <c r="U24" i="11"/>
  <c r="B29" i="11"/>
  <c r="P28" i="11" s="1"/>
  <c r="Q28" i="11" s="1"/>
  <c r="C35" i="11"/>
  <c r="G29" i="12"/>
  <c r="G30" i="12" s="1"/>
  <c r="F29" i="12"/>
  <c r="F30" i="12" s="1"/>
  <c r="E29" i="12"/>
  <c r="E30" i="12" s="1"/>
  <c r="V62" i="12"/>
  <c r="C38" i="11" s="1"/>
  <c r="G73" i="12"/>
  <c r="G74" i="12" s="1"/>
  <c r="G75" i="12" s="1"/>
  <c r="G76" i="12" s="1"/>
  <c r="E73" i="12"/>
  <c r="E74" i="12" s="1"/>
  <c r="E75" i="12" s="1"/>
  <c r="E76" i="12" s="1"/>
  <c r="F73" i="12"/>
  <c r="F74" i="12" s="1"/>
  <c r="F75" i="12" s="1"/>
  <c r="F76" i="12" s="1"/>
  <c r="W22" i="11"/>
  <c r="E31" i="12" l="1"/>
  <c r="E32" i="12" s="1"/>
  <c r="E33" i="12" s="1"/>
  <c r="E34" i="12" s="1"/>
  <c r="E35" i="12" s="1"/>
  <c r="E36" i="12" s="1"/>
  <c r="E37" i="12" s="1"/>
  <c r="E38" i="12" s="1"/>
  <c r="E39" i="12" s="1"/>
  <c r="E40" i="12" s="1"/>
  <c r="E41" i="12" s="1"/>
  <c r="E42" i="12" s="1"/>
  <c r="E43" i="12" s="1"/>
  <c r="E44" i="12" s="1"/>
  <c r="E45" i="12" s="1"/>
  <c r="E46" i="12" s="1"/>
  <c r="F31" i="12"/>
  <c r="F32" i="12" s="1"/>
  <c r="F33" i="12" s="1"/>
  <c r="F34" i="12" s="1"/>
  <c r="F35" i="12" s="1"/>
  <c r="F36" i="12" s="1"/>
  <c r="F37" i="12" s="1"/>
  <c r="F38" i="12" s="1"/>
  <c r="F39" i="12" s="1"/>
  <c r="F40" i="12" s="1"/>
  <c r="F41" i="12" s="1"/>
  <c r="F42" i="12" s="1"/>
  <c r="F43" i="12" s="1"/>
  <c r="F44" i="12" s="1"/>
  <c r="F45" i="12" s="1"/>
  <c r="F46" i="12" s="1"/>
  <c r="G31" i="12"/>
  <c r="G32" i="12" s="1"/>
  <c r="G33" i="12" s="1"/>
  <c r="G34" i="12" s="1"/>
  <c r="G35" i="12" s="1"/>
  <c r="G36" i="12" s="1"/>
  <c r="G37" i="12" s="1"/>
  <c r="G38" i="12" s="1"/>
  <c r="G39" i="12" s="1"/>
  <c r="G40" i="12" s="1"/>
  <c r="G41" i="12" s="1"/>
  <c r="G42" i="12" s="1"/>
  <c r="G43" i="12" s="1"/>
  <c r="G44" i="12" s="1"/>
  <c r="G45" i="12" s="1"/>
  <c r="G46" i="12" s="1"/>
  <c r="Q25" i="11"/>
  <c r="R25" i="11" s="1"/>
  <c r="S25" i="11" s="1"/>
  <c r="T25" i="11" s="1"/>
  <c r="S27" i="11"/>
  <c r="T27" i="11"/>
  <c r="F35" i="11"/>
  <c r="F38" i="11" s="1"/>
  <c r="J35" i="11" s="1"/>
  <c r="AC27" i="11"/>
  <c r="AC28" i="11" s="1"/>
  <c r="R27" i="11"/>
  <c r="R28" i="11" s="1"/>
  <c r="U27" i="11"/>
  <c r="M36" i="11"/>
  <c r="W27" i="11"/>
  <c r="V27" i="11"/>
  <c r="B32" i="11"/>
  <c r="G35" i="11"/>
  <c r="H35" i="11"/>
  <c r="E35" i="11"/>
  <c r="E38" i="11" s="1"/>
  <c r="G38" i="11"/>
  <c r="H38" i="11"/>
  <c r="B35" i="11"/>
  <c r="V69" i="12"/>
  <c r="C41" i="11" s="1"/>
  <c r="J32" i="11" l="1"/>
  <c r="S28" i="11"/>
  <c r="T28" i="11" s="1"/>
  <c r="M39" i="11"/>
  <c r="P30" i="11"/>
  <c r="P31" i="11" s="1"/>
  <c r="Q31" i="11" s="1"/>
  <c r="R31" i="11" s="1"/>
  <c r="T30" i="11"/>
  <c r="W30" i="11"/>
  <c r="S30" i="11"/>
  <c r="AC30" i="11"/>
  <c r="AC31" i="11" s="1"/>
  <c r="U30" i="11"/>
  <c r="V30" i="11"/>
  <c r="W33" i="11"/>
  <c r="AC33" i="11"/>
  <c r="AC34" i="11" s="1"/>
  <c r="V33" i="11"/>
  <c r="P33" i="11"/>
  <c r="P34" i="11" s="1"/>
  <c r="U33" i="11"/>
  <c r="T33" i="11"/>
  <c r="Q33" i="11"/>
  <c r="B38" i="11"/>
  <c r="E41" i="11"/>
  <c r="F41" i="11"/>
  <c r="G41" i="11"/>
  <c r="H41" i="11"/>
  <c r="V71" i="12"/>
  <c r="M42" i="11" s="1"/>
  <c r="U25" i="11"/>
  <c r="F47" i="12"/>
  <c r="F48" i="12" s="1"/>
  <c r="F49" i="12" s="1"/>
  <c r="F50" i="12" s="1"/>
  <c r="G47" i="12"/>
  <c r="G48" i="12" s="1"/>
  <c r="G49" i="12" s="1"/>
  <c r="G50" i="12" s="1"/>
  <c r="E47" i="12"/>
  <c r="E48" i="12" s="1"/>
  <c r="E49" i="12" s="1"/>
  <c r="E50" i="12" s="1"/>
  <c r="C44" i="11" l="1"/>
  <c r="E44" i="11" s="1"/>
  <c r="S31" i="11"/>
  <c r="T31" i="11" s="1"/>
  <c r="U31" i="11" s="1"/>
  <c r="V31" i="11" s="1"/>
  <c r="W31" i="11" s="1"/>
  <c r="Q34" i="11"/>
  <c r="R34" i="11" s="1"/>
  <c r="S34" i="11" s="1"/>
  <c r="T34" i="11" s="1"/>
  <c r="U34" i="11" s="1"/>
  <c r="P36" i="11"/>
  <c r="P37" i="11" s="1"/>
  <c r="V36" i="11"/>
  <c r="W36" i="11"/>
  <c r="AC36" i="11"/>
  <c r="AC37" i="11" s="1"/>
  <c r="Q36" i="11"/>
  <c r="T36" i="11"/>
  <c r="U36" i="11"/>
  <c r="J38" i="11"/>
  <c r="E51" i="12"/>
  <c r="E52" i="12" s="1"/>
  <c r="E53" i="12" s="1"/>
  <c r="G51" i="12"/>
  <c r="G52" i="12" s="1"/>
  <c r="G53" i="12" s="1"/>
  <c r="F51" i="12"/>
  <c r="F52" i="12" s="1"/>
  <c r="F53" i="12" s="1"/>
  <c r="V25" i="11"/>
  <c r="U28" i="11"/>
  <c r="F54" i="12" l="1"/>
  <c r="F55" i="12" s="1"/>
  <c r="F56" i="12" s="1"/>
  <c r="F57" i="12" s="1"/>
  <c r="F58" i="12" s="1"/>
  <c r="F59" i="12" s="1"/>
  <c r="F60" i="12" s="1"/>
  <c r="F61" i="12" s="1"/>
  <c r="F62" i="12" s="1"/>
  <c r="F63" i="12" s="1"/>
  <c r="F64" i="12" s="1"/>
  <c r="F65" i="12" s="1"/>
  <c r="F66" i="12" s="1"/>
  <c r="F67" i="12" s="1"/>
  <c r="F68" i="12" s="1"/>
  <c r="G54" i="12"/>
  <c r="G55" i="12" s="1"/>
  <c r="G56" i="12" s="1"/>
  <c r="G57" i="12" s="1"/>
  <c r="G58" i="12" s="1"/>
  <c r="G59" i="12" s="1"/>
  <c r="G60" i="12" s="1"/>
  <c r="G61" i="12" s="1"/>
  <c r="G62" i="12" s="1"/>
  <c r="G63" i="12" s="1"/>
  <c r="G64" i="12" s="1"/>
  <c r="G65" i="12" s="1"/>
  <c r="G66" i="12" s="1"/>
  <c r="G67" i="12" s="1"/>
  <c r="G68" i="12" s="1"/>
  <c r="E54" i="12"/>
  <c r="E55" i="12" s="1"/>
  <c r="E56" i="12" s="1"/>
  <c r="E57" i="12" s="1"/>
  <c r="E58" i="12" s="1"/>
  <c r="E59" i="12" s="1"/>
  <c r="E60" i="12" s="1"/>
  <c r="E61" i="12" s="1"/>
  <c r="E62" i="12" s="1"/>
  <c r="E63" i="12" s="1"/>
  <c r="E64" i="12" s="1"/>
  <c r="E65" i="12" s="1"/>
  <c r="E66" i="12" s="1"/>
  <c r="E67" i="12" s="1"/>
  <c r="E68" i="12" s="1"/>
  <c r="G44" i="11"/>
  <c r="H44" i="11"/>
  <c r="F44" i="11"/>
  <c r="J41" i="11" s="1"/>
  <c r="B44" i="11"/>
  <c r="P42" i="11" s="1"/>
  <c r="P43" i="11" s="1"/>
  <c r="B41" i="11"/>
  <c r="AC39" i="11" s="1"/>
  <c r="AC40" i="11" s="1"/>
  <c r="Q37" i="11"/>
  <c r="R37" i="11" s="1"/>
  <c r="S37" i="11" s="1"/>
  <c r="T37" i="11" s="1"/>
  <c r="I20" i="11"/>
  <c r="V28" i="11"/>
  <c r="V34" i="11"/>
  <c r="W25" i="11"/>
  <c r="D14" i="12"/>
  <c r="T39" i="11" l="1"/>
  <c r="W42" i="11"/>
  <c r="W39" i="11"/>
  <c r="V42" i="11"/>
  <c r="V39" i="11"/>
  <c r="T42" i="11"/>
  <c r="U39" i="11"/>
  <c r="AC42" i="11"/>
  <c r="AC43" i="11" s="1"/>
  <c r="Q42" i="11"/>
  <c r="Q43" i="11" s="1"/>
  <c r="R43" i="11" s="1"/>
  <c r="P39" i="11"/>
  <c r="P40" i="11" s="1"/>
  <c r="Q39" i="11"/>
  <c r="U42" i="11"/>
  <c r="J44" i="11"/>
  <c r="I32" i="11"/>
  <c r="D32" i="11" s="1"/>
  <c r="I41" i="11"/>
  <c r="D41" i="11" s="1"/>
  <c r="I29" i="11"/>
  <c r="D29" i="11" s="1"/>
  <c r="I26" i="11"/>
  <c r="D26" i="11" s="1"/>
  <c r="I38" i="11"/>
  <c r="D38" i="11" s="1"/>
  <c r="I35" i="11"/>
  <c r="D35" i="11" s="1"/>
  <c r="I44" i="11"/>
  <c r="I23" i="11"/>
  <c r="D23" i="11" s="1"/>
  <c r="J20" i="11"/>
  <c r="D20" i="11" s="1"/>
  <c r="W34" i="11"/>
  <c r="U37" i="11"/>
  <c r="W28" i="11"/>
  <c r="Q40" i="11" l="1"/>
  <c r="R40" i="11" s="1"/>
  <c r="S40" i="11" s="1"/>
  <c r="T40" i="11" s="1"/>
  <c r="U40" i="11" s="1"/>
  <c r="V40" i="11" s="1"/>
  <c r="D44" i="11"/>
  <c r="S43" i="11"/>
  <c r="V37" i="11"/>
  <c r="D15" i="12"/>
  <c r="D16" i="12" s="1"/>
  <c r="D17" i="12" s="1"/>
  <c r="D18" i="12" s="1"/>
  <c r="W37" i="11" l="1"/>
  <c r="T43" i="11"/>
  <c r="W40" i="11"/>
  <c r="D19" i="12"/>
  <c r="D20" i="12" s="1"/>
  <c r="I14" i="12" l="1"/>
  <c r="U43" i="11"/>
  <c r="D21" i="12"/>
  <c r="V43" i="11" l="1"/>
  <c r="D22" i="12"/>
  <c r="D23" i="12" s="1"/>
  <c r="D24" i="12" s="1"/>
  <c r="D25" i="12" s="1"/>
  <c r="D26" i="12" s="1"/>
  <c r="W43" i="11" l="1"/>
  <c r="I19" i="12"/>
  <c r="D27" i="12"/>
  <c r="C14" i="12"/>
  <c r="D28" i="12" l="1"/>
  <c r="D29" i="12" s="1"/>
  <c r="K14" i="12"/>
  <c r="L21" i="11" s="1"/>
  <c r="B14" i="13" l="1"/>
  <c r="C15" i="12"/>
  <c r="D30" i="12" l="1"/>
  <c r="D31" i="12" s="1"/>
  <c r="D32" i="12" s="1"/>
  <c r="C16" i="12"/>
  <c r="K15" i="12"/>
  <c r="B15" i="13" s="1"/>
  <c r="D33" i="12" l="1"/>
  <c r="K16" i="12"/>
  <c r="B16" i="13" s="1"/>
  <c r="C17" i="12"/>
  <c r="D34" i="12" l="1"/>
  <c r="C18" i="12"/>
  <c r="K17" i="12"/>
  <c r="B17" i="13" s="1"/>
  <c r="D35" i="12" l="1"/>
  <c r="K18" i="12"/>
  <c r="B18" i="13" s="1"/>
  <c r="D36" i="12" l="1"/>
  <c r="C19" i="12"/>
  <c r="C20" i="12" l="1"/>
  <c r="K20" i="12" s="1"/>
  <c r="B20" i="13" s="1"/>
  <c r="D37" i="12"/>
  <c r="K19" i="12"/>
  <c r="L24" i="11" l="1"/>
  <c r="B19" i="13"/>
  <c r="D38" i="12"/>
  <c r="D39" i="12" s="1"/>
  <c r="D40" i="12" s="1"/>
  <c r="D41" i="12" s="1"/>
  <c r="D42" i="12" s="1"/>
  <c r="C21" i="12"/>
  <c r="C22" i="12" s="1"/>
  <c r="K22" i="12" s="1"/>
  <c r="B22" i="13" s="1"/>
  <c r="I26" i="12"/>
  <c r="K21" i="12" l="1"/>
  <c r="B21" i="13" s="1"/>
  <c r="C23" i="12"/>
  <c r="D43" i="12" l="1"/>
  <c r="D44" i="12" s="1"/>
  <c r="K23" i="12"/>
  <c r="B23" i="13" s="1"/>
  <c r="C24" i="12"/>
  <c r="D45" i="12" l="1"/>
  <c r="D46" i="12" s="1"/>
  <c r="K24" i="12"/>
  <c r="B24" i="13" s="1"/>
  <c r="D47" i="12" l="1"/>
  <c r="C25" i="12"/>
  <c r="D48" i="12" l="1"/>
  <c r="C26" i="12"/>
  <c r="K25" i="12"/>
  <c r="B25" i="13" s="1"/>
  <c r="D49" i="12" l="1"/>
  <c r="I35" i="12"/>
  <c r="K26" i="12"/>
  <c r="L27" i="11" l="1"/>
  <c r="B26" i="13"/>
  <c r="D50" i="12"/>
  <c r="D51" i="12" s="1"/>
  <c r="C27" i="12"/>
  <c r="D52" i="12" l="1"/>
  <c r="D53" i="12" s="1"/>
  <c r="D54" i="12" s="1"/>
  <c r="K27" i="12"/>
  <c r="B27" i="13" s="1"/>
  <c r="C28" i="12"/>
  <c r="C29" i="12" s="1"/>
  <c r="K29" i="12" s="1"/>
  <c r="B29" i="13" s="1"/>
  <c r="D55" i="12" l="1"/>
  <c r="K28" i="12"/>
  <c r="B28" i="13" s="1"/>
  <c r="D56" i="12" l="1"/>
  <c r="D57" i="12" s="1"/>
  <c r="D58" i="12" s="1"/>
  <c r="D59" i="12" s="1"/>
  <c r="D60" i="12" s="1"/>
  <c r="D61" i="12" s="1"/>
  <c r="D62" i="12" s="1"/>
  <c r="D63" i="12" s="1"/>
  <c r="D64" i="12" s="1"/>
  <c r="D65" i="12" s="1"/>
  <c r="D66" i="12" s="1"/>
  <c r="D67" i="12" s="1"/>
  <c r="D68" i="12" s="1"/>
  <c r="D69" i="12" s="1"/>
  <c r="D70" i="12" s="1"/>
  <c r="D71" i="12" s="1"/>
  <c r="I69" i="12" s="1"/>
  <c r="C30" i="12"/>
  <c r="C31" i="12" s="1"/>
  <c r="C32" i="12" l="1"/>
  <c r="K32" i="12" s="1"/>
  <c r="B32" i="13" s="1"/>
  <c r="K31" i="12"/>
  <c r="B31" i="13" s="1"/>
  <c r="I47" i="12"/>
  <c r="D72" i="12"/>
  <c r="I62" i="12"/>
  <c r="K30" i="12"/>
  <c r="B30" i="13" s="1"/>
  <c r="C33" i="12" l="1"/>
  <c r="K33" i="12" s="1"/>
  <c r="B33" i="13" s="1"/>
  <c r="D73" i="12"/>
  <c r="D74" i="12" s="1"/>
  <c r="C34" i="12" l="1"/>
  <c r="K34" i="12" s="1"/>
  <c r="B34" i="13" s="1"/>
  <c r="D75" i="12"/>
  <c r="D76" i="12" s="1"/>
  <c r="H69" i="12" s="1"/>
  <c r="B69" i="12" s="1"/>
  <c r="C35" i="12" l="1"/>
  <c r="C36" i="12" s="1"/>
  <c r="H19" i="12"/>
  <c r="B19" i="12" s="1"/>
  <c r="H14" i="12"/>
  <c r="B14" i="12" s="1"/>
  <c r="T14" i="12" s="1"/>
  <c r="U14" i="12" s="1"/>
  <c r="H47" i="12"/>
  <c r="B47" i="12" s="1"/>
  <c r="H35" i="12"/>
  <c r="B35" i="12" s="1"/>
  <c r="H71" i="12"/>
  <c r="H62" i="12"/>
  <c r="B62" i="12" s="1"/>
  <c r="I71" i="12"/>
  <c r="H26" i="12"/>
  <c r="B26" i="12" s="1"/>
  <c r="K35" i="12" l="1"/>
  <c r="L30" i="11" s="1"/>
  <c r="K23" i="11"/>
  <c r="N21" i="11" s="1"/>
  <c r="V23" i="11" s="1"/>
  <c r="B71" i="12"/>
  <c r="K36" i="12"/>
  <c r="B36" i="13" s="1"/>
  <c r="C37" i="12"/>
  <c r="C38" i="12" s="1"/>
  <c r="K38" i="12" s="1"/>
  <c r="B38" i="13" s="1"/>
  <c r="B35" i="13" l="1"/>
  <c r="AC23" i="11"/>
  <c r="P23" i="11"/>
  <c r="S23" i="11"/>
  <c r="T23" i="11"/>
  <c r="U23" i="11"/>
  <c r="Q23" i="11"/>
  <c r="W23" i="11"/>
  <c r="R23" i="11"/>
  <c r="C39" i="12"/>
  <c r="K37" i="12"/>
  <c r="B37" i="13" s="1"/>
  <c r="K39" i="12" l="1"/>
  <c r="B39" i="13" s="1"/>
  <c r="C40" i="12"/>
  <c r="K40" i="12" l="1"/>
  <c r="B40" i="13" s="1"/>
  <c r="C41" i="12" l="1"/>
  <c r="C42" i="12" s="1"/>
  <c r="K42" i="12" s="1"/>
  <c r="B42" i="13" s="1"/>
  <c r="K41" i="12" l="1"/>
  <c r="B41" i="13" s="1"/>
  <c r="C43" i="12" l="1"/>
  <c r="K43" i="12" l="1"/>
  <c r="B43" i="13" s="1"/>
  <c r="C44" i="12"/>
  <c r="K44" i="12" l="1"/>
  <c r="B44" i="13" s="1"/>
  <c r="C45" i="12"/>
  <c r="K45" i="12" l="1"/>
  <c r="B45" i="13" s="1"/>
  <c r="C46" i="12"/>
  <c r="C47" i="12" s="1"/>
  <c r="C48" i="12" l="1"/>
  <c r="K47" i="12"/>
  <c r="K46" i="12"/>
  <c r="B46" i="13" s="1"/>
  <c r="L33" i="11" l="1"/>
  <c r="B47" i="13"/>
  <c r="C49" i="12"/>
  <c r="K48" i="12"/>
  <c r="B48" i="13" s="1"/>
  <c r="C50" i="12" l="1"/>
  <c r="C51" i="12" s="1"/>
  <c r="K51" i="12" s="1"/>
  <c r="B51" i="13" s="1"/>
  <c r="K49" i="12"/>
  <c r="B49" i="13" s="1"/>
  <c r="C52" i="12" l="1"/>
  <c r="C53" i="12" s="1"/>
  <c r="K50" i="12"/>
  <c r="B50" i="13" s="1"/>
  <c r="K53" i="12" l="1"/>
  <c r="B53" i="13" s="1"/>
  <c r="C54" i="12"/>
  <c r="K54" i="12" s="1"/>
  <c r="B54" i="13" s="1"/>
  <c r="K52" i="12"/>
  <c r="B52" i="13" s="1"/>
  <c r="C55" i="12" l="1"/>
  <c r="K55" i="12" s="1"/>
  <c r="B55" i="13" s="1"/>
  <c r="C56" i="12" l="1"/>
  <c r="K56" i="12" s="1"/>
  <c r="B56" i="13" s="1"/>
  <c r="C57" i="12" l="1"/>
  <c r="K57" i="12" s="1"/>
  <c r="B57" i="13" s="1"/>
  <c r="C58" i="12" l="1"/>
  <c r="K58" i="12" s="1"/>
  <c r="B58" i="13" s="1"/>
  <c r="C59" i="12" l="1"/>
  <c r="K59" i="12" s="1"/>
  <c r="B59" i="13" s="1"/>
  <c r="C60" i="12" l="1"/>
  <c r="K60" i="12" s="1"/>
  <c r="B60" i="13" s="1"/>
  <c r="C61" i="12" l="1"/>
  <c r="K61" i="12" s="1"/>
  <c r="B61" i="13" s="1"/>
  <c r="C62" i="12" l="1"/>
  <c r="K62" i="12" s="1"/>
  <c r="C63" i="12" l="1"/>
  <c r="K63" i="12" s="1"/>
  <c r="B63" i="13" s="1"/>
  <c r="L36" i="11"/>
  <c r="B62" i="13"/>
  <c r="C64" i="12"/>
  <c r="C65" i="12" l="1"/>
  <c r="K64" i="12"/>
  <c r="B64" i="13" s="1"/>
  <c r="C66" i="12" l="1"/>
  <c r="K65" i="12"/>
  <c r="B65" i="13" s="1"/>
  <c r="K66" i="12" l="1"/>
  <c r="B66" i="13" s="1"/>
  <c r="C67" i="12"/>
  <c r="C68" i="12" l="1"/>
  <c r="K67" i="12"/>
  <c r="B67" i="13" s="1"/>
  <c r="K68" i="12" l="1"/>
  <c r="B68" i="13" s="1"/>
  <c r="C69" i="12"/>
  <c r="C70" i="12" l="1"/>
  <c r="K69" i="12"/>
  <c r="L39" i="11" l="1"/>
  <c r="B69" i="13"/>
  <c r="K70" i="12"/>
  <c r="B70" i="13" s="1"/>
  <c r="C71" i="12"/>
  <c r="K71" i="12" l="1"/>
  <c r="C72" i="12"/>
  <c r="C73" i="12" s="1"/>
  <c r="K73" i="12" s="1"/>
  <c r="B73" i="13" s="1"/>
  <c r="L42" i="11" l="1"/>
  <c r="B71" i="13"/>
  <c r="C74" i="12"/>
  <c r="K72" i="12"/>
  <c r="B72" i="13" s="1"/>
  <c r="C75" i="12" l="1"/>
  <c r="K74" i="12"/>
  <c r="B74" i="13" s="1"/>
  <c r="C76" i="12" l="1"/>
  <c r="K75" i="12"/>
  <c r="B75" i="13" s="1"/>
  <c r="K76" i="12" l="1"/>
  <c r="B76" i="13" s="1"/>
  <c r="I13" i="12"/>
  <c r="H13" i="12"/>
  <c r="B13" i="12" l="1"/>
  <c r="B12" i="12" s="1"/>
  <c r="X36" i="12"/>
  <c r="X37" i="12"/>
  <c r="X25" i="12"/>
  <c r="X21" i="12"/>
  <c r="X68" i="12"/>
  <c r="X33" i="12"/>
  <c r="X40" i="12"/>
  <c r="X44" i="12"/>
  <c r="X73" i="12"/>
  <c r="X27" i="12"/>
  <c r="X76" i="12"/>
  <c r="X55" i="12"/>
  <c r="X38" i="12"/>
  <c r="X50" i="12"/>
  <c r="X28" i="12"/>
  <c r="X34" i="12"/>
  <c r="X42" i="12"/>
  <c r="X17" i="12"/>
  <c r="X18" i="12"/>
  <c r="X74" i="12"/>
  <c r="X56" i="12"/>
  <c r="X16" i="12"/>
  <c r="X72" i="12"/>
  <c r="X20" i="12"/>
  <c r="X66" i="12"/>
  <c r="X24" i="12"/>
  <c r="X60" i="12"/>
  <c r="X70" i="12"/>
  <c r="X57" i="12"/>
  <c r="X46" i="12"/>
  <c r="X53" i="12"/>
  <c r="X51" i="12"/>
  <c r="X59" i="12"/>
  <c r="X65" i="12"/>
  <c r="X67" i="12"/>
  <c r="X29" i="12"/>
  <c r="X39" i="12"/>
  <c r="X22" i="12"/>
  <c r="X23" i="12"/>
  <c r="X15" i="12"/>
  <c r="X45" i="12"/>
  <c r="X41" i="12"/>
  <c r="X63" i="12"/>
  <c r="X30" i="12"/>
  <c r="X75" i="12"/>
  <c r="X64" i="12"/>
  <c r="X61" i="12"/>
  <c r="X48" i="12"/>
  <c r="X52" i="12"/>
  <c r="X43" i="12"/>
  <c r="X58" i="12"/>
  <c r="X49" i="12"/>
  <c r="S76" i="12" l="1"/>
  <c r="T76" i="12" s="1"/>
  <c r="S34" i="12"/>
  <c r="T34" i="12" s="1"/>
  <c r="S27" i="12"/>
  <c r="T27" i="12" s="1"/>
  <c r="S22" i="12"/>
  <c r="T22" i="12" s="1"/>
  <c r="S65" i="12"/>
  <c r="T65" i="12" s="1"/>
  <c r="S64" i="12"/>
  <c r="T64" i="12" s="1"/>
  <c r="S66" i="12"/>
  <c r="T66" i="12" s="1"/>
  <c r="S56" i="12"/>
  <c r="T56" i="12" s="1"/>
  <c r="S33" i="12"/>
  <c r="T33" i="12" s="1"/>
  <c r="S45" i="12"/>
  <c r="T45" i="12" s="1"/>
  <c r="S46" i="12"/>
  <c r="T46" i="12" s="1"/>
  <c r="S40" i="12"/>
  <c r="T40" i="12" s="1"/>
  <c r="S55" i="12"/>
  <c r="T55" i="12" s="1"/>
  <c r="S23" i="12"/>
  <c r="T23" i="12" s="1"/>
  <c r="S48" i="12"/>
  <c r="T48" i="12" s="1"/>
  <c r="S50" i="12"/>
  <c r="T50" i="12" s="1"/>
  <c r="S75" i="12"/>
  <c r="T75" i="12" s="1"/>
  <c r="S28" i="12"/>
  <c r="T28" i="12" s="1"/>
  <c r="S43" i="12"/>
  <c r="T43" i="12" s="1"/>
  <c r="S67" i="12"/>
  <c r="T67" i="12" s="1"/>
  <c r="S61" i="12"/>
  <c r="T61" i="12" s="1"/>
  <c r="S38" i="12"/>
  <c r="T38" i="12" s="1"/>
  <c r="S44" i="12"/>
  <c r="T44" i="12" s="1"/>
  <c r="S57" i="12"/>
  <c r="T57" i="12" s="1"/>
  <c r="S30" i="12"/>
  <c r="T30" i="12" s="1"/>
  <c r="S59" i="12"/>
  <c r="T59" i="12" s="1"/>
  <c r="S70" i="12"/>
  <c r="T70" i="12" s="1"/>
  <c r="S52" i="12"/>
  <c r="T52" i="12" s="1"/>
  <c r="S37" i="12"/>
  <c r="T37" i="12" s="1"/>
  <c r="S49" i="12"/>
  <c r="T49" i="12" s="1"/>
  <c r="S72" i="12"/>
  <c r="T72" i="12" s="1"/>
  <c r="S74" i="12"/>
  <c r="T74" i="12" s="1"/>
  <c r="S58" i="12"/>
  <c r="T58" i="12" s="1"/>
  <c r="S41" i="12"/>
  <c r="T41" i="12" s="1"/>
  <c r="S36" i="12"/>
  <c r="T36" i="12" s="1"/>
  <c r="S53" i="12"/>
  <c r="T53" i="12" s="1"/>
  <c r="S60" i="12"/>
  <c r="T60" i="12" s="1"/>
  <c r="S63" i="12"/>
  <c r="T63" i="12" s="1"/>
  <c r="S68" i="12"/>
  <c r="T68" i="12" s="1"/>
  <c r="S39" i="12"/>
  <c r="T39" i="12" s="1"/>
  <c r="U51" i="12" l="1"/>
  <c r="U25" i="12"/>
  <c r="U21" i="12"/>
  <c r="U42" i="12"/>
  <c r="U17" i="12"/>
  <c r="U16" i="12"/>
  <c r="U20" i="12"/>
  <c r="U24" i="12"/>
  <c r="U18" i="12"/>
  <c r="U29" i="12"/>
  <c r="U15" i="12"/>
  <c r="U73" i="12"/>
  <c r="U22" i="12"/>
  <c r="U74" i="12"/>
  <c r="U60" i="12"/>
  <c r="U36" i="12"/>
  <c r="U37" i="12"/>
  <c r="U57" i="12"/>
  <c r="U67" i="12"/>
  <c r="U23" i="12"/>
  <c r="U46" i="12"/>
  <c r="U64" i="12"/>
  <c r="U34" i="12"/>
  <c r="U76" i="12"/>
  <c r="U68" i="12"/>
  <c r="U63" i="12"/>
  <c r="U44" i="12"/>
  <c r="U28" i="12"/>
  <c r="U38" i="12"/>
  <c r="U55" i="12"/>
  <c r="U41" i="12"/>
  <c r="U45" i="12"/>
  <c r="U70" i="12"/>
  <c r="U33" i="12"/>
  <c r="U50" i="12"/>
  <c r="U27" i="12"/>
  <c r="U30" i="12"/>
  <c r="U40" i="12"/>
  <c r="U43" i="12"/>
  <c r="U59" i="12"/>
  <c r="U65" i="12"/>
  <c r="U53" i="12"/>
  <c r="U39" i="12"/>
  <c r="U49" i="12"/>
  <c r="U75" i="12"/>
  <c r="U61" i="12"/>
  <c r="U48" i="12"/>
  <c r="U56" i="12"/>
  <c r="U58" i="12"/>
  <c r="U52" i="12"/>
  <c r="U66" i="12"/>
  <c r="T35" i="12"/>
  <c r="T12" i="12"/>
  <c r="N14" i="11" s="1"/>
  <c r="T19" i="12"/>
  <c r="K26" i="11" s="1"/>
  <c r="N24" i="11" s="1"/>
  <c r="T69" i="12"/>
  <c r="U69" i="12" s="1"/>
  <c r="T71" i="12"/>
  <c r="U71" i="12" s="1"/>
  <c r="U72" i="12"/>
  <c r="T62" i="12"/>
  <c r="U62" i="12" s="1"/>
  <c r="T26" i="12"/>
  <c r="T13" i="12"/>
  <c r="U13" i="12" s="1"/>
  <c r="T47" i="12"/>
  <c r="U47" i="12" s="1"/>
  <c r="Q26" i="11" l="1"/>
  <c r="S26" i="11"/>
  <c r="T26" i="11"/>
  <c r="R26" i="11"/>
  <c r="W26" i="11"/>
  <c r="P26" i="11"/>
  <c r="V26" i="11"/>
  <c r="AC26" i="11"/>
  <c r="U26" i="11"/>
  <c r="K41" i="11"/>
  <c r="N39" i="11" s="1"/>
  <c r="Q41" i="11" s="1"/>
  <c r="K35" i="11"/>
  <c r="N33" i="11" s="1"/>
  <c r="T35" i="11" s="1"/>
  <c r="K29" i="11"/>
  <c r="N27" i="11" s="1"/>
  <c r="U26" i="12"/>
  <c r="K32" i="11"/>
  <c r="N30" i="11" s="1"/>
  <c r="U35" i="12"/>
  <c r="U19" i="12"/>
  <c r="K20" i="11"/>
  <c r="N18" i="11" s="1"/>
  <c r="K38" i="11"/>
  <c r="N36" i="11" s="1"/>
  <c r="P38" i="11" s="1"/>
  <c r="K44" i="11"/>
  <c r="N42" i="11" s="1"/>
  <c r="P44" i="11" s="1"/>
  <c r="Q35" i="11" l="1"/>
  <c r="V41" i="11"/>
  <c r="AC41" i="11"/>
  <c r="S41" i="11"/>
  <c r="R41" i="11"/>
  <c r="W41" i="11"/>
  <c r="U41" i="11"/>
  <c r="T41" i="11"/>
  <c r="S35" i="11"/>
  <c r="R35" i="11"/>
  <c r="P41" i="11"/>
  <c r="V35" i="11"/>
  <c r="P35" i="11"/>
  <c r="U35" i="11"/>
  <c r="W35" i="11"/>
  <c r="AC35" i="11"/>
  <c r="Q32" i="11"/>
  <c r="W32" i="11"/>
  <c r="AC32" i="11"/>
  <c r="T32" i="11"/>
  <c r="S32" i="11"/>
  <c r="P32" i="11"/>
  <c r="U32" i="11"/>
  <c r="R32" i="11"/>
  <c r="V32" i="11"/>
  <c r="P29" i="11"/>
  <c r="W29" i="11"/>
  <c r="V29" i="11"/>
  <c r="Q29" i="11"/>
  <c r="U29" i="11"/>
  <c r="T29" i="11"/>
  <c r="S29" i="11"/>
  <c r="AC29" i="11"/>
  <c r="R29" i="11"/>
  <c r="U5" i="12"/>
  <c r="W38" i="11"/>
  <c r="Q38" i="11"/>
  <c r="U38" i="11"/>
  <c r="AC38" i="11"/>
  <c r="U44" i="11"/>
  <c r="T38" i="11"/>
  <c r="R38" i="11"/>
  <c r="V38" i="11"/>
  <c r="S38" i="11"/>
  <c r="W44" i="11"/>
  <c r="S44" i="11"/>
  <c r="Q44" i="11"/>
  <c r="T44" i="11"/>
  <c r="AC44" i="11"/>
  <c r="V44" i="11"/>
  <c r="R44" i="11"/>
  <c r="P20" i="11" l="1"/>
  <c r="P19" i="11" s="1"/>
  <c r="R20" i="11"/>
  <c r="R19" i="11" s="1"/>
  <c r="S20" i="11"/>
  <c r="S19" i="11" s="1"/>
  <c r="V20" i="11"/>
  <c r="V19" i="11" s="1"/>
  <c r="W20" i="11"/>
  <c r="W19" i="11" s="1"/>
  <c r="U20" i="11"/>
  <c r="U19" i="11" s="1"/>
  <c r="AC20" i="11"/>
  <c r="AC17" i="11" s="1"/>
  <c r="Q20" i="11"/>
  <c r="Q17" i="11" s="1"/>
  <c r="T20" i="11"/>
  <c r="T17" i="11" s="1"/>
  <c r="T16" i="11" s="1"/>
  <c r="P17" i="11" l="1"/>
  <c r="P16" i="11" s="1"/>
  <c r="R17" i="11"/>
  <c r="R16" i="11" s="1"/>
  <c r="U17" i="11"/>
  <c r="U15" i="11" s="1"/>
  <c r="U14" i="11" s="1"/>
  <c r="W17" i="11"/>
  <c r="S17" i="11"/>
  <c r="T15" i="11" s="1"/>
  <c r="T14" i="11" s="1"/>
  <c r="V17" i="11"/>
  <c r="V16" i="11" s="1"/>
  <c r="Q19" i="11"/>
  <c r="AC19" i="11"/>
  <c r="AC18" i="11" s="1"/>
  <c r="T19" i="11"/>
  <c r="T18" i="11" s="1"/>
  <c r="W18" i="11"/>
  <c r="AC15" i="11"/>
  <c r="AC14" i="11" s="1"/>
  <c r="AC16" i="11"/>
  <c r="V18" i="11"/>
  <c r="Q16" i="11"/>
  <c r="P15" i="11" l="1"/>
  <c r="P14" i="11" s="1"/>
  <c r="Q15" i="11"/>
  <c r="Q14" i="11" s="1"/>
  <c r="S16" i="11"/>
  <c r="S15" i="11"/>
  <c r="S14" i="11" s="1"/>
  <c r="R15" i="11"/>
  <c r="R14" i="11" s="1"/>
  <c r="U16" i="11"/>
  <c r="L8" i="11" s="1"/>
  <c r="W15" i="11"/>
  <c r="W14" i="11" s="1"/>
  <c r="W16" i="11"/>
  <c r="V15" i="11"/>
  <c r="V14" i="11" s="1"/>
  <c r="U18" i="11"/>
</calcChain>
</file>

<file path=xl/sharedStrings.xml><?xml version="1.0" encoding="utf-8"?>
<sst xmlns="http://schemas.openxmlformats.org/spreadsheetml/2006/main" count="825" uniqueCount="317">
  <si>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</si>
  <si>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</si>
  <si>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</si>
  <si>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</si>
  <si>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</si>
  <si>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</si>
  <si>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</si>
  <si>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</si>
  <si>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</si>
  <si>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</si>
  <si>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</si>
  <si>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</si>
  <si>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</si>
  <si>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</si>
  <si>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</si>
  <si>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</si>
  <si>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</si>
  <si>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</si>
  <si>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</si>
  <si>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</si>
  <si>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</si>
  <si>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</si>
  <si>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</si>
  <si>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</si>
  <si>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</si>
  <si>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</si>
  <si>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</si>
  <si>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</si>
  <si>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</si>
  <si>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</si>
  <si>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</si>
  <si>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</si>
  <si>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</si>
  <si>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</si>
  <si>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</si>
  <si>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</si>
  <si>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</si>
  <si>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</si>
  <si>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</si>
  <si>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</si>
  <si>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</si>
  <si>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</si>
  <si>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</si>
  <si>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</si>
  <si>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</si>
  <si>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</si>
  <si>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</si>
  <si>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</si>
  <si>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</si>
  <si>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</si>
  <si>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</si>
  <si>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</si>
  <si>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</si>
  <si>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</si>
  <si>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</si>
  <si>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</si>
  <si>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</si>
  <si>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</si>
  <si>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</si>
  <si>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</si>
  <si>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</si>
  <si>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</si>
  <si>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</si>
  <si>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</si>
  <si>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</si>
  <si>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</si>
  <si>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</si>
  <si>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</si>
  <si>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</si>
  <si>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</si>
  <si>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</si>
  <si>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</si>
  <si>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</si>
  <si>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</si>
  <si>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</si>
  <si>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</si>
  <si>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</si>
  <si>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</si>
  <si>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</si>
  <si>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</si>
  <si>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</si>
  <si>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</si>
  <si>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</si>
  <si>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</si>
  <si>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</si>
  <si>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</si>
  <si>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</si>
  <si>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</si>
  <si>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</si>
  <si>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</si>
  <si>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</si>
  <si>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</si>
  <si>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</si>
  <si>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</si>
  <si>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</si>
  <si>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</si>
  <si>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</si>
  <si>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</si>
  <si>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</si>
  <si>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</si>
  <si>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</si>
  <si>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</si>
  <si>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</si>
  <si>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</si>
  <si>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</si>
  <si>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</si>
  <si>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</si>
  <si>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</si>
  <si>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</si>
  <si>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</si>
  <si>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</si>
  <si>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</si>
  <si>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</si>
  <si>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</si>
  <si>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</si>
  <si>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</si>
  <si>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</si>
  <si>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</si>
  <si>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</si>
  <si>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</si>
  <si>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</si>
  <si>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</si>
  <si>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</si>
  <si>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</si>
  <si>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</si>
  <si>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</si>
  <si>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</si>
  <si>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</si>
  <si>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</si>
  <si>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</si>
  <si>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</si>
  <si>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</si>
  <si>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</si>
  <si>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</si>
  <si>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</si>
  <si>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</si>
  <si>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</si>
  <si>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</si>
  <si>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</si>
  <si>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</si>
  <si>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</si>
  <si>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</si>
  <si>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</si>
  <si>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</si>
  <si>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</si>
  <si>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</si>
  <si>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</si>
  <si>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</si>
  <si>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</si>
  <si>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</si>
  <si>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</si>
  <si>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</si>
  <si>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</si>
  <si>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</si>
  <si>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</si>
  <si>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</si>
  <si>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</si>
  <si>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</si>
  <si>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</si>
  <si>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</si>
  <si>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</si>
  <si>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</si>
  <si>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</si>
  <si>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</si>
  <si>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</si>
  <si>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</si>
  <si>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</si>
  <si>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</si>
  <si>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</si>
  <si>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</si>
  <si>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</si>
  <si>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</si>
  <si>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</si>
  <si>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</si>
  <si>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</si>
  <si>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</si>
  <si>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</si>
  <si>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</si>
  <si>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</si>
  <si>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</si>
  <si>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</si>
  <si>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</si>
  <si>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</si>
  <si>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</si>
  <si>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</si>
  <si>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</si>
  <si>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</si>
  <si>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</si>
  <si>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</si>
  <si>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</si>
  <si>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</si>
  <si>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</si>
  <si>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</si>
  <si>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</si>
  <si>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</si>
  <si>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</si>
  <si>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</si>
  <si>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</si>
  <si>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</si>
  <si>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</si>
  <si>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</si>
  <si>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</si>
  <si>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</si>
  <si>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</si>
  <si>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</si>
  <si>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</si>
  <si>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</si>
  <si>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</si>
  <si>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</si>
  <si>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</si>
  <si>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</si>
  <si>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</si>
  <si>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</si>
  <si>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</si>
  <si>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</si>
  <si>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</si>
  <si>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</si>
  <si>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</si>
  <si>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</si>
  <si>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</si>
  <si>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</si>
  <si>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</si>
  <si>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</si>
  <si>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</si>
  <si>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</si>
  <si>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</si>
  <si>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</si>
  <si>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</si>
  <si>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v007</t>
  </si>
  <si>
    <t>MUNICÍPIO DE SÃO CARLOS</t>
  </si>
  <si>
    <t>SÃO CARLOS/SC</t>
  </si>
  <si>
    <t>NÃO</t>
  </si>
  <si>
    <t>SINAPI</t>
  </si>
  <si>
    <t>RUDI MIGUEL SANDER</t>
  </si>
  <si>
    <t>PREFEITO MUNICIPAL</t>
  </si>
  <si>
    <t>Não</t>
  </si>
  <si>
    <t>M2</t>
  </si>
  <si>
    <t>RUA DEMÉTRIO LORENZ</t>
  </si>
  <si>
    <t xml:space="preserve">A OBRA CONTEMPLA FORNECIMENTO DE TODOS OS MATERIAIS, EQUIPAMENTOS E MÃO-DE-OBRA - REGIME DE OBRA POR EMPREITADA GLOBAL
</t>
  </si>
  <si>
    <t>PAVILHÃO - ESTRUTURA METÁLICA</t>
  </si>
  <si>
    <t>PAVILHÃO - ESTRUTURA METÁLICA - BAIRRO CRISTO REI</t>
  </si>
  <si>
    <t>ESTRUTURA METÁLICA</t>
  </si>
  <si>
    <t>UN</t>
  </si>
  <si>
    <t>M</t>
  </si>
  <si>
    <t>SINAPI-I</t>
  </si>
  <si>
    <t xml:space="preserve">M2    </t>
  </si>
  <si>
    <t>CHAPISCO APLICADO EM ALVENARIA (COM PRESENÇA DE VÃOS) E ESTRUTURAS DE CONCRETO DE FACHADA, COM COLHER DE PEDREIRO.  ARGAMASSA TRAÇO 1:3 COM PREPARO EM BETONEIRA 400L</t>
  </si>
  <si>
    <t>SERVIÇO DE CONTRAPISO EM ARGAMASSA TRAÇO 1:4 (CIM E AREIA), EM BETONEIRA 400 L, ESPESSURA 3 CM ÁREAS SECAS E 3 CM ÁREAS MOLHADAS, PARA EDIFICAÇÃO PÚBLICA PADRÃO</t>
  </si>
  <si>
    <t>REVESTIMENTO CERÂMICO PARA PISO COM PLACAS TIPO PORCELANATO DE DIMENSÕES 45X45 CM APLICADA EM AMBIENTES DE ÁREA MAIOR QUE 10 M²</t>
  </si>
  <si>
    <t>REVESTIMENTO CERÂMICO PARA PAREDES INTERNAS COM PLACAS TIPO ESMALTADA EXTRA DE DIMENSÕES 25X35 CM APLICADAS EM AMBIENTES DE ÁREA MENOR QUE 5 M² NA ALTURA INTEIRA DAS PAREDES</t>
  </si>
  <si>
    <t>TUBO PVC, SERIE NORMAL, ESGOTO PREDIAL, DN 50 MM, FORNECIDO E INSTALADO EM RAMAL DE DESCARGA OU RAMAL DE ESGOTO SANITÁRIO</t>
  </si>
  <si>
    <t>TUBO PVC, SERIE NORMAL, ESGOTO PREDIAL, DN 100 MM, FORNECIDO E INSTALADO EM RAMAL DE DESCARGA OU RAMAL DE ESGOTO SANITÁRIO</t>
  </si>
  <si>
    <t>REGISTRO DE ESFERA, PVC, SOLDÁVEL, DN  25 MM, INSTALADO EM RESERVAÇÃO DE ÁGUA DE EDIFICAÇÃO QUE POSSUA RESERVATÓRIO DE FIBRA/FIBROCIMENTO   FORNECIMENTO E INSTALAÇÃO</t>
  </si>
  <si>
    <t>86939</t>
  </si>
  <si>
    <t>LAVATÓRIO LOUÇA BRANCA COM COLUNA, *44 X 35,5* CM, INCLUSO SIFÃO FLEXÍVEL EM PVC, VÁLVULA E ENGATE FLEXÍVEL 30CM EM PLÁSTICO E COM TORNEIRA CROMADA - FORNECIMENTO E INSTALAÇÃO</t>
  </si>
  <si>
    <t>CAIXA DE INSPEÇÃO EM CONCRETO PRÉ-MOLDADO DN 60CM COM TAMPA H= 60CM - FORNECIMENTO E INSTALACAO</t>
  </si>
  <si>
    <t>95470</t>
  </si>
  <si>
    <t>VASO SANITARIO SIFONADO CONVENCIONAL COM LOUÇA BRANCA, INCLUSO CONJUNTO DE LIGAÇÃO PARA BACIA SANITÁRIA - FORNECIMENTO E INSTALAÇÃO</t>
  </si>
  <si>
    <t xml:space="preserve">FOSSA SEPTICA, SEM FILTRO, CILINDRICA,  COM TAMPA, EM POLIETILENO DE ALTA DENSIDADE (PEAD), CAPACIDADE APROXIMADA DE 1100 LITROS (NBR 7229)                                                                                                                                                                                                                                                                                                                                     </t>
  </si>
  <si>
    <t xml:space="preserve">UN    </t>
  </si>
  <si>
    <t xml:space="preserve">FILTRO ANAEROBIO, EM POLIETILENO DE ALTA DENSIDADE (PEAD), CAPACIDADE 1100 LITROS (NBR 13969)                                                                                                                                                                                                                                                                                                                                                                                                           </t>
  </si>
  <si>
    <t>SUMIDOURO RETANGULAR, EM ALVENARIA COM BLOCOS DE CONCRETO, DIMENSÕES INTERNAS - CONFORME PROJETO</t>
  </si>
  <si>
    <t>BARRA DE APOIO RETA, EM ACO INOX POLIDO, COMPRIMENTO 80 CM,  FIXADA NA PAREDE - FORNECIMENTO E INSTALAÇÃO</t>
  </si>
  <si>
    <t>BARRA DE APOIO RETA, EM ACO INOX POLIDO, COMPRIMENTO 60CM, FIXADA NA PAREDE - FORNECIMENTO E INSTALAÇÃO</t>
  </si>
  <si>
    <t>37401</t>
  </si>
  <si>
    <t xml:space="preserve">TOALHEIRO PLASTICO TIPO DISPENSER PARA PAPEL TOALHA INTERFOLHADO                                                                                                                                                                                                                                                                                                                                                                                                                                          </t>
  </si>
  <si>
    <t>95547</t>
  </si>
  <si>
    <t>37400</t>
  </si>
  <si>
    <t xml:space="preserve">PAPELEIRA PLASTICA TIPO DISPENSER PARA PAPEL HIGIENICO ROLAO                                                                                                                                                                                                                                                                                                                                                                                                                                              </t>
  </si>
  <si>
    <t>36792</t>
  </si>
  <si>
    <t>12114</t>
  </si>
  <si>
    <t xml:space="preserve">CAMPAINHA ALTA POTENCIA 110V / 220V, DIAMETRO 150 MM                                                                                                                                                                                                                                                                                                                                                                                                                                                      </t>
  </si>
  <si>
    <t>INSTALAÇÕES ELÉTRICAS</t>
  </si>
  <si>
    <t>DISJUNTOR TRIPOLAR TIPO DIN, CORRENTE NOMINAL DE 10A - FORNECIMENTO E INSTALAÇÃO</t>
  </si>
  <si>
    <t>TRAMA DE AÇO COMPOSTA POR TERÇAS PARA TELHADOS DE ATÉ 2 ÁGUAS PARA TELHA ONDULADA DE FIBROCIMENTO, METÁLICA, PLÁSTICA OU TERMOACÚSTICA, INCLUSO TRANSPORTE VERTICAL</t>
  </si>
  <si>
    <t>FORRO EM RÉGUAS DE PVC, FRISADO, PARA AMBIENTES RESIDENCIAIS, INCLUSIVE ESTRUTURA DE FIXAÇÃO</t>
  </si>
  <si>
    <t>ACESSIBILIDADE/CALÇADA EXTERNA</t>
  </si>
  <si>
    <t>EXTINTOR INCENDIO TP PO QUIMICO 4KG FORNECIMENTO E COLOCACAO</t>
  </si>
  <si>
    <t>LUMINÁRIA DE EMERGÊNCIA, COM 30 LÂMPADAS LED DE 2 W FORNECIMENTO E INSTALAÇÃO</t>
  </si>
  <si>
    <t>PLACA DE SINALIZACAO DE SEGURANCA CONTRA INCENDIO, FOTOLUMINESCENTE, RETANGULAR, *20 X 40* CM, EM PVC *2* MM ANTI-CHAMAS (SIMBOLOS, CORES E PICTOGRAMAS CONFORME NBR 13434)</t>
  </si>
  <si>
    <t xml:space="preserve">ALVENARIA </t>
  </si>
  <si>
    <t>INSTALAÇÕES HIDROSSANITÁRIAS</t>
  </si>
  <si>
    <t>ESQUADRIAS / PINTURA</t>
  </si>
  <si>
    <t>FORRO</t>
  </si>
  <si>
    <t xml:space="preserve">VIDRO MARTELADO OU CANELADO, 4 MM                                                                                                                                                                                                                                                                                                                                                                                                                                        </t>
  </si>
  <si>
    <t>FABRICAÇÃO E INSTALAÇÃO DE TESOURA INTEIRA EM AÇO, VÃO DE 12 M, PARA TELHA ONDULADA DE FIBROCIMENTO, METÁLICA, PLÁSTICA OU TERMOACÚSTICA, INCLUSO IÇAMENTO</t>
  </si>
  <si>
    <t>TELHAMENTO COM TELHA DE AÇO/ALUMÍNIO E = 0,5 MM, COM ATÉ 2 ÁGUAS, INCLUSO IÇAMENTO</t>
  </si>
  <si>
    <t>CALHA EM CHAPA DE AÇO GALVANIZADO NÚMERO 24, DESENVOLVIMENTO DE 50 CM, INCLUSO TRANSPORTE VERTICAL</t>
  </si>
  <si>
    <t>PORTA EM ALUMÍNIO DE ABRIR TIPO VENEZIANA COM GUARNIÇÃO, FIXAÇÃO COM PARAFUSOS - FORNECIMENTO E INSTALAÇÃO</t>
  </si>
  <si>
    <t>JANELA DE AÇO TIPO BASCULANTE PARA VIDROS, COM BATENTE, FERRAGENS E PINTURA ANTICORROSIVA. FORNECIMENTO E INSTALAÇÃO</t>
  </si>
  <si>
    <t>CAIXA D´ÁGUA EM POLIÉSTER REFORÇADO COM FIBRA DE VIDRO, 1000 LITROS - FORNECIMENTO E INSTALAÇÃO</t>
  </si>
  <si>
    <t>SABONETEIRA PLASTICA TIPO DISPENSER PARA SABONETE LIQUIDO COM RESERVATORIO 800 A 1500 ML, INCLUSO FIXAÇÃO</t>
  </si>
  <si>
    <t xml:space="preserve">TORNEIRA METALICA CROMADA DE PAREDE LONGA PARA LAVATORIO, COM AREJADOR, ACIONAMENTO ALAVANCA, 1/4 DE VOLTA                                                                                                                                                                                                                                                                                                                                                                                   </t>
  </si>
  <si>
    <t>CABO DE COBRE FLEXÍVEL ISOLADO, 25 MM², 0,6/1,0 KV, PARA REDE AÉREA DE DISTRIBUIÇÃO DE ENERGIA ELÉTRICA DE BAIXA TENSÃO - FORNECIMENTO E INSTALAÇÃO</t>
  </si>
  <si>
    <t>LUMINÁRIA DE LED, DE 33 W ATÉ 50 W - FORNECIMENTO E INSTALAÇÃO</t>
  </si>
  <si>
    <t>TUBO PVC, SERIE NORMAL, ESGOTO PREDIAL, DN 75 MM, FORNECIDO E INSTALADO EM RAMAL DE DESCARGA OU RAMAL DE ESGOTO SANITÁRIO</t>
  </si>
  <si>
    <t>ELETRODUTO RÍGIDO ROSCÁVEL, PVC, DN 25 MM (3/4"), PARA CIRCUITOS TERMINAIS - FORNECIMENTO E INSTALAÇÃO</t>
  </si>
  <si>
    <t>LOUÇAS E METAIS SANITÁRIOS</t>
  </si>
  <si>
    <t>MICTÓRIO SIFONADO LOUÇA BRANCA  PADRÃO MÉDIO - FORNECIMENTO E INSTALAÇÃO</t>
  </si>
  <si>
    <t>DIVISORIA SANITÁRIA, TIPO CABINE, EM GRANITO CINZA POLIDO, ESP = 3CM  - FORNECIMENTO E INSTALAÇÃO</t>
  </si>
  <si>
    <t>PISO PODOTÁTIL DE ALERTA OU DIRECIONAL, DE BORRACHA, ASSENTADO COM COLA</t>
  </si>
  <si>
    <t>PAVILHÃO</t>
  </si>
  <si>
    <t>CAIXA DE GORDURA RETANGULAR, EM ALVENARIA COM BLOCOS DE CONCRETO, DIMENSÕES INTERNAS = 0,4X0,7 M, ALTURA INTERNA = 0,8 M</t>
  </si>
  <si>
    <t>CHUVEIRO ELÉTRICO COMUM CORPO PLÁSTICO, TIPO DUCHA  FORNECIMENTO E INSTALAÇÃO. AF_01/2020</t>
  </si>
  <si>
    <t>PONTO DE CONSUMO TERMINAL DE ÁGUA FRIA (SUBRAMAL) COM TUBULAÇÃO DE PVC, DN 25 MM, INSTALADO EM RAMAL DE ÁGUA, INCLUSOS RASGO E CHUMBAMENTO EM ALVENARIA (Dois pontos adicionais na cozinha e um ponto adicional na copa)</t>
  </si>
  <si>
    <t>QUADRO DE DISTRIBUICAO, EM PVC, DE EMBUTIR, COM BARRAMENTO TERRA / NEUTRO, PARA 12 DISJUNTORES NEMA OU 16 DISJUNTORES DIN</t>
  </si>
  <si>
    <t>JANELA DE ALUMÍNIO DE CORRER COM 2 FOLHAS PARA VIDROS, COM VIDROS, ACABAMENTO COM ACETATO OU BRILHANTE E FERRAGENS, FORNECIMENTO E INSTALAÇÃO</t>
  </si>
  <si>
    <t>ALVENARIA DE VEDAÇÃO DE BLOCOS VAZADOS DE CONCRETO DE 9X19X39 CM (ESPESSURA 9 CM) E ARGAMASSA DE ASSENTAMENTO COM PREPARO EM BETONEIRA (Divisórias internas BWC's)</t>
  </si>
  <si>
    <t>ALVENARIA DE VEDAÇÃO DE BLOCOS  VAZADOS DE CONCRETO APARENTE DE 14X19X39 CM (ESPESSURA 14 CM) E ARGAMASSA DE ASSENTAMENTO COM PREPARO EM BETONEIRA</t>
  </si>
  <si>
    <t>APLICAÇÃO MANUAL DE PINTURA COM TINTA LÁTEX ACRÍLICA EM PAREDES, DUAS DEMÃOS (Pintura Externa)</t>
  </si>
  <si>
    <t>APLICAÇÃO DE FUNDO SELADOR ACRÍLICO EM PAREDES, UMA DEMÃO (Pintura Externa)</t>
  </si>
  <si>
    <t>BANCADA DE GRANITO CINZA POLIDO, DE 0,50 X 0,60 M, PARA LAVATÓRIO - FORNECIMENTO E INSTALAÇÃO (uma bancada adiconal na cozinha e uma na copa)</t>
  </si>
  <si>
    <t>PONTO DE ILUMINAÇÃO E TOMADA, RESIDENCIAL, INCLUINDO INTERRUPTOR SIMPLES E TOMADA 10A/250V, CAIXA ELÉTRICA, ELETRODUTO, CABO, RASGO, QUEBRA E CHUMBAMENTO (COM LUMINÁRIA E LÂMPADA) - Banheiros, Copa e Cozinha</t>
  </si>
  <si>
    <t>EXECUÇÃO DE PISO DE CONCRETO COM CONCRETO MOLDADO IN LOCO, FEITO EM OBRA, ACABAMENTO CONVENCIONAL, ESPESSURA 6 CM, ARMADO (Vaga PCD)</t>
  </si>
  <si>
    <t>JANELA DE AÇO TIPO BASCULANTE PARA VIDROS, COM BATENTE, FERRAGENS E PINTURA ANTICORROSIVA. EXCLUSIVE VIDROS, ACABAMENTO, ALIZAR E CONTRAMARCO. FORNECIMENTO E INSTALAÇÃO. (Abertura da Copa - 4,00 x 1,10 m)</t>
  </si>
  <si>
    <t>JANELA FIXA DE ALUMÍNIO PARA VIDRO, COM VIDRO, BATENTE E FERRAGENS. EXCLUSIVE ACABAMENTO, ALIZAR E CONTRAMARCO. FORNECIMENTO E INSTALAÇÃO (Janela da cozinha - 1,20 x 1,10 m)</t>
  </si>
  <si>
    <t xml:space="preserve">GRANITO PARA BANCADA, POLIDO, TIPO ANDORINHA/ QUARTZ/ CASTELO/ CORUMBA OU OUTROS EQUIVALENTES DA REGIAO, E=  *2,5* CM (Balcões de atendimento)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</si>
</sst>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3"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400">
    <xf numFmtId="0" fontId="0" fillId="0" borderId="0" xfId="0"/>
    <xf numFmtId="0" fontId="0" fillId="0" borderId="0" xfId="0" applyProtection="1"/>
    <xf numFmtId="0" fontId="0" fillId="0" borderId="0" xfId="0" applyFill="1" applyBorder="1" applyProtection="1"/>
    <xf numFmtId="0" fontId="0" fillId="0" borderId="0" xfId="0" applyBorder="1" applyProtection="1"/>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pplyProtection="1">
      <alignment horizontal="center"/>
    </xf>
    <xf numFmtId="0" fontId="0" fillId="0" borderId="0" xfId="0" applyAlignment="1" applyProtection="1">
      <alignment horizontal="left"/>
    </xf>
    <xf numFmtId="0" fontId="1" fillId="0" borderId="0" xfId="0" applyFont="1" applyAlignment="1">
      <alignment horizontal="center"/>
    </xf>
    <xf numFmtId="49" fontId="22" fillId="24" borderId="10" xfId="0" applyNumberFormat="1" applyFont="1" applyFill="1" applyBorder="1" applyAlignment="1" applyProtection="1">
      <alignment horizontal="center" vertical="center"/>
    </xf>
    <xf numFmtId="164" fontId="22" fillId="24" borderId="10" xfId="87" applyNumberFormat="1" applyFont="1" applyFill="1" applyBorder="1" applyAlignment="1" applyProtection="1">
      <alignment horizontal="center" vertical="center"/>
    </xf>
    <xf numFmtId="10" fontId="22" fillId="24" borderId="10" xfId="76"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7" applyFont="1"/>
    <xf numFmtId="0" fontId="27" fillId="0" borderId="0" xfId="0" applyFont="1" applyAlignment="1">
      <alignment vertical="center"/>
    </xf>
    <xf numFmtId="0" fontId="1" fillId="0" borderId="0" xfId="0" applyFont="1" applyBorder="1" applyAlignment="1" applyProtection="1">
      <alignment horizontal="right"/>
    </xf>
    <xf numFmtId="0" fontId="22" fillId="0" borderId="0" xfId="0" applyFont="1" applyBorder="1" applyAlignment="1" applyProtection="1">
      <alignment horizontal="right"/>
    </xf>
    <xf numFmtId="0" fontId="1" fillId="0" borderId="0" xfId="0" applyFont="1" applyBorder="1"/>
    <xf numFmtId="0" fontId="0" fillId="0" borderId="0" xfId="0" applyFill="1" applyProtection="1"/>
    <xf numFmtId="0" fontId="0" fillId="0" borderId="0" xfId="0" applyFill="1" applyAlignment="1" applyProtection="1">
      <alignment horizontal="left"/>
    </xf>
    <xf numFmtId="0" fontId="1" fillId="0" borderId="0" xfId="0" applyFont="1" applyFill="1" applyAlignment="1" applyProtection="1">
      <alignment horizontal="center"/>
    </xf>
    <xf numFmtId="0" fontId="1" fillId="0" borderId="0" xfId="0" applyFont="1" applyFill="1" applyBorder="1" applyAlignment="1" applyProtection="1">
      <alignment wrapText="1"/>
    </xf>
    <xf numFmtId="0" fontId="0" fillId="0" borderId="0" xfId="0" applyFill="1" applyAlignment="1" applyProtection="1">
      <alignment horizontal="left" wrapText="1"/>
    </xf>
    <xf numFmtId="0" fontId="1" fillId="0" borderId="0" xfId="0" applyFont="1" applyFill="1" applyBorder="1" applyAlignment="1" applyProtection="1">
      <alignment horizontal="left" wrapText="1" indent="2"/>
    </xf>
    <xf numFmtId="0" fontId="0" fillId="0" borderId="0" xfId="0" applyFill="1" applyAlignment="1" applyProtection="1">
      <alignment horizontal="center"/>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22" fillId="0" borderId="12" xfId="72" applyFont="1" applyBorder="1" applyAlignment="1" applyProtection="1">
      <alignment horizontal="left" vertical="top"/>
    </xf>
    <xf numFmtId="10" fontId="1" fillId="0" borderId="0" xfId="76" applyNumberFormat="1" applyFont="1" applyBorder="1" applyAlignment="1" applyProtection="1">
      <alignment horizontal="left"/>
    </xf>
    <xf numFmtId="0" fontId="0" fillId="0" borderId="0" xfId="0" applyAlignment="1" applyProtection="1">
      <alignment horizontal="left" indent="2"/>
    </xf>
    <xf numFmtId="14" fontId="28" fillId="0" borderId="0" xfId="0" applyNumberFormat="1" applyFont="1" applyFill="1" applyBorder="1" applyAlignment="1" applyProtection="1">
      <alignment vertical="top" wrapText="1"/>
    </xf>
    <xf numFmtId="0" fontId="29" fillId="0" borderId="0" xfId="0" applyFont="1" applyFill="1" applyAlignment="1" applyProtection="1">
      <alignment horizontal="center"/>
    </xf>
    <xf numFmtId="0" fontId="29" fillId="0" borderId="0" xfId="0" applyFont="1" applyFill="1" applyProtection="1"/>
    <xf numFmtId="0" fontId="21" fillId="0" borderId="0" xfId="0" applyFont="1" applyAlignment="1">
      <alignment horizontal="left"/>
    </xf>
    <xf numFmtId="166" fontId="0" fillId="0" borderId="0" xfId="87" applyNumberFormat="1" applyFont="1" applyFill="1" applyBorder="1" applyProtection="1"/>
    <xf numFmtId="0" fontId="1" fillId="0" borderId="0" xfId="0" applyFont="1" applyAlignment="1" applyProtection="1">
      <alignment horizontal="left"/>
    </xf>
    <xf numFmtId="0" fontId="0" fillId="0" borderId="13" xfId="0" applyFill="1" applyBorder="1" applyAlignment="1" applyProtection="1">
      <alignment horizontal="left"/>
    </xf>
    <xf numFmtId="0" fontId="0" fillId="0" borderId="13" xfId="0" applyFill="1" applyBorder="1" applyProtection="1"/>
    <xf numFmtId="0" fontId="0" fillId="0" borderId="0" xfId="0" applyProtection="1">
      <protection hidden="1"/>
    </xf>
    <xf numFmtId="0" fontId="1" fillId="0" borderId="0" xfId="0" applyFont="1" applyProtection="1">
      <protection hidden="1"/>
    </xf>
    <xf numFmtId="0" fontId="22" fillId="0" borderId="0" xfId="0" applyFont="1" applyFill="1" applyBorder="1" applyAlignment="1" applyProtection="1">
      <alignment wrapText="1"/>
      <protection hidden="1"/>
    </xf>
    <xf numFmtId="0" fontId="22" fillId="0" borderId="0" xfId="0" applyFont="1" applyFill="1" applyBorder="1" applyAlignment="1" applyProtection="1">
      <alignment horizontal="center" vertical="center"/>
      <protection hidden="1"/>
    </xf>
    <xf numFmtId="0" fontId="1" fillId="0" borderId="0" xfId="0" applyFont="1" applyFill="1" applyBorder="1" applyProtection="1">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1" fillId="0" borderId="0" xfId="71" applyFont="1" applyProtection="1"/>
    <xf numFmtId="0" fontId="22" fillId="0" borderId="0" xfId="71" applyFont="1" applyAlignment="1" applyProtection="1">
      <alignment horizontal="center"/>
    </xf>
    <xf numFmtId="0" fontId="22" fillId="0" borderId="14" xfId="71" applyFont="1" applyBorder="1" applyAlignment="1" applyProtection="1">
      <alignment horizontal="center"/>
    </xf>
    <xf numFmtId="10" fontId="31" fillId="0" borderId="14" xfId="71" applyNumberFormat="1" applyFont="1" applyFill="1" applyBorder="1" applyAlignment="1" applyProtection="1">
      <alignment horizontal="center"/>
    </xf>
    <xf numFmtId="0" fontId="21" fillId="0" borderId="0" xfId="71" applyFont="1" applyAlignment="1" applyProtection="1">
      <alignment horizontal="center"/>
    </xf>
    <xf numFmtId="0" fontId="32" fillId="0" borderId="0" xfId="71" applyFont="1" applyAlignment="1" applyProtection="1"/>
    <xf numFmtId="0" fontId="22" fillId="0" borderId="0" xfId="71" applyFont="1" applyProtection="1"/>
    <xf numFmtId="0" fontId="22" fillId="0" borderId="14" xfId="71" applyFont="1" applyFill="1" applyBorder="1" applyAlignment="1" applyProtection="1">
      <alignment horizontal="center" vertical="center" wrapText="1"/>
    </xf>
    <xf numFmtId="0" fontId="30" fillId="0" borderId="14" xfId="71" applyFont="1" applyBorder="1" applyAlignment="1" applyProtection="1">
      <alignment horizontal="center" vertical="center"/>
    </xf>
    <xf numFmtId="10" fontId="30" fillId="25" borderId="14" xfId="71" applyNumberFormat="1" applyFont="1" applyFill="1" applyBorder="1" applyAlignment="1" applyProtection="1">
      <alignment horizontal="center" vertical="center"/>
      <protection locked="0"/>
    </xf>
    <xf numFmtId="4" fontId="26"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wrapText="1"/>
    </xf>
    <xf numFmtId="0" fontId="30" fillId="0" borderId="14" xfId="71" applyFont="1" applyFill="1" applyBorder="1" applyAlignment="1" applyProtection="1">
      <alignment horizontal="center" vertical="center" wrapText="1"/>
    </xf>
    <xf numFmtId="0" fontId="39" fillId="0" borderId="0" xfId="71" applyFont="1" applyFill="1" applyBorder="1" applyAlignment="1" applyProtection="1">
      <alignment horizontal="center" vertical="center" wrapText="1"/>
    </xf>
    <xf numFmtId="10" fontId="39" fillId="0" borderId="0" xfId="71" applyNumberFormat="1" applyFont="1" applyFill="1" applyBorder="1" applyAlignment="1" applyProtection="1">
      <alignment horizontal="center" vertical="center"/>
    </xf>
    <xf numFmtId="170" fontId="1" fillId="0" borderId="0" xfId="71" applyNumberFormat="1" applyFont="1" applyAlignment="1" applyProtection="1"/>
    <xf numFmtId="0" fontId="30" fillId="0" borderId="0" xfId="71" applyFont="1" applyBorder="1" applyProtection="1"/>
    <xf numFmtId="0" fontId="1" fillId="0" borderId="0" xfId="71" applyFont="1" applyBorder="1" applyProtection="1"/>
    <xf numFmtId="0" fontId="30" fillId="0" borderId="0" xfId="71" applyFont="1" applyProtection="1"/>
    <xf numFmtId="0" fontId="30" fillId="0" borderId="0" xfId="71" applyFont="1" applyAlignment="1" applyProtection="1">
      <alignment vertical="top"/>
    </xf>
    <xf numFmtId="0" fontId="34" fillId="0" borderId="0" xfId="71" applyFont="1" applyBorder="1" applyAlignment="1" applyProtection="1">
      <alignment horizontal="center" vertical="top"/>
    </xf>
    <xf numFmtId="0" fontId="22" fillId="0" borderId="14" xfId="0" applyFont="1" applyBorder="1" applyAlignment="1" applyProtection="1">
      <alignment horizontal="center" vertical="center" wrapText="1"/>
    </xf>
    <xf numFmtId="0" fontId="22" fillId="0" borderId="14" xfId="0" applyFont="1" applyBorder="1" applyAlignment="1" applyProtection="1">
      <alignment horizontal="center" vertical="center"/>
    </xf>
    <xf numFmtId="0" fontId="22" fillId="24" borderId="14" xfId="0" applyNumberFormat="1" applyFont="1" applyFill="1" applyBorder="1" applyAlignment="1" applyProtection="1">
      <alignment horizontal="center" vertical="center"/>
    </xf>
    <xf numFmtId="0" fontId="1" fillId="0" borderId="15" xfId="0" applyFont="1" applyBorder="1" applyAlignment="1" applyProtection="1">
      <alignment horizontal="center"/>
    </xf>
    <xf numFmtId="0" fontId="22" fillId="0" borderId="16" xfId="0" applyFont="1" applyBorder="1" applyAlignment="1" applyProtection="1">
      <alignment horizontal="center"/>
    </xf>
    <xf numFmtId="0" fontId="1" fillId="0" borderId="0" xfId="0" applyFont="1" applyFill="1"/>
    <xf numFmtId="0" fontId="36" fillId="0" borderId="0" xfId="0" applyFont="1" applyFill="1" applyAlignment="1">
      <alignment vertical="center"/>
    </xf>
    <xf numFmtId="0" fontId="1" fillId="0" borderId="0" xfId="0" applyFont="1" applyFill="1" applyAlignment="1">
      <alignment horizontal="center" vertical="top"/>
    </xf>
    <xf numFmtId="0" fontId="1" fillId="0" borderId="0" xfId="0" applyFont="1" applyProtection="1"/>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Alignment="1" applyProtection="1">
      <protection locked="0"/>
    </xf>
    <xf numFmtId="0" fontId="22" fillId="24" borderId="10" xfId="0" applyNumberFormat="1" applyFont="1" applyFill="1" applyBorder="1" applyAlignment="1" applyProtection="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pplyProtection="1">
      <alignment horizontal="left" vertical="center"/>
    </xf>
    <xf numFmtId="0" fontId="1" fillId="25" borderId="18" xfId="0" applyFont="1" applyFill="1" applyBorder="1" applyAlignment="1" applyProtection="1">
      <alignment vertical="top" wrapText="1"/>
      <protection locked="0"/>
    </xf>
    <xf numFmtId="0" fontId="22" fillId="0" borderId="11" xfId="72" applyFont="1" applyBorder="1" applyAlignment="1" applyProtection="1">
      <alignment vertical="top"/>
    </xf>
    <xf numFmtId="0" fontId="22" fillId="0" borderId="15" xfId="72" applyFont="1" applyBorder="1" applyAlignment="1" applyProtection="1">
      <alignment horizontal="center" vertical="top"/>
    </xf>
    <xf numFmtId="0" fontId="0" fillId="0" borderId="0" xfId="0" applyFont="1" applyProtection="1"/>
    <xf numFmtId="10" fontId="37"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2" fillId="24" borderId="19" xfId="87" applyNumberFormat="1" applyFont="1" applyFill="1" applyBorder="1" applyAlignment="1" applyProtection="1">
      <alignment horizontal="center" vertical="center" shrinkToFit="1"/>
    </xf>
    <xf numFmtId="164" fontId="1" fillId="0" borderId="20" xfId="87" applyNumberFormat="1" applyFont="1" applyFill="1" applyBorder="1" applyAlignment="1">
      <alignment horizontal="center" vertical="center" shrinkToFit="1"/>
    </xf>
    <xf numFmtId="0" fontId="21" fillId="0" borderId="0" xfId="0" applyFont="1" applyAlignment="1">
      <alignment horizontal="left" vertical="center"/>
    </xf>
    <xf numFmtId="0" fontId="1" fillId="0" borderId="0" xfId="71" applyFont="1" applyBorder="1" applyAlignment="1" applyProtection="1">
      <alignment horizontal="center" vertical="top"/>
    </xf>
    <xf numFmtId="0" fontId="38" fillId="0" borderId="0" xfId="72" applyFont="1" applyBorder="1" applyAlignment="1" applyProtection="1">
      <alignment horizontal="left" vertical="top"/>
    </xf>
    <xf numFmtId="0" fontId="35" fillId="0" borderId="0" xfId="0" applyFont="1" applyAlignment="1">
      <alignment horizontal="left" vertical="center"/>
    </xf>
    <xf numFmtId="3" fontId="0" fillId="26" borderId="21" xfId="0" applyNumberFormat="1" applyFill="1" applyBorder="1" applyAlignment="1" applyProtection="1">
      <alignment horizontal="left"/>
    </xf>
    <xf numFmtId="10" fontId="37" fillId="25" borderId="18" xfId="76" applyNumberFormat="1" applyFont="1" applyFill="1" applyBorder="1" applyAlignment="1" applyProtection="1">
      <alignment horizontal="left" vertical="top" wrapText="1"/>
      <protection locked="0"/>
    </xf>
    <xf numFmtId="0" fontId="1" fillId="26" borderId="18" xfId="0" applyFont="1" applyFill="1" applyBorder="1" applyAlignment="1" applyProtection="1">
      <alignment horizontal="left"/>
    </xf>
    <xf numFmtId="4" fontId="26" fillId="0" borderId="14" xfId="71" applyNumberFormat="1" applyFont="1" applyFill="1" applyBorder="1" applyAlignment="1" applyProtection="1">
      <alignment horizontal="center" vertical="center" wrapText="1"/>
    </xf>
    <xf numFmtId="0" fontId="46" fillId="0" borderId="0" xfId="71" applyFont="1" applyAlignment="1" applyProtection="1">
      <alignment wrapText="1"/>
    </xf>
    <xf numFmtId="0" fontId="47" fillId="0" borderId="0" xfId="71" applyFont="1" applyAlignment="1" applyProtection="1">
      <alignment vertical="top" wrapText="1"/>
    </xf>
    <xf numFmtId="0" fontId="44" fillId="0" borderId="14" xfId="71" applyFont="1" applyBorder="1" applyAlignment="1" applyProtection="1">
      <alignment horizontal="center" vertical="center"/>
    </xf>
    <xf numFmtId="4" fontId="26" fillId="0" borderId="0" xfId="71" applyNumberFormat="1" applyFont="1" applyFill="1" applyBorder="1" applyAlignment="1" applyProtection="1">
      <alignment horizontal="center" vertical="center" wrapText="1"/>
    </xf>
    <xf numFmtId="0" fontId="1" fillId="0" borderId="0" xfId="71" applyFont="1" applyProtection="1">
      <protection locked="0"/>
    </xf>
    <xf numFmtId="0" fontId="22" fillId="0" borderId="0" xfId="0" applyFont="1"/>
    <xf numFmtId="0" fontId="22" fillId="0" borderId="0" xfId="0" applyFont="1" applyAlignment="1">
      <alignment horizontal="left"/>
    </xf>
    <xf numFmtId="0" fontId="0" fillId="0" borderId="0" xfId="0" applyAlignment="1" applyProtection="1">
      <alignment horizontal="center"/>
    </xf>
    <xf numFmtId="0" fontId="22" fillId="0" borderId="22" xfId="0" applyFont="1" applyBorder="1" applyAlignment="1" applyProtection="1">
      <alignment horizontal="center" vertical="center" wrapText="1"/>
    </xf>
    <xf numFmtId="0" fontId="22" fillId="0" borderId="0" xfId="0" applyFont="1" applyFill="1" applyBorder="1" applyAlignment="1" applyProtection="1">
      <alignment horizontal="center" vertical="center" wrapText="1"/>
    </xf>
    <xf numFmtId="0" fontId="0" fillId="0" borderId="0" xfId="0" applyBorder="1"/>
    <xf numFmtId="0" fontId="1" fillId="0" borderId="0" xfId="0" applyFont="1" applyFill="1" applyBorder="1"/>
    <xf numFmtId="0" fontId="23" fillId="0" borderId="16" xfId="0" applyFont="1" applyBorder="1" applyAlignment="1">
      <alignment horizontal="center"/>
    </xf>
    <xf numFmtId="0" fontId="2" fillId="25" borderId="23" xfId="0" applyNumberFormat="1" applyFont="1" applyFill="1" applyBorder="1" applyAlignment="1" applyProtection="1">
      <alignment vertical="center" wrapText="1"/>
      <protection locked="0"/>
    </xf>
    <xf numFmtId="164" fontId="1" fillId="0" borderId="24" xfId="87" applyNumberFormat="1"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pplyProtection="1">
      <alignment horizontal="center" vertical="center" wrapText="1"/>
    </xf>
    <xf numFmtId="0" fontId="22" fillId="0" borderId="15" xfId="0" applyFont="1" applyBorder="1" applyAlignment="1" applyProtection="1">
      <alignment horizontal="center" vertical="center"/>
    </xf>
    <xf numFmtId="0" fontId="27" fillId="0" borderId="26" xfId="0" applyFont="1" applyBorder="1" applyAlignment="1">
      <alignment horizontal="center" vertical="center"/>
    </xf>
    <xf numFmtId="0" fontId="2" fillId="0" borderId="27" xfId="0" applyNumberFormat="1" applyFont="1" applyFill="1" applyBorder="1" applyAlignment="1" applyProtection="1">
      <alignment vertical="center"/>
    </xf>
    <xf numFmtId="0" fontId="1" fillId="0" borderId="28" xfId="0" applyNumberFormat="1" applyFont="1" applyFill="1" applyBorder="1" applyAlignment="1" applyProtection="1">
      <alignment vertical="center" wrapText="1"/>
    </xf>
    <xf numFmtId="0" fontId="2" fillId="0" borderId="28" xfId="0" applyNumberFormat="1" applyFont="1" applyFill="1" applyBorder="1" applyAlignment="1" applyProtection="1">
      <alignment vertical="center"/>
    </xf>
    <xf numFmtId="0" fontId="1" fillId="0" borderId="28" xfId="0" applyNumberFormat="1" applyFont="1" applyFill="1" applyBorder="1" applyAlignment="1" applyProtection="1">
      <alignment horizontal="center" vertical="center" wrapText="1"/>
    </xf>
    <xf numFmtId="0" fontId="1" fillId="0" borderId="28" xfId="0" applyNumberFormat="1" applyFont="1" applyFill="1" applyBorder="1" applyAlignment="1" applyProtection="1">
      <alignment vertical="center" shrinkToFit="1"/>
    </xf>
    <xf numFmtId="0" fontId="1" fillId="0" borderId="0" xfId="0" applyFont="1" applyAlignment="1">
      <alignment wrapText="1"/>
    </xf>
    <xf numFmtId="10" fontId="1" fillId="0" borderId="24" xfId="87" applyNumberFormat="1" applyFont="1" applyFill="1" applyBorder="1" applyAlignment="1">
      <alignment vertical="center" shrinkToFit="1"/>
    </xf>
    <xf numFmtId="10" fontId="22" fillId="24" borderId="10" xfId="87" applyNumberFormat="1" applyFont="1" applyFill="1" applyBorder="1" applyAlignment="1" applyProtection="1">
      <alignment horizontal="center" vertical="center"/>
    </xf>
    <xf numFmtId="0" fontId="22" fillId="0" borderId="11" xfId="72" applyFont="1" applyFill="1" applyBorder="1" applyAlignment="1" applyProtection="1">
      <alignment horizontal="left" vertical="top"/>
    </xf>
    <xf numFmtId="0" fontId="22" fillId="0" borderId="11" xfId="72" applyFont="1" applyFill="1" applyBorder="1" applyAlignment="1" applyProtection="1">
      <alignment vertical="top"/>
    </xf>
    <xf numFmtId="0" fontId="22" fillId="0" borderId="15" xfId="72" applyFont="1" applyFill="1" applyBorder="1" applyAlignment="1" applyProtection="1">
      <alignment horizontal="center" vertical="top"/>
    </xf>
    <xf numFmtId="0" fontId="1" fillId="0" borderId="18" xfId="0" applyFont="1" applyFill="1" applyBorder="1" applyAlignment="1" applyProtection="1">
      <alignment vertical="top" wrapText="1"/>
    </xf>
    <xf numFmtId="0" fontId="1" fillId="0" borderId="18" xfId="0" applyFont="1" applyFill="1" applyBorder="1" applyAlignment="1" applyProtection="1">
      <alignment horizontal="left" vertical="top" wrapText="1"/>
    </xf>
    <xf numFmtId="10" fontId="37" fillId="0" borderId="16" xfId="76" applyNumberFormat="1" applyFont="1" applyFill="1" applyBorder="1" applyAlignment="1" applyProtection="1">
      <alignment horizontal="center" vertical="top" wrapText="1"/>
    </xf>
    <xf numFmtId="10" fontId="37" fillId="0" borderId="18" xfId="76"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71" applyFont="1" applyBorder="1" applyAlignment="1" applyProtection="1">
      <alignment horizontal="left"/>
    </xf>
    <xf numFmtId="0" fontId="1" fillId="0" borderId="17" xfId="71" applyFont="1" applyBorder="1" applyProtection="1"/>
    <xf numFmtId="0" fontId="27" fillId="0" borderId="0" xfId="0" applyFont="1" applyAlignment="1">
      <alignment horizontal="center" vertical="center"/>
    </xf>
    <xf numFmtId="0" fontId="38" fillId="0" borderId="29" xfId="0" applyFont="1" applyBorder="1" applyAlignment="1" applyProtection="1">
      <alignment horizontal="center" vertical="center" wrapText="1"/>
    </xf>
    <xf numFmtId="0" fontId="29" fillId="0" borderId="0" xfId="0" applyFont="1" applyAlignment="1" applyProtection="1">
      <alignment horizontal="center" vertical="center" wrapText="1"/>
    </xf>
    <xf numFmtId="0" fontId="29" fillId="0" borderId="0" xfId="0" applyFont="1" applyAlignment="1" applyProtection="1">
      <alignment horizontal="center"/>
    </xf>
    <xf numFmtId="4" fontId="26" fillId="27" borderId="13" xfId="87" applyNumberFormat="1" applyFont="1" applyFill="1" applyBorder="1" applyAlignment="1" applyProtection="1">
      <alignment horizontal="center" vertical="center" shrinkToFit="1"/>
    </xf>
    <xf numFmtId="10" fontId="26" fillId="28" borderId="0" xfId="76" applyNumberFormat="1" applyFont="1" applyFill="1" applyBorder="1" applyAlignment="1" applyProtection="1">
      <alignment horizontal="center" vertical="center" shrinkToFit="1"/>
    </xf>
    <xf numFmtId="4" fontId="26" fillId="28" borderId="13" xfId="87" applyNumberFormat="1" applyFont="1" applyFill="1" applyBorder="1" applyAlignment="1" applyProtection="1">
      <alignment horizontal="center" vertical="center" shrinkToFit="1"/>
    </xf>
    <xf numFmtId="0" fontId="38" fillId="0" borderId="30" xfId="0" applyFont="1" applyBorder="1" applyAlignment="1" applyProtection="1">
      <alignment horizontal="center" vertical="center" wrapText="1"/>
    </xf>
    <xf numFmtId="0" fontId="1" fillId="0" borderId="17" xfId="0" applyFont="1" applyFill="1" applyBorder="1" applyProtection="1"/>
    <xf numFmtId="0" fontId="1" fillId="0" borderId="17" xfId="0" applyFont="1" applyFill="1" applyBorder="1" applyAlignment="1" applyProtection="1">
      <alignment horizontal="center"/>
    </xf>
    <xf numFmtId="0" fontId="22" fillId="27" borderId="18" xfId="0" applyFont="1" applyFill="1" applyBorder="1" applyAlignment="1" applyProtection="1">
      <alignment horizontal="center" vertical="center"/>
    </xf>
    <xf numFmtId="0" fontId="22" fillId="28" borderId="11" xfId="0" applyFont="1" applyFill="1" applyBorder="1" applyAlignment="1" applyProtection="1">
      <alignment horizontal="center" vertical="center"/>
    </xf>
    <xf numFmtId="0" fontId="22" fillId="28" borderId="18" xfId="0" applyFont="1" applyFill="1" applyBorder="1" applyAlignment="1" applyProtection="1">
      <alignment horizontal="center" vertical="center"/>
    </xf>
    <xf numFmtId="0" fontId="0" fillId="25" borderId="14" xfId="0" applyFont="1" applyFill="1" applyBorder="1" applyAlignment="1" applyProtection="1">
      <alignment horizontal="center" vertical="center"/>
      <protection locked="0"/>
    </xf>
    <xf numFmtId="0" fontId="38" fillId="0" borderId="0" xfId="0" applyFont="1" applyAlignment="1" applyProtection="1">
      <alignment horizontal="center" wrapText="1"/>
    </xf>
    <xf numFmtId="0" fontId="50" fillId="0" borderId="0" xfId="0" applyFont="1" applyFill="1" applyProtection="1"/>
    <xf numFmtId="0" fontId="1" fillId="0" borderId="31" xfId="0" applyNumberFormat="1" applyFont="1" applyFill="1" applyBorder="1" applyAlignment="1">
      <alignment vertical="center" wrapText="1" shrinkToFit="1"/>
    </xf>
    <xf numFmtId="0" fontId="40" fillId="24" borderId="32" xfId="0" applyNumberFormat="1" applyFont="1" applyFill="1" applyBorder="1" applyAlignment="1" applyProtection="1">
      <alignment horizontal="center" vertical="center" wrapText="1"/>
    </xf>
    <xf numFmtId="0" fontId="2" fillId="28" borderId="23" xfId="0" applyNumberFormat="1" applyFont="1" applyFill="1" applyBorder="1" applyAlignment="1" applyProtection="1">
      <alignment vertical="center" wrapText="1"/>
    </xf>
    <xf numFmtId="164" fontId="1" fillId="0" borderId="28" xfId="8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pplyProtection="1">
      <alignment horizontal="center" vertical="center"/>
    </xf>
    <xf numFmtId="10" fontId="30" fillId="0" borderId="0" xfId="76" applyNumberFormat="1" applyFont="1" applyFill="1" applyBorder="1" applyAlignment="1" applyProtection="1">
      <alignment horizontal="center" vertical="center"/>
    </xf>
    <xf numFmtId="4" fontId="30" fillId="0" borderId="0" xfId="76" applyNumberFormat="1" applyFont="1" applyFill="1" applyBorder="1" applyAlignment="1" applyProtection="1">
      <alignment horizontal="center" vertical="center"/>
    </xf>
    <xf numFmtId="0" fontId="1" fillId="0" borderId="11" xfId="0" applyFont="1" applyFill="1" applyBorder="1" applyAlignment="1" applyProtection="1">
      <alignment horizontal="center" vertical="center"/>
    </xf>
    <xf numFmtId="0" fontId="22" fillId="0" borderId="11" xfId="0" applyFont="1" applyFill="1" applyBorder="1" applyAlignment="1" applyProtection="1">
      <alignment horizontal="center" vertical="center"/>
    </xf>
    <xf numFmtId="0" fontId="24" fillId="0" borderId="0" xfId="0" applyFont="1" applyFill="1" applyAlignment="1" applyProtection="1">
      <alignment vertical="center"/>
    </xf>
    <xf numFmtId="0" fontId="21" fillId="0" borderId="0" xfId="0" applyFont="1" applyAlignment="1" applyProtection="1">
      <alignment horizontal="right" vertical="center"/>
    </xf>
    <xf numFmtId="0" fontId="21" fillId="0" borderId="0" xfId="0" applyFont="1" applyAlignment="1" applyProtection="1">
      <alignment horizontal="left" vertical="center"/>
    </xf>
    <xf numFmtId="0" fontId="0" fillId="0" borderId="0" xfId="0" applyFill="1" applyAlignment="1" applyProtection="1">
      <alignment horizontal="center" vertical="top"/>
    </xf>
    <xf numFmtId="0" fontId="35" fillId="0" borderId="0" xfId="0" applyFont="1" applyAlignment="1" applyProtection="1">
      <alignment horizontal="left" vertical="center"/>
    </xf>
    <xf numFmtId="0" fontId="1" fillId="0" borderId="0" xfId="0" applyFont="1" applyAlignment="1" applyProtection="1">
      <alignment horizontal="center" wrapText="1"/>
    </xf>
    <xf numFmtId="0" fontId="48" fillId="0" borderId="0" xfId="0" applyFont="1" applyAlignment="1" applyProtection="1">
      <alignment wrapText="1"/>
    </xf>
    <xf numFmtId="0" fontId="0" fillId="0" borderId="0" xfId="0" applyNumberFormat="1" applyProtection="1"/>
    <xf numFmtId="0" fontId="22" fillId="0" borderId="0" xfId="0" applyFont="1" applyFill="1" applyBorder="1" applyAlignment="1" applyProtection="1">
      <alignment horizontal="center" wrapText="1"/>
    </xf>
    <xf numFmtId="0" fontId="26" fillId="0" borderId="15" xfId="0" applyFont="1" applyFill="1" applyBorder="1" applyAlignment="1" applyProtection="1">
      <alignment horizontal="center" vertical="center"/>
    </xf>
    <xf numFmtId="0" fontId="26" fillId="0" borderId="15" xfId="0" applyFont="1" applyFill="1" applyBorder="1" applyAlignment="1" applyProtection="1">
      <alignment horizontal="center" vertical="center" wrapText="1"/>
    </xf>
    <xf numFmtId="0" fontId="26" fillId="0" borderId="30"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xf>
    <xf numFmtId="4" fontId="1" fillId="0" borderId="0" xfId="0" applyNumberFormat="1" applyFont="1" applyFill="1" applyBorder="1" applyAlignment="1" applyProtection="1">
      <alignment horizontal="center" vertical="center"/>
    </xf>
    <xf numFmtId="0" fontId="2" fillId="0" borderId="0" xfId="0" applyFont="1" applyFill="1" applyBorder="1" applyProtection="1"/>
    <xf numFmtId="0" fontId="1" fillId="0" borderId="0" xfId="0" applyFont="1" applyBorder="1" applyProtection="1"/>
    <xf numFmtId="0" fontId="2" fillId="0" borderId="0" xfId="0" applyFont="1" applyProtection="1"/>
    <xf numFmtId="0" fontId="1" fillId="0" borderId="0" xfId="0" applyFont="1" applyBorder="1" applyAlignment="1" applyProtection="1">
      <alignment vertical="top"/>
    </xf>
    <xf numFmtId="0" fontId="22" fillId="0" borderId="0" xfId="0" applyFont="1" applyBorder="1" applyAlignment="1" applyProtection="1">
      <alignment vertical="center"/>
    </xf>
    <xf numFmtId="4" fontId="2" fillId="0" borderId="0" xfId="0" applyNumberFormat="1" applyFont="1" applyProtection="1"/>
    <xf numFmtId="0" fontId="22" fillId="0" borderId="17" xfId="0" applyFont="1" applyFill="1" applyBorder="1" applyAlignment="1" applyProtection="1">
      <alignment horizontal="left" vertical="center"/>
    </xf>
    <xf numFmtId="0" fontId="1" fillId="0" borderId="17" xfId="0" applyFont="1" applyBorder="1" applyProtection="1"/>
    <xf numFmtId="0" fontId="1" fillId="0" borderId="0" xfId="0" applyFont="1" applyBorder="1" applyAlignment="1" applyProtection="1">
      <alignment horizontal="center"/>
    </xf>
    <xf numFmtId="0" fontId="22" fillId="0" borderId="11" xfId="0" applyFont="1" applyFill="1" applyBorder="1" applyAlignment="1" applyProtection="1">
      <alignment wrapText="1"/>
    </xf>
    <xf numFmtId="0" fontId="0" fillId="0" borderId="11" xfId="0" applyBorder="1" applyProtection="1"/>
    <xf numFmtId="0" fontId="0" fillId="0" borderId="11" xfId="0" quotePrefix="1" applyBorder="1" applyProtection="1"/>
    <xf numFmtId="10" fontId="30" fillId="0" borderId="11" xfId="76" applyNumberFormat="1" applyFont="1" applyFill="1" applyBorder="1" applyAlignment="1" applyProtection="1">
      <alignment horizontal="center" vertical="center"/>
    </xf>
    <xf numFmtId="4" fontId="30" fillId="0" borderId="11" xfId="76" applyNumberFormat="1" applyFont="1" applyFill="1" applyBorder="1" applyAlignment="1" applyProtection="1">
      <alignment horizontal="center" vertical="center"/>
    </xf>
    <xf numFmtId="4" fontId="26" fillId="27" borderId="18" xfId="87" applyNumberFormat="1" applyFont="1" applyFill="1" applyBorder="1" applyAlignment="1" applyProtection="1">
      <alignment horizontal="center" vertical="center" shrinkToFit="1"/>
    </xf>
    <xf numFmtId="10" fontId="26" fillId="28" borderId="11" xfId="76" applyNumberFormat="1" applyFont="1" applyFill="1" applyBorder="1" applyAlignment="1" applyProtection="1">
      <alignment horizontal="center" vertical="center" shrinkToFit="1"/>
    </xf>
    <xf numFmtId="4" fontId="26" fillId="28" borderId="18" xfId="87" applyNumberFormat="1" applyFont="1" applyFill="1" applyBorder="1" applyAlignment="1" applyProtection="1">
      <alignment horizontal="center" vertical="center" shrinkToFit="1"/>
    </xf>
    <xf numFmtId="0" fontId="1" fillId="0" borderId="15" xfId="0" applyFont="1" applyFill="1" applyBorder="1" applyAlignment="1" applyProtection="1">
      <alignment horizontal="center" vertical="center"/>
    </xf>
    <xf numFmtId="0" fontId="1" fillId="0" borderId="33" xfId="0" applyFont="1" applyFill="1" applyBorder="1" applyAlignment="1" applyProtection="1">
      <alignment horizontal="center" vertical="center"/>
    </xf>
    <xf numFmtId="10" fontId="26" fillId="27" borderId="11" xfId="76" applyNumberFormat="1" applyFont="1" applyFill="1" applyBorder="1" applyAlignment="1" applyProtection="1">
      <alignment horizontal="center" vertical="center" shrinkToFit="1"/>
    </xf>
    <xf numFmtId="10" fontId="26" fillId="27" borderId="0" xfId="76" applyNumberFormat="1" applyFont="1" applyFill="1" applyBorder="1" applyAlignment="1" applyProtection="1">
      <alignment horizontal="center" vertical="center" shrinkToFit="1"/>
    </xf>
    <xf numFmtId="4" fontId="30" fillId="0" borderId="12" xfId="76" applyNumberFormat="1" applyFont="1" applyFill="1" applyBorder="1" applyAlignment="1" applyProtection="1">
      <alignment horizontal="center" vertical="center"/>
    </xf>
    <xf numFmtId="10" fontId="0" fillId="0" borderId="14" xfId="0" applyNumberFormat="1" applyBorder="1" applyProtection="1"/>
    <xf numFmtId="49" fontId="1" fillId="25" borderId="24" xfId="0" applyNumberFormat="1" applyFont="1" applyFill="1" applyBorder="1" applyAlignment="1" applyProtection="1">
      <alignment horizontal="center" vertical="center" wrapText="1"/>
      <protection locked="0"/>
    </xf>
    <xf numFmtId="0" fontId="26" fillId="0" borderId="0" xfId="0" applyFont="1" applyFill="1" applyBorder="1" applyAlignment="1" applyProtection="1">
      <alignment horizontal="center" vertical="center" wrapText="1"/>
    </xf>
    <xf numFmtId="0" fontId="1" fillId="0" borderId="14" xfId="0" applyFont="1" applyBorder="1"/>
    <xf numFmtId="0" fontId="0" fillId="0" borderId="0" xfId="0" quotePrefix="1"/>
    <xf numFmtId="0" fontId="30" fillId="0" borderId="0" xfId="0" applyFont="1" applyFill="1" applyBorder="1" applyAlignment="1" applyProtection="1">
      <alignment horizontal="left" wrapText="1"/>
      <protection locked="0"/>
    </xf>
    <xf numFmtId="0" fontId="1" fillId="0" borderId="14" xfId="0" applyFont="1" applyBorder="1" applyProtection="1">
      <protection locked="0"/>
    </xf>
    <xf numFmtId="164" fontId="1" fillId="25" borderId="34" xfId="87" applyFont="1" applyFill="1" applyBorder="1" applyAlignment="1" applyProtection="1">
      <alignment vertical="center" shrinkToFit="1"/>
      <protection locked="0"/>
    </xf>
    <xf numFmtId="0" fontId="22" fillId="24" borderId="32" xfId="0" applyNumberFormat="1" applyFont="1" applyFill="1" applyBorder="1" applyAlignment="1" applyProtection="1">
      <alignment horizontal="center" vertical="center" shrinkToFit="1"/>
    </xf>
    <xf numFmtId="0" fontId="22" fillId="24" borderId="25" xfId="0" applyNumberFormat="1" applyFont="1" applyFill="1" applyBorder="1" applyAlignment="1" applyProtection="1">
      <alignment horizontal="center" vertical="center" shrinkToFit="1"/>
    </xf>
    <xf numFmtId="0" fontId="22" fillId="0" borderId="11" xfId="0" applyFont="1" applyFill="1" applyBorder="1" applyAlignment="1" applyProtection="1">
      <alignment horizontal="center" vertical="center" wrapText="1" shrinkToFit="1"/>
    </xf>
    <xf numFmtId="14" fontId="26" fillId="0" borderId="11" xfId="0" applyNumberFormat="1" applyFont="1" applyFill="1" applyBorder="1" applyAlignment="1" applyProtection="1">
      <alignment horizontal="center" vertical="center" wrapText="1"/>
    </xf>
    <xf numFmtId="0" fontId="1" fillId="0" borderId="28" xfId="0" applyFont="1" applyFill="1" applyBorder="1" applyAlignment="1" applyProtection="1">
      <alignment horizontal="center" vertical="center"/>
    </xf>
    <xf numFmtId="10" fontId="30" fillId="25" borderId="35" xfId="76" applyNumberFormat="1" applyFont="1" applyFill="1" applyBorder="1" applyAlignment="1" applyProtection="1">
      <alignment horizontal="center" vertical="center"/>
      <protection locked="0" hidden="1"/>
    </xf>
    <xf numFmtId="0" fontId="26" fillId="0" borderId="12" xfId="0" applyFont="1" applyFill="1" applyBorder="1" applyAlignment="1" applyProtection="1">
      <alignment horizontal="center" vertical="center" wrapText="1"/>
    </xf>
    <xf numFmtId="0" fontId="22" fillId="0" borderId="0" xfId="0" applyFont="1" applyFill="1" applyBorder="1" applyAlignment="1" applyProtection="1">
      <alignment wrapText="1"/>
    </xf>
    <xf numFmtId="0" fontId="1" fillId="26" borderId="0" xfId="0" applyFont="1" applyFill="1"/>
    <xf numFmtId="164" fontId="1" fillId="25" borderId="24" xfId="87" applyNumberFormat="1" applyFont="1" applyFill="1" applyBorder="1" applyAlignment="1" applyProtection="1">
      <alignment vertical="center" shrinkToFit="1"/>
    </xf>
    <xf numFmtId="10" fontId="30" fillId="25" borderId="36" xfId="76" applyNumberFormat="1" applyFont="1" applyFill="1" applyBorder="1" applyAlignment="1" applyProtection="1">
      <alignment horizontal="center" vertical="center"/>
      <protection locked="0"/>
    </xf>
    <xf numFmtId="10" fontId="30" fillId="25" borderId="35" xfId="76" applyNumberFormat="1" applyFont="1" applyFill="1" applyBorder="1" applyAlignment="1" applyProtection="1">
      <alignment horizontal="center" vertical="center"/>
      <protection locked="0"/>
    </xf>
    <xf numFmtId="10" fontId="30" fillId="25" borderId="37" xfId="76" applyNumberFormat="1" applyFont="1" applyFill="1" applyBorder="1" applyAlignment="1" applyProtection="1">
      <alignment horizontal="center" vertical="center"/>
      <protection locked="0"/>
    </xf>
    <xf numFmtId="164" fontId="1" fillId="31" borderId="24" xfId="87" applyFont="1" applyFill="1" applyBorder="1" applyAlignment="1" applyProtection="1">
      <alignment vertical="center" wrapText="1"/>
      <protection locked="0"/>
    </xf>
    <xf numFmtId="0" fontId="1" fillId="31" borderId="24" xfId="0" applyNumberFormat="1" applyFont="1" applyFill="1" applyBorder="1" applyAlignment="1" applyProtection="1">
      <alignment horizontal="center" vertical="center" wrapText="1"/>
      <protection locked="0"/>
    </xf>
    <xf numFmtId="0" fontId="1" fillId="31" borderId="24" xfId="0" applyNumberFormat="1" applyFont="1" applyFill="1" applyBorder="1" applyAlignment="1" applyProtection="1">
      <alignment vertical="center" wrapText="1"/>
      <protection locked="0"/>
    </xf>
    <xf numFmtId="10" fontId="1" fillId="31" borderId="24" xfId="76" applyNumberFormat="1" applyFont="1" applyFill="1" applyBorder="1" applyAlignment="1" applyProtection="1">
      <alignment horizontal="center" vertical="center" wrapText="1"/>
      <protection locked="0"/>
    </xf>
    <xf numFmtId="0" fontId="22" fillId="0" borderId="0" xfId="72" applyFont="1" applyBorder="1" applyAlignment="1" applyProtection="1">
      <alignment horizontal="left" vertical="top"/>
    </xf>
    <xf numFmtId="4" fontId="26" fillId="0" borderId="14" xfId="71" applyNumberFormat="1" applyFont="1" applyFill="1" applyBorder="1" applyAlignment="1" applyProtection="1">
      <alignment horizontal="center" vertical="center" wrapText="1"/>
    </xf>
    <xf numFmtId="0" fontId="0" fillId="0" borderId="18" xfId="0" applyFill="1" applyBorder="1" applyAlignment="1" applyProtection="1">
      <alignment horizontal="left" vertical="top" wrapText="1"/>
    </xf>
    <xf numFmtId="0" fontId="0" fillId="0" borderId="13" xfId="0" applyFill="1" applyBorder="1" applyAlignment="1" applyProtection="1">
      <alignment horizontal="left" vertical="top" wrapText="1"/>
    </xf>
    <xf numFmtId="0" fontId="0" fillId="0" borderId="38" xfId="0" applyFill="1" applyBorder="1" applyAlignment="1" applyProtection="1">
      <alignment horizontal="left" vertical="top" wrapText="1"/>
    </xf>
    <xf numFmtId="0" fontId="22" fillId="0" borderId="11" xfId="72" applyFont="1" applyFill="1" applyBorder="1" applyAlignment="1" applyProtection="1">
      <alignment horizontal="left" vertical="top"/>
    </xf>
    <xf numFmtId="0" fontId="22" fillId="0" borderId="0" xfId="72" applyFont="1" applyFill="1" applyBorder="1" applyAlignment="1" applyProtection="1">
      <alignment horizontal="left" vertical="top"/>
    </xf>
    <xf numFmtId="0" fontId="22" fillId="0" borderId="12" xfId="72" applyFont="1" applyFill="1" applyBorder="1" applyAlignment="1" applyProtection="1">
      <alignment horizontal="left" vertical="top"/>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22" fillId="0" borderId="12" xfId="72" applyFont="1" applyBorder="1" applyAlignment="1" applyProtection="1">
      <alignment horizontal="left" vertical="top"/>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0" fillId="25" borderId="13" xfId="0" applyFill="1" applyBorder="1" applyAlignment="1" applyProtection="1">
      <alignment horizontal="left" vertical="top" wrapText="1"/>
      <protection locked="0"/>
    </xf>
    <xf numFmtId="0" fontId="0" fillId="25" borderId="38" xfId="0" applyFill="1" applyBorder="1" applyAlignment="1" applyProtection="1">
      <alignment horizontal="left" vertical="top" wrapText="1"/>
      <protection locked="0"/>
    </xf>
    <xf numFmtId="49" fontId="0" fillId="25" borderId="18" xfId="0" applyNumberForma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0" fontId="1" fillId="0" borderId="0" xfId="0" applyFont="1" applyFill="1" applyBorder="1" applyAlignment="1" applyProtection="1">
      <alignment horizontal="left" wrapText="1" indent="2"/>
    </xf>
    <xf numFmtId="0" fontId="0" fillId="0" borderId="0" xfId="0" applyAlignment="1" applyProtection="1">
      <alignment horizontal="left" indent="2"/>
    </xf>
    <xf numFmtId="10" fontId="1" fillId="25" borderId="18" xfId="76" applyNumberFormat="1" applyFont="1" applyFill="1" applyBorder="1" applyAlignment="1" applyProtection="1">
      <alignment horizontal="left" vertical="top" wrapText="1"/>
      <protection locked="0"/>
    </xf>
    <xf numFmtId="10" fontId="37" fillId="25" borderId="13" xfId="76" applyNumberFormat="1" applyFont="1" applyFill="1" applyBorder="1" applyAlignment="1" applyProtection="1">
      <alignment horizontal="left" vertical="top" wrapText="1"/>
      <protection locked="0"/>
    </xf>
    <xf numFmtId="10" fontId="37" fillId="25" borderId="38" xfId="76" applyNumberFormat="1" applyFont="1" applyFill="1" applyBorder="1" applyAlignment="1" applyProtection="1">
      <alignment horizontal="left" vertical="top" wrapText="1"/>
      <protection locked="0"/>
    </xf>
    <xf numFmtId="10" fontId="1" fillId="0" borderId="18" xfId="76" applyNumberFormat="1" applyFont="1" applyFill="1" applyBorder="1" applyAlignment="1" applyProtection="1">
      <alignment horizontal="left" vertical="top" wrapText="1"/>
    </xf>
    <xf numFmtId="10" fontId="1" fillId="0" borderId="13" xfId="76" applyNumberFormat="1" applyFont="1" applyFill="1" applyBorder="1" applyAlignment="1" applyProtection="1">
      <alignment horizontal="left" vertical="top" wrapText="1"/>
    </xf>
    <xf numFmtId="10" fontId="37" fillId="0" borderId="13" xfId="76" applyNumberFormat="1" applyFont="1" applyFill="1" applyBorder="1" applyAlignment="1" applyProtection="1">
      <alignment horizontal="left" vertical="top" wrapText="1"/>
    </xf>
    <xf numFmtId="10" fontId="37" fillId="0" borderId="38" xfId="76" applyNumberFormat="1" applyFont="1" applyFill="1" applyBorder="1" applyAlignment="1" applyProtection="1">
      <alignment horizontal="left" vertical="top" wrapText="1"/>
    </xf>
    <xf numFmtId="14" fontId="37" fillId="0" borderId="18" xfId="76" applyNumberFormat="1" applyFont="1" applyFill="1" applyBorder="1" applyAlignment="1" applyProtection="1">
      <alignment horizontal="center" vertical="top" wrapText="1"/>
    </xf>
    <xf numFmtId="14" fontId="37" fillId="0" borderId="38" xfId="76" applyNumberFormat="1" applyFont="1" applyFill="1" applyBorder="1" applyAlignment="1" applyProtection="1">
      <alignment horizontal="center" vertical="top" wrapText="1"/>
    </xf>
    <xf numFmtId="0" fontId="1" fillId="0" borderId="0" xfId="0" applyFont="1" applyFill="1" applyBorder="1" applyAlignment="1" applyProtection="1">
      <alignment horizontal="left" wrapText="1" indent="3"/>
    </xf>
    <xf numFmtId="0" fontId="0" fillId="0" borderId="0" xfId="0" applyAlignment="1" applyProtection="1">
      <alignment horizontal="left" indent="3"/>
    </xf>
    <xf numFmtId="0" fontId="1" fillId="0" borderId="18" xfId="0" applyFont="1" applyFill="1" applyBorder="1" applyAlignment="1" applyProtection="1">
      <alignment horizontal="left" vertical="top" wrapText="1"/>
    </xf>
    <xf numFmtId="0" fontId="1" fillId="0" borderId="38" xfId="0" applyFont="1" applyFill="1" applyBorder="1" applyAlignment="1" applyProtection="1">
      <alignment horizontal="left" vertical="top" wrapText="1"/>
    </xf>
    <xf numFmtId="14" fontId="1" fillId="0" borderId="18" xfId="76" applyNumberFormat="1" applyFont="1" applyFill="1" applyBorder="1" applyAlignment="1" applyProtection="1">
      <alignment horizontal="center" vertical="top" wrapText="1"/>
    </xf>
    <xf numFmtId="14" fontId="1" fillId="0" borderId="38" xfId="76" applyNumberFormat="1" applyFont="1" applyFill="1" applyBorder="1" applyAlignment="1" applyProtection="1">
      <alignment horizontal="center" vertical="top" wrapText="1"/>
    </xf>
    <xf numFmtId="0" fontId="1" fillId="0" borderId="13" xfId="0" applyFont="1" applyFill="1" applyBorder="1" applyAlignment="1" applyProtection="1">
      <alignment horizontal="left" vertical="top" wrapText="1"/>
    </xf>
    <xf numFmtId="167" fontId="1" fillId="0" borderId="18" xfId="76" applyNumberFormat="1" applyFont="1" applyFill="1" applyBorder="1" applyAlignment="1" applyProtection="1">
      <alignment horizontal="left" vertical="top" wrapText="1"/>
    </xf>
    <xf numFmtId="167" fontId="1" fillId="0" borderId="13" xfId="76" applyNumberFormat="1" applyFont="1" applyFill="1" applyBorder="1" applyAlignment="1" applyProtection="1">
      <alignment horizontal="left" vertical="top" wrapText="1"/>
    </xf>
    <xf numFmtId="49" fontId="0" fillId="0" borderId="18" xfId="0" applyNumberFormat="1" applyFill="1" applyBorder="1" applyAlignment="1" applyProtection="1">
      <alignment horizontal="left" vertical="top" wrapText="1"/>
    </xf>
    <xf numFmtId="49" fontId="0" fillId="0" borderId="13" xfId="0" applyNumberFormat="1" applyFill="1" applyBorder="1" applyAlignment="1" applyProtection="1">
      <alignment horizontal="left" vertical="top" wrapText="1"/>
    </xf>
    <xf numFmtId="0" fontId="38" fillId="0" borderId="11" xfId="72" applyFont="1" applyFill="1" applyBorder="1" applyAlignment="1" applyProtection="1">
      <alignment horizontal="left" vertical="top"/>
    </xf>
    <xf numFmtId="0" fontId="38" fillId="0" borderId="12" xfId="72" applyFont="1" applyFill="1" applyBorder="1" applyAlignment="1" applyProtection="1">
      <alignment horizontal="left" vertical="top"/>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167" fontId="0" fillId="0" borderId="18" xfId="0" applyNumberFormat="1" applyFill="1" applyBorder="1" applyAlignment="1" applyProtection="1">
      <alignment horizontal="center" vertical="top" wrapText="1"/>
    </xf>
    <xf numFmtId="167" fontId="0" fillId="0" borderId="38" xfId="0" applyNumberFormat="1" applyFill="1" applyBorder="1" applyAlignment="1" applyProtection="1">
      <alignment horizontal="center"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49" fontId="0" fillId="25" borderId="0" xfId="0" applyNumberFormat="1" applyFill="1" applyBorder="1" applyAlignment="1" applyProtection="1">
      <alignment horizontal="left"/>
      <protection locked="0"/>
    </xf>
    <xf numFmtId="0" fontId="0" fillId="25" borderId="0" xfId="0" applyFill="1" applyBorder="1" applyAlignment="1" applyProtection="1">
      <alignment horizontal="left"/>
      <protection locked="0"/>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51" fillId="29" borderId="0" xfId="0" applyFont="1" applyFill="1" applyBorder="1" applyAlignment="1" applyProtection="1">
      <alignment horizontal="left" vertical="top" wrapText="1" indent="2"/>
    </xf>
    <xf numFmtId="0" fontId="51" fillId="29" borderId="0" xfId="0" applyFont="1" applyFill="1" applyAlignment="1" applyProtection="1">
      <alignment horizontal="left" vertical="top" indent="2"/>
    </xf>
    <xf numFmtId="49" fontId="1" fillId="25" borderId="0" xfId="0" applyNumberFormat="1" applyFont="1" applyFill="1" applyBorder="1" applyAlignment="1" applyProtection="1">
      <alignment horizontal="left"/>
      <protection locked="0"/>
    </xf>
    <xf numFmtId="0" fontId="21" fillId="26" borderId="17" xfId="0" applyFont="1" applyFill="1" applyBorder="1" applyAlignment="1" applyProtection="1">
      <alignment horizontal="center" vertical="center" wrapText="1"/>
    </xf>
    <xf numFmtId="0" fontId="21" fillId="26" borderId="39" xfId="0" applyFont="1" applyFill="1" applyBorder="1" applyAlignment="1" applyProtection="1">
      <alignment horizontal="center" vertical="center" wrapText="1"/>
    </xf>
    <xf numFmtId="0" fontId="21" fillId="26" borderId="13" xfId="0" applyFont="1" applyFill="1" applyBorder="1" applyAlignment="1" applyProtection="1">
      <alignment horizontal="center" vertical="center" wrapText="1"/>
    </xf>
    <xf numFmtId="0" fontId="21" fillId="26" borderId="38" xfId="0" applyFont="1" applyFill="1" applyBorder="1" applyAlignment="1" applyProtection="1">
      <alignment horizontal="center" vertical="center" wrapText="1"/>
    </xf>
    <xf numFmtId="0" fontId="38" fillId="0" borderId="11" xfId="72" applyFont="1" applyBorder="1" applyAlignment="1" applyProtection="1">
      <alignment horizontal="left" vertical="top"/>
    </xf>
    <xf numFmtId="0" fontId="38" fillId="0" borderId="12" xfId="72" applyFont="1" applyBorder="1" applyAlignment="1" applyProtection="1">
      <alignment horizontal="left" vertical="top"/>
    </xf>
    <xf numFmtId="14" fontId="1" fillId="25" borderId="18" xfId="76" applyNumberFormat="1" applyFont="1" applyFill="1" applyBorder="1" applyAlignment="1" applyProtection="1">
      <alignment horizontal="center" vertical="top" wrapText="1"/>
      <protection locked="0"/>
    </xf>
    <xf numFmtId="14" fontId="37" fillId="25" borderId="38" xfId="76" applyNumberFormat="1" applyFont="1" applyFill="1" applyBorder="1" applyAlignment="1" applyProtection="1">
      <alignment horizontal="center" vertical="top" wrapText="1"/>
      <protection locked="0"/>
    </xf>
    <xf numFmtId="49" fontId="1" fillId="25" borderId="18" xfId="76" applyNumberFormat="1" applyFont="1" applyFill="1" applyBorder="1" applyAlignment="1" applyProtection="1">
      <alignment horizontal="left" vertical="top" wrapText="1"/>
      <protection locked="0"/>
    </xf>
    <xf numFmtId="49" fontId="1" fillId="25" borderId="13" xfId="76" applyNumberFormat="1" applyFont="1" applyFill="1" applyBorder="1" applyAlignment="1" applyProtection="1">
      <alignment horizontal="left" vertical="top" wrapText="1"/>
      <protection locked="0"/>
    </xf>
    <xf numFmtId="49" fontId="37" fillId="25" borderId="13" xfId="76" applyNumberFormat="1" applyFont="1" applyFill="1" applyBorder="1" applyAlignment="1" applyProtection="1">
      <alignment horizontal="left" vertical="top" wrapText="1"/>
      <protection locked="0"/>
    </xf>
    <xf numFmtId="49" fontId="37" fillId="25" borderId="38" xfId="76" applyNumberFormat="1" applyFont="1" applyFill="1" applyBorder="1" applyAlignment="1" applyProtection="1">
      <alignment horizontal="left" vertical="top" wrapText="1"/>
      <protection locked="0"/>
    </xf>
    <xf numFmtId="14" fontId="1" fillId="25" borderId="38" xfId="76" applyNumberFormat="1" applyFont="1" applyFill="1" applyBorder="1" applyAlignment="1" applyProtection="1">
      <alignment horizontal="center" vertical="top" wrapText="1"/>
      <protection locked="0"/>
    </xf>
    <xf numFmtId="0" fontId="26" fillId="0" borderId="0" xfId="0" applyFont="1" applyFill="1" applyBorder="1" applyAlignment="1" applyProtection="1">
      <alignment horizontal="center" vertical="center" wrapText="1"/>
    </xf>
    <xf numFmtId="0" fontId="1" fillId="0" borderId="40" xfId="0" applyFont="1" applyFill="1" applyBorder="1" applyAlignment="1" applyProtection="1">
      <alignment horizontal="left" vertical="top" wrapText="1"/>
    </xf>
    <xf numFmtId="0" fontId="1" fillId="0" borderId="0" xfId="0" applyFont="1" applyFill="1" applyBorder="1" applyAlignment="1" applyProtection="1">
      <alignment horizontal="left" vertical="top" wrapText="1"/>
    </xf>
    <xf numFmtId="0" fontId="1" fillId="0" borderId="0" xfId="0" applyFont="1" applyFill="1" applyBorder="1" applyAlignment="1" applyProtection="1">
      <alignment horizontal="left" wrapText="1"/>
    </xf>
    <xf numFmtId="0" fontId="1" fillId="0" borderId="4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0" fontId="52" fillId="29" borderId="0" xfId="0" applyFont="1" applyFill="1" applyBorder="1" applyAlignment="1" applyProtection="1">
      <alignment horizontal="left" vertical="top" wrapText="1" indent="2"/>
    </xf>
    <xf numFmtId="0" fontId="52" fillId="29" borderId="0" xfId="0" applyFont="1" applyFill="1" applyAlignment="1" applyProtection="1">
      <alignment horizontal="left" vertical="top" indent="2"/>
    </xf>
    <xf numFmtId="0" fontId="22" fillId="0" borderId="40" xfId="0" applyFont="1" applyFill="1" applyBorder="1" applyAlignment="1" applyProtection="1">
      <alignment horizontal="left" wrapText="1"/>
    </xf>
    <xf numFmtId="0" fontId="22" fillId="0" borderId="0" xfId="0" applyFont="1" applyFill="1" applyBorder="1" applyAlignment="1" applyProtection="1">
      <alignment horizontal="left" wrapText="1"/>
    </xf>
    <xf numFmtId="49" fontId="1" fillId="0" borderId="0" xfId="71" applyNumberFormat="1" applyFont="1" applyFill="1" applyBorder="1" applyAlignment="1" applyProtection="1">
      <alignment horizontal="left"/>
      <protection locked="0"/>
    </xf>
    <xf numFmtId="0" fontId="26" fillId="0" borderId="0" xfId="71" applyFont="1" applyBorder="1" applyAlignment="1" applyProtection="1">
      <alignment horizontal="left" vertical="center"/>
    </xf>
    <xf numFmtId="0" fontId="22" fillId="0" borderId="0" xfId="71" applyFont="1" applyBorder="1" applyAlignment="1" applyProtection="1">
      <alignment horizontal="left" vertical="center"/>
    </xf>
    <xf numFmtId="10" fontId="2" fillId="25" borderId="14" xfId="71" applyNumberFormat="1" applyFont="1" applyFill="1" applyBorder="1" applyAlignment="1" applyProtection="1">
      <alignment horizontal="center"/>
      <protection locked="0"/>
    </xf>
    <xf numFmtId="0" fontId="2" fillId="0" borderId="14" xfId="71" applyFont="1" applyFill="1" applyBorder="1" applyAlignment="1" applyProtection="1">
      <alignment horizontal="left"/>
    </xf>
    <xf numFmtId="0" fontId="26" fillId="0" borderId="14" xfId="71" applyFont="1" applyBorder="1" applyAlignment="1" applyProtection="1">
      <alignment horizontal="center" vertical="center"/>
    </xf>
    <xf numFmtId="0" fontId="2" fillId="0" borderId="14" xfId="71" applyFont="1" applyFill="1" applyBorder="1" applyAlignment="1" applyProtection="1">
      <alignment horizontal="left" wrapText="1"/>
    </xf>
    <xf numFmtId="0" fontId="26" fillId="0" borderId="14" xfId="71" applyFont="1" applyFill="1" applyBorder="1" applyAlignment="1" applyProtection="1">
      <alignment horizontal="center" vertical="center"/>
    </xf>
    <xf numFmtId="4" fontId="26" fillId="0" borderId="14" xfId="71" applyNumberFormat="1" applyFont="1" applyFill="1" applyBorder="1" applyAlignment="1" applyProtection="1">
      <alignment horizontal="center" vertical="center" wrapText="1"/>
    </xf>
    <xf numFmtId="169" fontId="2" fillId="25" borderId="18" xfId="68" applyFont="1" applyFill="1" applyBorder="1" applyAlignment="1" applyProtection="1">
      <alignment horizontal="left"/>
      <protection locked="0"/>
    </xf>
    <xf numFmtId="169" fontId="2" fillId="25" borderId="13" xfId="68" applyFont="1" applyFill="1" applyBorder="1" applyAlignment="1" applyProtection="1">
      <alignment horizontal="left"/>
      <protection locked="0"/>
    </xf>
    <xf numFmtId="169" fontId="2" fillId="25" borderId="38" xfId="68" applyFont="1" applyFill="1" applyBorder="1" applyAlignment="1" applyProtection="1">
      <alignment horizontal="left"/>
      <protection locked="0"/>
    </xf>
    <xf numFmtId="0" fontId="1" fillId="0" borderId="18" xfId="71" applyFont="1" applyFill="1" applyBorder="1" applyAlignment="1" applyProtection="1">
      <alignment horizontal="center" vertical="top" wrapText="1"/>
    </xf>
    <xf numFmtId="0" fontId="1" fillId="0" borderId="38" xfId="71" applyFont="1" applyFill="1" applyBorder="1" applyAlignment="1" applyProtection="1">
      <alignment horizontal="center" vertical="top" wrapText="1"/>
    </xf>
    <xf numFmtId="0" fontId="1" fillId="0" borderId="18" xfId="71" applyFont="1" applyFill="1" applyBorder="1" applyAlignment="1" applyProtection="1">
      <alignment horizontal="left" vertical="top" wrapText="1"/>
    </xf>
    <xf numFmtId="0" fontId="1" fillId="0" borderId="38" xfId="71" applyFont="1" applyFill="1" applyBorder="1" applyAlignment="1" applyProtection="1">
      <alignment horizontal="left" vertical="top" wrapText="1"/>
    </xf>
    <xf numFmtId="49" fontId="1" fillId="0" borderId="18" xfId="71" applyNumberFormat="1" applyFont="1" applyFill="1" applyBorder="1" applyAlignment="1" applyProtection="1">
      <alignment horizontal="left" vertical="top" wrapText="1"/>
    </xf>
    <xf numFmtId="0" fontId="1" fillId="0" borderId="13" xfId="71" applyNumberFormat="1" applyFont="1" applyFill="1" applyBorder="1" applyAlignment="1" applyProtection="1">
      <alignment horizontal="left" vertical="top" wrapText="1"/>
    </xf>
    <xf numFmtId="0" fontId="1" fillId="0" borderId="38" xfId="71" applyNumberFormat="1" applyFont="1" applyFill="1" applyBorder="1" applyAlignment="1" applyProtection="1">
      <alignment horizontal="left" vertical="top" wrapText="1"/>
    </xf>
    <xf numFmtId="0" fontId="2" fillId="0" borderId="16" xfId="68" applyNumberFormat="1" applyFont="1" applyFill="1" applyBorder="1" applyAlignment="1" applyProtection="1">
      <alignment horizontal="left" wrapText="1"/>
    </xf>
    <xf numFmtId="0" fontId="47" fillId="0" borderId="0" xfId="71" applyFont="1" applyAlignment="1" applyProtection="1">
      <alignment horizontal="center" vertical="top" wrapText="1"/>
    </xf>
    <xf numFmtId="171" fontId="1" fillId="0" borderId="13" xfId="71" applyNumberFormat="1" applyFont="1" applyFill="1" applyBorder="1" applyAlignment="1" applyProtection="1">
      <alignment horizontal="left"/>
    </xf>
    <xf numFmtId="0" fontId="1" fillId="0" borderId="14" xfId="71" applyFont="1" applyBorder="1" applyAlignment="1" applyProtection="1">
      <alignment horizontal="left" vertical="center" wrapText="1"/>
    </xf>
    <xf numFmtId="0" fontId="1" fillId="0" borderId="14" xfId="71" applyFont="1" applyBorder="1" applyAlignment="1" applyProtection="1">
      <alignment horizontal="left" vertical="center"/>
    </xf>
    <xf numFmtId="0" fontId="22" fillId="0" borderId="14" xfId="71" applyFont="1" applyFill="1" applyBorder="1" applyAlignment="1" applyProtection="1">
      <alignment horizontal="center" vertical="center"/>
    </xf>
    <xf numFmtId="0" fontId="35" fillId="0" borderId="14" xfId="71" applyFont="1" applyBorder="1" applyAlignment="1" applyProtection="1">
      <alignment horizontal="center" vertical="center" wrapText="1"/>
    </xf>
    <xf numFmtId="0" fontId="41" fillId="0" borderId="0" xfId="0" quotePrefix="1" applyFont="1" applyBorder="1" applyAlignment="1" applyProtection="1">
      <alignment horizontal="left" vertical="center"/>
    </xf>
    <xf numFmtId="0" fontId="41" fillId="0" borderId="0" xfId="0" applyFont="1" applyBorder="1" applyAlignment="1" applyProtection="1">
      <alignment horizontal="left" vertical="center"/>
    </xf>
    <xf numFmtId="0" fontId="42" fillId="0" borderId="0" xfId="0" applyFont="1" applyBorder="1" applyAlignment="1" applyProtection="1">
      <alignment horizontal="center"/>
    </xf>
    <xf numFmtId="0" fontId="41" fillId="0" borderId="0" xfId="0" applyFont="1" applyBorder="1" applyAlignment="1" applyProtection="1">
      <alignment horizontal="center" vertical="top"/>
    </xf>
    <xf numFmtId="0" fontId="41" fillId="0" borderId="0" xfId="0" applyFont="1" applyBorder="1" applyAlignment="1" applyProtection="1">
      <alignment horizontal="right" vertical="center"/>
    </xf>
    <xf numFmtId="171" fontId="1" fillId="0" borderId="0" xfId="71" applyNumberFormat="1" applyFont="1" applyFill="1" applyBorder="1" applyAlignment="1" applyProtection="1">
      <alignment horizontal="left"/>
    </xf>
    <xf numFmtId="0" fontId="45" fillId="0" borderId="0" xfId="71" applyFont="1" applyAlignment="1" applyProtection="1">
      <alignment horizontal="left" vertical="center" indent="1"/>
    </xf>
    <xf numFmtId="0" fontId="39" fillId="0" borderId="0" xfId="71" applyFont="1" applyBorder="1" applyAlignment="1" applyProtection="1">
      <alignment horizontal="left" vertical="center" wrapText="1"/>
    </xf>
    <xf numFmtId="2" fontId="33" fillId="0" borderId="17" xfId="71" applyNumberFormat="1" applyFont="1" applyFill="1" applyBorder="1" applyAlignment="1" applyProtection="1">
      <alignment horizontal="center" vertical="center"/>
    </xf>
    <xf numFmtId="0" fontId="1" fillId="0" borderId="0" xfId="71" applyFont="1" applyBorder="1" applyAlignment="1" applyProtection="1">
      <alignment horizontal="center" vertical="center"/>
    </xf>
    <xf numFmtId="168" fontId="1" fillId="0" borderId="13" xfId="71" applyNumberFormat="1" applyFont="1" applyBorder="1" applyAlignment="1" applyProtection="1">
      <alignment horizontal="left"/>
    </xf>
    <xf numFmtId="49" fontId="1" fillId="25" borderId="32" xfId="71" applyNumberFormat="1" applyFont="1" applyFill="1" applyBorder="1" applyAlignment="1" applyProtection="1">
      <alignment horizontal="left" vertical="top" wrapText="1"/>
      <protection locked="0"/>
    </xf>
    <xf numFmtId="49" fontId="1" fillId="25" borderId="10" xfId="71" applyNumberFormat="1" applyFont="1" applyFill="1" applyBorder="1" applyAlignment="1" applyProtection="1">
      <alignment horizontal="left" vertical="top" wrapText="1"/>
      <protection locked="0"/>
    </xf>
    <xf numFmtId="49" fontId="1" fillId="25" borderId="19" xfId="71" applyNumberFormat="1" applyFont="1" applyFill="1" applyBorder="1" applyAlignment="1" applyProtection="1">
      <alignment horizontal="left" vertical="top" wrapText="1"/>
      <protection locked="0"/>
    </xf>
    <xf numFmtId="0" fontId="1" fillId="0" borderId="17" xfId="71" applyFont="1" applyBorder="1" applyAlignment="1" applyProtection="1">
      <alignment horizontal="center" vertical="center"/>
    </xf>
    <xf numFmtId="0" fontId="1" fillId="0" borderId="14" xfId="0" applyFont="1" applyBorder="1" applyAlignment="1">
      <alignment horizontal="center"/>
    </xf>
    <xf numFmtId="0" fontId="26" fillId="0" borderId="32" xfId="0" applyFont="1" applyFill="1" applyBorder="1" applyAlignment="1" applyProtection="1">
      <alignment horizontal="left" wrapText="1"/>
    </xf>
    <xf numFmtId="0" fontId="26" fillId="0" borderId="10" xfId="0" applyFont="1" applyFill="1" applyBorder="1" applyAlignment="1" applyProtection="1">
      <alignment horizontal="left" wrapText="1"/>
    </xf>
    <xf numFmtId="0" fontId="26" fillId="0" borderId="19" xfId="0" applyFont="1" applyFill="1" applyBorder="1" applyAlignment="1" applyProtection="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Border="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Border="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pplyProtection="1">
      <alignment horizontal="left"/>
    </xf>
    <xf numFmtId="170" fontId="1" fillId="0" borderId="13" xfId="0" applyNumberFormat="1" applyFont="1" applyBorder="1" applyAlignment="1" applyProtection="1">
      <alignment horizontal="left"/>
    </xf>
    <xf numFmtId="170" fontId="1" fillId="0" borderId="13" xfId="0" applyNumberFormat="1" applyFont="1" applyBorder="1" applyAlignment="1" applyProtection="1">
      <alignment horizontal="left" vertical="center"/>
    </xf>
    <xf numFmtId="0" fontId="30" fillId="30" borderId="36" xfId="0" applyFont="1" applyFill="1" applyBorder="1" applyAlignment="1" applyProtection="1">
      <alignment horizontal="center" vertical="center" shrinkToFit="1"/>
    </xf>
    <xf numFmtId="0" fontId="30" fillId="30" borderId="11" xfId="0" applyFont="1" applyFill="1" applyBorder="1" applyAlignment="1" applyProtection="1">
      <alignment horizontal="center" vertical="center" shrinkToFit="1"/>
    </xf>
    <xf numFmtId="0" fontId="30" fillId="30" borderId="37" xfId="0" applyFont="1" applyFill="1" applyBorder="1" applyAlignment="1" applyProtection="1">
      <alignment horizontal="center" vertical="center" wrapText="1"/>
    </xf>
    <xf numFmtId="0" fontId="30" fillId="30" borderId="12" xfId="0" applyFont="1" applyFill="1" applyBorder="1" applyAlignment="1" applyProtection="1">
      <alignment horizontal="center" vertical="center" wrapText="1"/>
    </xf>
    <xf numFmtId="0" fontId="26" fillId="24" borderId="21" xfId="0" applyFont="1" applyFill="1" applyBorder="1" applyAlignment="1" applyProtection="1">
      <alignment horizontal="center" vertical="center" wrapText="1"/>
    </xf>
    <xf numFmtId="0" fontId="26" fillId="24" borderId="39" xfId="0" applyFont="1" applyFill="1" applyBorder="1" applyAlignment="1" applyProtection="1">
      <alignment horizontal="center" vertical="center" wrapText="1"/>
    </xf>
    <xf numFmtId="0" fontId="26" fillId="24" borderId="11" xfId="0" applyFont="1" applyFill="1" applyBorder="1" applyAlignment="1" applyProtection="1">
      <alignment horizontal="center" vertical="center" wrapText="1"/>
    </xf>
    <xf numFmtId="0" fontId="26" fillId="24" borderId="12" xfId="0" applyFont="1" applyFill="1" applyBorder="1" applyAlignment="1" applyProtection="1">
      <alignment horizontal="center" vertical="center" wrapText="1"/>
    </xf>
    <xf numFmtId="0" fontId="26" fillId="24" borderId="18" xfId="0" applyFont="1" applyFill="1" applyBorder="1" applyAlignment="1" applyProtection="1">
      <alignment horizontal="center" vertical="center" wrapText="1"/>
    </xf>
    <xf numFmtId="0" fontId="26" fillId="24" borderId="38" xfId="0" applyFont="1" applyFill="1" applyBorder="1" applyAlignment="1" applyProtection="1">
      <alignment horizontal="center" vertical="center" wrapText="1"/>
    </xf>
    <xf numFmtId="4" fontId="26" fillId="24" borderId="30" xfId="0" applyNumberFormat="1" applyFont="1" applyFill="1" applyBorder="1" applyAlignment="1" applyProtection="1">
      <alignment horizontal="center" vertical="center" shrinkToFit="1"/>
    </xf>
    <xf numFmtId="4" fontId="26" fillId="24" borderId="15" xfId="0" applyNumberFormat="1" applyFont="1" applyFill="1" applyBorder="1" applyAlignment="1" applyProtection="1">
      <alignment horizontal="center" vertical="center" shrinkToFit="1"/>
    </xf>
    <xf numFmtId="4" fontId="26" fillId="24" borderId="16" xfId="0" applyNumberFormat="1" applyFont="1" applyFill="1" applyBorder="1" applyAlignment="1" applyProtection="1">
      <alignment horizontal="center" vertical="center" shrinkToFit="1"/>
    </xf>
    <xf numFmtId="4" fontId="30" fillId="30" borderId="28" xfId="0" applyNumberFormat="1" applyFont="1" applyFill="1" applyBorder="1" applyAlignment="1" applyProtection="1">
      <alignment horizontal="center" vertical="center"/>
    </xf>
    <xf numFmtId="4" fontId="30" fillId="30" borderId="15" xfId="0" applyNumberFormat="1" applyFont="1" applyFill="1" applyBorder="1" applyAlignment="1" applyProtection="1">
      <alignment horizontal="center" vertical="center"/>
    </xf>
    <xf numFmtId="0" fontId="49" fillId="0" borderId="0" xfId="0" applyFont="1" applyAlignment="1" applyProtection="1">
      <alignment horizontal="center" vertical="top" wrapText="1"/>
    </xf>
    <xf numFmtId="168" fontId="1" fillId="0" borderId="0" xfId="0" applyNumberFormat="1" applyFont="1" applyFill="1" applyBorder="1" applyAlignment="1" applyProtection="1">
      <alignment horizontal="left"/>
    </xf>
    <xf numFmtId="49" fontId="1" fillId="0" borderId="0" xfId="0" applyNumberFormat="1" applyFont="1" applyFill="1" applyBorder="1" applyAlignment="1" applyProtection="1">
      <alignment horizontal="left"/>
    </xf>
    <xf numFmtId="0" fontId="1" fillId="0" borderId="0" xfId="0" applyFont="1" applyFill="1" applyBorder="1" applyAlignment="1" applyProtection="1">
      <alignment horizontal="left"/>
    </xf>
    <xf numFmtId="171" fontId="1" fillId="0" borderId="13" xfId="0" applyNumberFormat="1" applyFont="1" applyFill="1" applyBorder="1" applyAlignment="1" applyProtection="1">
      <alignment horizontal="left" vertical="center"/>
    </xf>
    <xf numFmtId="0" fontId="2" fillId="25" borderId="23" xfId="0" applyNumberFormat="1"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0" fontId="1" fillId="31" borderId="24" xfId="0" applyNumberFormat="1" applyFont="1" applyFill="1" applyBorder="1" applyAlignment="1" applyProtection="1">
      <alignment vertical="center" wrapText="1"/>
    </xf>
    <xf numFmtId="0" fontId="1" fillId="31" borderId="24" xfId="0" applyNumberFormat="1" applyFont="1" applyFill="1" applyBorder="1" applyAlignment="1" applyProtection="1">
      <alignment horizontal="center" vertical="center" wrapText="1"/>
    </xf>
    <xf numFmtId="164" fontId="1" fillId="25" borderId="34" xfId="87"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9">
    <cellStyle name="20% - Accent1" xfId="1"/>
    <cellStyle name="20% - Accent2" xfId="2"/>
    <cellStyle name="20% - Accent3" xfId="3"/>
    <cellStyle name="20% - Accent4" xfId="4"/>
    <cellStyle name="20% - Accent5" xfId="5"/>
    <cellStyle name="20% - Accent6" xfId="6"/>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cellStyle name="40% - Accent2" xfId="14"/>
    <cellStyle name="40% - Accent3" xfId="15"/>
    <cellStyle name="40% - Accent4" xfId="16"/>
    <cellStyle name="40% - Accent5" xfId="17"/>
    <cellStyle name="40% - Accent6" xfId="18"/>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cellStyle name="60% - Accent2" xfId="26"/>
    <cellStyle name="60% - Accent3" xfId="27"/>
    <cellStyle name="60% - Accent4" xfId="28"/>
    <cellStyle name="60% - Accent5" xfId="29"/>
    <cellStyle name="60% - Accent6" xfId="3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cellStyle name="Accent2" xfId="38"/>
    <cellStyle name="Accent3" xfId="39"/>
    <cellStyle name="Accent4" xfId="40"/>
    <cellStyle name="Accent5" xfId="41"/>
    <cellStyle name="Accent6" xfId="42"/>
    <cellStyle name="Bad" xfId="43"/>
    <cellStyle name="Bom" xfId="44" builtinId="26" customBuiltin="1"/>
    <cellStyle name="Calculation" xfId="45"/>
    <cellStyle name="Cálculo" xfId="46" builtinId="22" customBuiltin="1"/>
    <cellStyle name="Célula de Verificação" xfId="47" builtinId="23" customBuiltin="1"/>
    <cellStyle name="Célula Vinculada" xfId="48" builtinId="24" customBuiltin="1"/>
    <cellStyle name="Check Cell" xfId="49"/>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cellStyle name="Explanatory Text" xfId="58"/>
    <cellStyle name="Good" xfId="59"/>
    <cellStyle name="Heading 1" xfId="60"/>
    <cellStyle name="Heading 2" xfId="61"/>
    <cellStyle name="Heading 3" xfId="62"/>
    <cellStyle name="Heading 4" xfId="63"/>
    <cellStyle name="Incorreto" xfId="64" builtinId="27" customBuiltin="1"/>
    <cellStyle name="Input" xfId="65"/>
    <cellStyle name="Linked Cell" xfId="66"/>
    <cellStyle name="Moeda 2" xfId="67"/>
    <cellStyle name="Moeda_Composicao BDI v2.1" xfId="68"/>
    <cellStyle name="Neutra" xfId="69" builtinId="28" customBuiltin="1"/>
    <cellStyle name="Neutral" xfId="70"/>
    <cellStyle name="Normal" xfId="0" builtinId="0"/>
    <cellStyle name="Normal 2" xfId="71"/>
    <cellStyle name="Normal_FICHA DE VERIFICAÇÃO PRELIMINAR - Plano R" xfId="72"/>
    <cellStyle name="Nota" xfId="73" builtinId="10" customBuiltin="1"/>
    <cellStyle name="Note" xfId="74"/>
    <cellStyle name="Output" xfId="75"/>
    <cellStyle name="Porcentagem" xfId="76" builtinId="5"/>
    <cellStyle name="Saída" xfId="77" builtinId="21" customBuiltin="1"/>
    <cellStyle name="Texto de Aviso" xfId="78" builtinId="11" customBuiltin="1"/>
    <cellStyle name="Texto Explicativo" xfId="79" builtinId="53" customBuiltin="1"/>
    <cellStyle name="Title" xfId="8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cellStyles>
  <dxfs count="313">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5.emf"/><Relationship Id="rId1" Type="http://schemas.openxmlformats.org/officeDocument/2006/relationships/image" Target="../media/image4.emf"/></Relationships>
</file>

<file path=xl/drawings/_rels/drawing4.xml.rels><?xml version="1.0" encoding="UTF-8" standalone="yes"?>
<Relationships xmlns="http://schemas.openxmlformats.org/package/2006/relationships"><Relationship Id="rId3" Type="http://schemas.openxmlformats.org/officeDocument/2006/relationships/image" Target="../media/image9.emf"/><Relationship Id="rId2" Type="http://schemas.openxmlformats.org/officeDocument/2006/relationships/image" Target="../media/image8.emf"/><Relationship Id="rId1" Type="http://schemas.openxmlformats.org/officeDocument/2006/relationships/image" Target="../media/image4.emf"/><Relationship Id="rId5" Type="http://schemas.openxmlformats.org/officeDocument/2006/relationships/image" Target="../media/image2.emf"/><Relationship Id="rId4"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5.emf"/><Relationship Id="rId7" Type="http://schemas.openxmlformats.org/officeDocument/2006/relationships/image" Target="../media/image2.emf"/><Relationship Id="rId2" Type="http://schemas.openxmlformats.org/officeDocument/2006/relationships/image" Target="../media/image8.emf"/><Relationship Id="rId1" Type="http://schemas.openxmlformats.org/officeDocument/2006/relationships/image" Target="../media/image4.emf"/><Relationship Id="rId6" Type="http://schemas.openxmlformats.org/officeDocument/2006/relationships/image" Target="../media/image9.emf"/><Relationship Id="rId5" Type="http://schemas.openxmlformats.org/officeDocument/2006/relationships/image" Target="../media/image12.emf"/><Relationship Id="rId4"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11.emf"/><Relationship Id="rId2" Type="http://schemas.openxmlformats.org/officeDocument/2006/relationships/image" Target="../media/image10.emf"/><Relationship Id="rId1" Type="http://schemas.openxmlformats.org/officeDocument/2006/relationships/image" Target="../media/image6.emf"/><Relationship Id="rId4"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10.emf"/><Relationship Id="rId1" Type="http://schemas.openxmlformats.org/officeDocument/2006/relationships/image" Target="../media/image6.emf"/><Relationship Id="rId6" Type="http://schemas.openxmlformats.org/officeDocument/2006/relationships/image" Target="../media/image11.emf"/><Relationship Id="rId5" Type="http://schemas.openxmlformats.org/officeDocument/2006/relationships/image" Target="../media/image13.emf"/><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to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6543" name="SigiloPic">
              <a:extLst>
                <a:ext uri="{FF2B5EF4-FFF2-40B4-BE49-F238E27FC236}">
                  <a16:creationId xmlns:a16="http://schemas.microsoft.com/office/drawing/2014/main" id="{00000000-0008-0000-0100-00007F630200}"/>
                </a:ext>
              </a:extLst>
            </xdr:cNvPr>
            <xdr:cNvPicPr>
              <a:picLocks noChangeArrowheads="1"/>
              <a:extLst>
                <a:ext uri="{84589F7E-364E-4C9E-8A38-B11213B215E9}">
                  <a14:cameraTool cellRange="PO!$T$1:$T$2" spid="_x0000_s211975"/>
                </a:ext>
              </a:extLst>
            </xdr:cNvPicPr>
          </xdr:nvPicPr>
          <xdr:blipFill>
            <a:blip xmlns:r="http://schemas.openxmlformats.org/officeDocument/2006/relationships" r:embed="rId1"/>
            <a:srcRect/>
            <a:stretch>
              <a:fillRect/>
            </a:stretch>
          </xdr:blipFill>
          <xdr:spPr bwMode="auto">
            <a:xfrm>
              <a:off x="6172200" y="285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3" name="Imagem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200-000002000000}"/>
            </a:ext>
          </a:extLst>
        </xdr:cNvPr>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3" name="Objeto 476" hidden="1">
          <a:extLst>
            <a:ext uri="{63B3BB69-23CF-44E3-9099-C40C66FF867C}">
              <a14:compatExt xmlns:a14="http://schemas.microsoft.com/office/drawing/2010/main" spid="_x0000_s156124"/>
            </a:ext>
            <a:ext uri="{FF2B5EF4-FFF2-40B4-BE49-F238E27FC236}">
              <a16:creationId xmlns:a16="http://schemas.microsoft.com/office/drawing/2014/main" id="{00000000-0008-0000-0200-000003000000}"/>
            </a:ext>
          </a:extLst>
        </xdr:cNvPr>
        <xdr:cNvSpPr/>
      </xdr:nvSpPr>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17</xdr:col>
          <xdr:colOff>647700</xdr:colOff>
          <xdr:row>2</xdr:row>
          <xdr:rowOff>9525</xdr:rowOff>
        </xdr:to>
        <xdr:pic>
          <xdr:nvPicPr>
            <xdr:cNvPr id="4" name="SigiloPic">
              <a:extLst>
                <a:ext uri="{FF2B5EF4-FFF2-40B4-BE49-F238E27FC236}">
                  <a16:creationId xmlns:a16="http://schemas.microsoft.com/office/drawing/2014/main" id="{00000000-0008-0000-0200-000004000000}"/>
                </a:ext>
              </a:extLst>
            </xdr:cNvPr>
            <xdr:cNvPicPr>
              <a:picLocks noChangeArrowheads="1"/>
              <a:extLst>
                <a:ext uri="{84589F7E-364E-4C9E-8A38-B11213B215E9}">
                  <a14:cameraTool cellRange="PO!$T$1:$T$2" spid="_x0000_s200831"/>
                </a:ext>
              </a:extLst>
            </xdr:cNvPicPr>
          </xdr:nvPicPr>
          <xdr:blipFill>
            <a:blip xmlns:r="http://schemas.openxmlformats.org/officeDocument/2006/relationships" r:embed="rId1"/>
            <a:srcRect/>
            <a:stretch>
              <a:fillRect/>
            </a:stretch>
          </xdr:blipFill>
          <xdr:spPr bwMode="auto">
            <a:xfrm>
              <a:off x="6172200" y="28575"/>
              <a:ext cx="1047750" cy="3333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5" name="Imagem 476">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492" name="Picture 482">
              <a:extLst>
                <a:ext uri="{FF2B5EF4-FFF2-40B4-BE49-F238E27FC236}">
                  <a16:creationId xmlns:a16="http://schemas.microsoft.com/office/drawing/2014/main" id="{00000000-0008-0000-0300-00005C070300}"/>
                </a:ext>
              </a:extLst>
            </xdr:cNvPr>
            <xdr:cNvPicPr>
              <a:picLocks noChangeArrowheads="1"/>
              <a:extLst>
                <a:ext uri="{84589F7E-364E-4C9E-8A38-B11213B215E9}">
                  <a14:cameraTool cellRange="DADOS!$A$220:$X$230" spid="_x0000_s205963"/>
                </a:ext>
              </a:extLst>
            </xdr:cNvPicPr>
          </xdr:nvPicPr>
          <xdr:blipFill>
            <a:blip xmlns:r="http://schemas.openxmlformats.org/officeDocument/2006/relationships" r:embed="rId1"/>
            <a:srcRect/>
            <a:stretch>
              <a:fillRect/>
            </a:stretch>
          </xdr:blipFill>
          <xdr:spPr bwMode="auto">
            <a:xfrm>
              <a:off x="581025" y="485775"/>
              <a:ext cx="13820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sp macro="" textlink="">
      <xdr:nvSpPr>
        <xdr:cNvPr id="185899" name="Objeto 5675" hidden="1">
          <a:extLst>
            <a:ext uri="{63B3BB69-23CF-44E3-9099-C40C66FF867C}">
              <a14:compatExt xmlns:a14="http://schemas.microsoft.com/office/drawing/2010/main" spid="_x0000_s185899"/>
            </a:ext>
            <a:ext uri="{FF2B5EF4-FFF2-40B4-BE49-F238E27FC236}">
              <a16:creationId xmlns:a16="http://schemas.microsoft.com/office/drawing/2014/main" id="{00000000-0008-0000-0300-00002BD6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13</xdr:col>
          <xdr:colOff>3686175</xdr:colOff>
          <xdr:row>87</xdr:row>
          <xdr:rowOff>0</xdr:rowOff>
        </xdr:from>
        <xdr:to>
          <xdr:col>19</xdr:col>
          <xdr:colOff>219075</xdr:colOff>
          <xdr:row>92</xdr:row>
          <xdr:rowOff>0</xdr:rowOff>
        </xdr:to>
        <xdr:pic>
          <xdr:nvPicPr>
            <xdr:cNvPr id="198495" name="Picture 483">
              <a:extLst>
                <a:ext uri="{FF2B5EF4-FFF2-40B4-BE49-F238E27FC236}">
                  <a16:creationId xmlns:a16="http://schemas.microsoft.com/office/drawing/2014/main" id="{00000000-0008-0000-0300-00005F070300}"/>
                </a:ext>
              </a:extLst>
            </xdr:cNvPr>
            <xdr:cNvPicPr>
              <a:picLocks noChangeArrowheads="1"/>
              <a:extLst>
                <a:ext uri="{84589F7E-364E-4C9E-8A38-B11213B215E9}">
                  <a14:cameraTool cellRange="DADOS!$A$53:$K$57" spid="_x0000_s205964"/>
                </a:ext>
              </a:extLst>
            </xdr:cNvPicPr>
          </xdr:nvPicPr>
          <xdr:blipFill>
            <a:blip xmlns:r="http://schemas.openxmlformats.org/officeDocument/2006/relationships" r:embed="rId2"/>
            <a:srcRect/>
            <a:stretch>
              <a:fillRect/>
            </a:stretch>
          </xdr:blipFill>
          <xdr:spPr bwMode="auto">
            <a:xfrm>
              <a:off x="7210425" y="25688925"/>
              <a:ext cx="6391275" cy="8096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pic>
      <xdr:nvPicPr>
        <xdr:cNvPr id="2" name="Imagem 5675">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to 13472" hidden="1">
          <a:extLst>
            <a:ext uri="{63B3BB69-23CF-44E3-9099-C40C66FF867C}">
              <a14:compatExt xmlns:a14="http://schemas.microsoft.com/office/drawing/2010/main" spid="_x0000_s193696"/>
            </a:ext>
            <a:ext uri="{FF2B5EF4-FFF2-40B4-BE49-F238E27FC236}">
              <a16:creationId xmlns:a16="http://schemas.microsoft.com/office/drawing/2014/main" id="{00000000-0008-0000-0400-0000A0F4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199303" name="PIC1">
              <a:extLst>
                <a:ext uri="{FF2B5EF4-FFF2-40B4-BE49-F238E27FC236}">
                  <a16:creationId xmlns:a16="http://schemas.microsoft.com/office/drawing/2014/main" id="{00000000-0008-0000-0400-0000870A0300}"/>
                </a:ext>
              </a:extLst>
            </xdr:cNvPr>
            <xdr:cNvPicPr>
              <a:picLocks noChangeArrowheads="1"/>
              <a:extLst>
                <a:ext uri="{84589F7E-364E-4C9E-8A38-B11213B215E9}">
                  <a14:cameraTool cellRange="DADOS!$A$220:$X$230" spid="_x0000_s210082"/>
                </a:ext>
              </a:extLst>
            </xdr:cNvPicPr>
          </xdr:nvPicPr>
          <xdr:blipFill>
            <a:blip xmlns:r="http://schemas.openxmlformats.org/officeDocument/2006/relationships" r:embed="rId1"/>
            <a:srcRect r="56371"/>
            <a:stretch>
              <a:fillRect/>
            </a:stretch>
          </xdr:blipFill>
          <xdr:spPr bwMode="auto">
            <a:xfrm>
              <a:off x="847725" y="581025"/>
              <a:ext cx="6076950"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199304" name="PIC2">
              <a:extLst>
                <a:ext uri="{FF2B5EF4-FFF2-40B4-BE49-F238E27FC236}">
                  <a16:creationId xmlns:a16="http://schemas.microsoft.com/office/drawing/2014/main" id="{00000000-0008-0000-0400-0000880A0300}"/>
                </a:ext>
              </a:extLst>
            </xdr:cNvPr>
            <xdr:cNvPicPr>
              <a:picLocks noChangeArrowheads="1"/>
              <a:extLst>
                <a:ext uri="{84589F7E-364E-4C9E-8A38-B11213B215E9}">
                  <a14:cameraTool cellRange="DADOS!$A$220:$X$230" spid="_x0000_s210083"/>
                </a:ext>
              </a:extLst>
            </xdr:cNvPicPr>
          </xdr:nvPicPr>
          <xdr:blipFill>
            <a:blip xmlns:r="http://schemas.openxmlformats.org/officeDocument/2006/relationships" r:embed="rId2"/>
            <a:srcRect l="44028"/>
            <a:stretch>
              <a:fillRect/>
            </a:stretch>
          </xdr:blipFill>
          <xdr:spPr bwMode="auto">
            <a:xfrm>
              <a:off x="6962775" y="581025"/>
              <a:ext cx="7800975"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id="{00000000-0008-0000-04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xmlns:mc="http://schemas.openxmlformats.org/markup-compatibility/2006" xmlns:a14="http://schemas.microsoft.com/office/drawing/2010/main" val="CCFFCC" mc:Ignorable="a14" a14:legacySpreadsheetColorIndex="42"/>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mc:AlternateContent xmlns:mc="http://schemas.openxmlformats.org/markup-compatibility/2006">
    <mc:Choice xmlns:a14="http://schemas.microsoft.com/office/drawing/2010/main" Requires="a14">
      <xdr:twoCellAnchor>
        <xdr:from>
          <xdr:col>5</xdr:col>
          <xdr:colOff>704850</xdr:colOff>
          <xdr:row>78</xdr:row>
          <xdr:rowOff>9525</xdr:rowOff>
        </xdr:from>
        <xdr:to>
          <xdr:col>14</xdr:col>
          <xdr:colOff>28575</xdr:colOff>
          <xdr:row>82</xdr:row>
          <xdr:rowOff>152400</xdr:rowOff>
        </xdr:to>
        <xdr:pic>
          <xdr:nvPicPr>
            <xdr:cNvPr id="199308" name="Picture 483">
              <a:extLst>
                <a:ext uri="{FF2B5EF4-FFF2-40B4-BE49-F238E27FC236}">
                  <a16:creationId xmlns:a16="http://schemas.microsoft.com/office/drawing/2014/main" id="{00000000-0008-0000-0400-00008C0A0300}"/>
                </a:ext>
              </a:extLst>
            </xdr:cNvPr>
            <xdr:cNvPicPr>
              <a:picLocks noChangeArrowheads="1"/>
              <a:extLst>
                <a:ext uri="{84589F7E-364E-4C9E-8A38-B11213B215E9}">
                  <a14:cameraTool cellRange="DADOS!$A$53:$K$57" spid="_x0000_s210084"/>
                </a:ext>
              </a:extLst>
            </xdr:cNvPicPr>
          </xdr:nvPicPr>
          <xdr:blipFill>
            <a:blip xmlns:r="http://schemas.openxmlformats.org/officeDocument/2006/relationships" r:embed="rId3"/>
            <a:srcRect/>
            <a:stretch>
              <a:fillRect/>
            </a:stretch>
          </xdr:blipFill>
          <xdr:spPr bwMode="auto">
            <a:xfrm>
              <a:off x="7667625" y="6524625"/>
              <a:ext cx="63531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199309" name="SigiloPic">
              <a:extLst>
                <a:ext uri="{FF2B5EF4-FFF2-40B4-BE49-F238E27FC236}">
                  <a16:creationId xmlns:a16="http://schemas.microsoft.com/office/drawing/2014/main" id="{00000000-0008-0000-0400-00008D0A0300}"/>
                </a:ext>
              </a:extLst>
            </xdr:cNvPr>
            <xdr:cNvPicPr>
              <a:picLocks noChangeArrowheads="1"/>
              <a:extLst>
                <a:ext uri="{84589F7E-364E-4C9E-8A38-B11213B215E9}">
                  <a14:cameraTool cellRange="PO!$T$1:$T$2" spid="_x0000_s210085"/>
                </a:ext>
              </a:extLst>
            </xdr:cNvPicPr>
          </xdr:nvPicPr>
          <xdr:blipFill>
            <a:blip xmlns:r="http://schemas.openxmlformats.org/officeDocument/2006/relationships" r:embed="rId4"/>
            <a:srcRect/>
            <a:stretch>
              <a:fillRect/>
            </a:stretch>
          </xdr:blipFill>
          <xdr:spPr bwMode="auto">
            <a:xfrm>
              <a:off x="13563600" y="57150"/>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xdr:col>
      <xdr:colOff>28575</xdr:colOff>
      <xdr:row>0</xdr:row>
      <xdr:rowOff>28575</xdr:rowOff>
    </xdr:from>
    <xdr:to>
      <xdr:col>2</xdr:col>
      <xdr:colOff>1104900</xdr:colOff>
      <xdr:row>1</xdr:row>
      <xdr:rowOff>190500</xdr:rowOff>
    </xdr:to>
    <xdr:pic>
      <xdr:nvPicPr>
        <xdr:cNvPr id="2" name="Imagem 13472">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to 125890" hidden="1">
          <a:extLst>
            <a:ext uri="{63B3BB69-23CF-44E3-9099-C40C66FF867C}">
              <a14:compatExt xmlns:a14="http://schemas.microsoft.com/office/drawing/2010/main" spid="_x0000_s193474"/>
            </a:ext>
            <a:ext uri="{FF2B5EF4-FFF2-40B4-BE49-F238E27FC236}">
              <a16:creationId xmlns:a16="http://schemas.microsoft.com/office/drawing/2014/main" id="{00000000-0008-0000-0500-0000C2F3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id="{00000000-0008-0000-05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0477" name="PIC2">
              <a:extLst>
                <a:ext uri="{FF2B5EF4-FFF2-40B4-BE49-F238E27FC236}">
                  <a16:creationId xmlns:a16="http://schemas.microsoft.com/office/drawing/2014/main" id="{00000000-0008-0000-0500-00001D0F0300}"/>
                </a:ext>
              </a:extLst>
            </xdr:cNvPr>
            <xdr:cNvPicPr>
              <a:picLocks noChangeArrowheads="1"/>
              <a:extLst>
                <a:ext uri="{84589F7E-364E-4C9E-8A38-B11213B215E9}">
                  <a14:cameraTool cellRange="DADOS!$A$220:$X$230" spid="_x0000_s209521"/>
                </a:ext>
              </a:extLst>
            </xdr:cNvPicPr>
          </xdr:nvPicPr>
          <xdr:blipFill>
            <a:blip xmlns:r="http://schemas.openxmlformats.org/officeDocument/2006/relationships" r:embed="rId1"/>
            <a:srcRect l="39473"/>
            <a:stretch>
              <a:fillRect/>
            </a:stretch>
          </xdr:blipFill>
          <xdr:spPr bwMode="auto">
            <a:xfrm>
              <a:off x="5619750" y="485775"/>
              <a:ext cx="8382000"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0478" name="PIC1">
              <a:extLst>
                <a:ext uri="{FF2B5EF4-FFF2-40B4-BE49-F238E27FC236}">
                  <a16:creationId xmlns:a16="http://schemas.microsoft.com/office/drawing/2014/main" id="{00000000-0008-0000-0500-00001E0F0300}"/>
                </a:ext>
              </a:extLst>
            </xdr:cNvPr>
            <xdr:cNvPicPr>
              <a:picLocks noChangeArrowheads="1"/>
              <a:extLst>
                <a:ext uri="{84589F7E-364E-4C9E-8A38-B11213B215E9}">
                  <a14:cameraTool cellRange="DADOS!$A$220:$X$230" spid="_x0000_s209522"/>
                </a:ext>
              </a:extLst>
            </xdr:cNvPicPr>
          </xdr:nvPicPr>
          <xdr:blipFill>
            <a:blip xmlns:r="http://schemas.openxmlformats.org/officeDocument/2006/relationships" r:embed="rId2"/>
            <a:srcRect r="60628"/>
            <a:stretch>
              <a:fillRect/>
            </a:stretch>
          </xdr:blipFill>
          <xdr:spPr bwMode="auto">
            <a:xfrm>
              <a:off x="152400" y="485775"/>
              <a:ext cx="5438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46</xdr:row>
          <xdr:rowOff>0</xdr:rowOff>
        </xdr:from>
        <xdr:to>
          <xdr:col>22</xdr:col>
          <xdr:colOff>28575</xdr:colOff>
          <xdr:row>50</xdr:row>
          <xdr:rowOff>142875</xdr:rowOff>
        </xdr:to>
        <xdr:pic>
          <xdr:nvPicPr>
            <xdr:cNvPr id="200479" name="Picture 483">
              <a:extLst>
                <a:ext uri="{FF2B5EF4-FFF2-40B4-BE49-F238E27FC236}">
                  <a16:creationId xmlns:a16="http://schemas.microsoft.com/office/drawing/2014/main" id="{00000000-0008-0000-0500-00001F0F0300}"/>
                </a:ext>
              </a:extLst>
            </xdr:cNvPr>
            <xdr:cNvPicPr>
              <a:picLocks noChangeArrowheads="1"/>
              <a:extLst>
                <a:ext uri="{84589F7E-364E-4C9E-8A38-B11213B215E9}">
                  <a14:cameraTool cellRange="DADOS!$A$53:$K$57" spid="_x0000_s209523"/>
                </a:ext>
              </a:extLst>
            </xdr:cNvPicPr>
          </xdr:nvPicPr>
          <xdr:blipFill>
            <a:blip xmlns:r="http://schemas.openxmlformats.org/officeDocument/2006/relationships" r:embed="rId3"/>
            <a:srcRect/>
            <a:stretch>
              <a:fillRect/>
            </a:stretch>
          </xdr:blipFill>
          <xdr:spPr bwMode="auto">
            <a:xfrm>
              <a:off x="6591300" y="4143375"/>
              <a:ext cx="63912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0480" name="SigiloPic">
              <a:extLst>
                <a:ext uri="{FF2B5EF4-FFF2-40B4-BE49-F238E27FC236}">
                  <a16:creationId xmlns:a16="http://schemas.microsoft.com/office/drawing/2014/main" id="{00000000-0008-0000-0500-0000200F0300}"/>
                </a:ext>
              </a:extLst>
            </xdr:cNvPr>
            <xdr:cNvPicPr>
              <a:picLocks noChangeArrowheads="1"/>
              <a:extLst>
                <a:ext uri="{84589F7E-364E-4C9E-8A38-B11213B215E9}">
                  <a14:cameraTool cellRange="PO!$T$1:$T$2" spid="_x0000_s209524"/>
                </a:ext>
              </a:extLst>
            </xdr:cNvPicPr>
          </xdr:nvPicPr>
          <xdr:blipFill>
            <a:blip xmlns:r="http://schemas.openxmlformats.org/officeDocument/2006/relationships" r:embed="rId4"/>
            <a:srcRect/>
            <a:stretch>
              <a:fillRect/>
            </a:stretch>
          </xdr:blipFill>
          <xdr:spPr bwMode="auto">
            <a:xfrm>
              <a:off x="12820650" y="666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46</xdr:row>
          <xdr:rowOff>0</xdr:rowOff>
        </xdr:from>
        <xdr:to>
          <xdr:col>23</xdr:col>
          <xdr:colOff>0</xdr:colOff>
          <xdr:row>50</xdr:row>
          <xdr:rowOff>142875</xdr:rowOff>
        </xdr:to>
        <xdr:pic>
          <xdr:nvPicPr>
            <xdr:cNvPr id="200481" name="Picture 483">
              <a:extLst>
                <a:ext uri="{FF2B5EF4-FFF2-40B4-BE49-F238E27FC236}">
                  <a16:creationId xmlns:a16="http://schemas.microsoft.com/office/drawing/2014/main" id="{00000000-0008-0000-0500-0000210F0300}"/>
                </a:ext>
              </a:extLst>
            </xdr:cNvPr>
            <xdr:cNvPicPr>
              <a:picLocks noChangeArrowheads="1"/>
              <a:extLst>
                <a:ext uri="{84589F7E-364E-4C9E-8A38-B11213B215E9}">
                  <a14:cameraTool cellRange="DADOS!$A$53:$K$57" spid="_x0000_s209525"/>
                </a:ext>
              </a:extLst>
            </xdr:cNvPicPr>
          </xdr:nvPicPr>
          <xdr:blipFill>
            <a:blip xmlns:r="http://schemas.openxmlformats.org/officeDocument/2006/relationships" r:embed="rId5"/>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482" name="SigiloPic">
              <a:extLst>
                <a:ext uri="{FF2B5EF4-FFF2-40B4-BE49-F238E27FC236}">
                  <a16:creationId xmlns:a16="http://schemas.microsoft.com/office/drawing/2014/main" id="{00000000-0008-0000-0500-0000220F0300}"/>
                </a:ext>
              </a:extLst>
            </xdr:cNvPr>
            <xdr:cNvPicPr>
              <a:picLocks noChangeArrowheads="1"/>
              <a:extLst>
                <a:ext uri="{84589F7E-364E-4C9E-8A38-B11213B215E9}">
                  <a14:cameraTool cellRange="PO!$T$1:$T$2" spid="_x0000_s209526"/>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46</xdr:row>
          <xdr:rowOff>0</xdr:rowOff>
        </xdr:from>
        <xdr:to>
          <xdr:col>23</xdr:col>
          <xdr:colOff>0</xdr:colOff>
          <xdr:row>50</xdr:row>
          <xdr:rowOff>142875</xdr:rowOff>
        </xdr:to>
        <xdr:pic>
          <xdr:nvPicPr>
            <xdr:cNvPr id="200483" name="Picture 483">
              <a:extLst>
                <a:ext uri="{FF2B5EF4-FFF2-40B4-BE49-F238E27FC236}">
                  <a16:creationId xmlns:a16="http://schemas.microsoft.com/office/drawing/2014/main" id="{00000000-0008-0000-0500-0000230F0300}"/>
                </a:ext>
              </a:extLst>
            </xdr:cNvPr>
            <xdr:cNvPicPr>
              <a:picLocks noChangeArrowheads="1"/>
              <a:extLst>
                <a:ext uri="{84589F7E-364E-4C9E-8A38-B11213B215E9}">
                  <a14:cameraTool cellRange="DADOS!$A$53:$K$57" spid="_x0000_s209527"/>
                </a:ext>
              </a:extLst>
            </xdr:cNvPicPr>
          </xdr:nvPicPr>
          <xdr:blipFill>
            <a:blip xmlns:r="http://schemas.openxmlformats.org/officeDocument/2006/relationships" r:embed="rId6"/>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484" name="SigiloPic">
              <a:extLst>
                <a:ext uri="{FF2B5EF4-FFF2-40B4-BE49-F238E27FC236}">
                  <a16:creationId xmlns:a16="http://schemas.microsoft.com/office/drawing/2014/main" id="{00000000-0008-0000-0500-0000240F0300}"/>
                </a:ext>
              </a:extLst>
            </xdr:cNvPr>
            <xdr:cNvPicPr>
              <a:picLocks noChangeArrowheads="1"/>
              <a:extLst>
                <a:ext uri="{84589F7E-364E-4C9E-8A38-B11213B215E9}">
                  <a14:cameraTool cellRange="PO!$T$1:$T$2" spid="_x0000_s209528"/>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46</xdr:row>
          <xdr:rowOff>0</xdr:rowOff>
        </xdr:from>
        <xdr:to>
          <xdr:col>23</xdr:col>
          <xdr:colOff>0</xdr:colOff>
          <xdr:row>50</xdr:row>
          <xdr:rowOff>142875</xdr:rowOff>
        </xdr:to>
        <xdr:pic>
          <xdr:nvPicPr>
            <xdr:cNvPr id="200485" name="Picture 483">
              <a:extLst>
                <a:ext uri="{FF2B5EF4-FFF2-40B4-BE49-F238E27FC236}">
                  <a16:creationId xmlns:a16="http://schemas.microsoft.com/office/drawing/2014/main" id="{00000000-0008-0000-0500-0000250F0300}"/>
                </a:ext>
              </a:extLst>
            </xdr:cNvPr>
            <xdr:cNvPicPr>
              <a:picLocks noChangeArrowheads="1"/>
              <a:extLst>
                <a:ext uri="{84589F7E-364E-4C9E-8A38-B11213B215E9}">
                  <a14:cameraTool cellRange="DADOS!$A$53:$K$57" spid="_x0000_s209529"/>
                </a:ext>
              </a:extLst>
            </xdr:cNvPicPr>
          </xdr:nvPicPr>
          <xdr:blipFill>
            <a:blip xmlns:r="http://schemas.openxmlformats.org/officeDocument/2006/relationships" r:embed="rId6"/>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486" name="SigiloPic">
              <a:extLst>
                <a:ext uri="{FF2B5EF4-FFF2-40B4-BE49-F238E27FC236}">
                  <a16:creationId xmlns:a16="http://schemas.microsoft.com/office/drawing/2014/main" id="{00000000-0008-0000-0500-0000260F0300}"/>
                </a:ext>
              </a:extLst>
            </xdr:cNvPr>
            <xdr:cNvPicPr>
              <a:picLocks noChangeArrowheads="1"/>
              <a:extLst>
                <a:ext uri="{84589F7E-364E-4C9E-8A38-B11213B215E9}">
                  <a14:cameraTool cellRange="PO!$T$1:$T$2" spid="_x0000_s209530"/>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46</xdr:row>
          <xdr:rowOff>0</xdr:rowOff>
        </xdr:from>
        <xdr:to>
          <xdr:col>23</xdr:col>
          <xdr:colOff>0</xdr:colOff>
          <xdr:row>50</xdr:row>
          <xdr:rowOff>142875</xdr:rowOff>
        </xdr:to>
        <xdr:pic>
          <xdr:nvPicPr>
            <xdr:cNvPr id="200487" name="Picture 483">
              <a:extLst>
                <a:ext uri="{FF2B5EF4-FFF2-40B4-BE49-F238E27FC236}">
                  <a16:creationId xmlns:a16="http://schemas.microsoft.com/office/drawing/2014/main" id="{00000000-0008-0000-0500-0000270F0300}"/>
                </a:ext>
              </a:extLst>
            </xdr:cNvPr>
            <xdr:cNvPicPr>
              <a:picLocks noChangeArrowheads="1"/>
              <a:extLst>
                <a:ext uri="{84589F7E-364E-4C9E-8A38-B11213B215E9}">
                  <a14:cameraTool cellRange="DADOS!$A$53:$K$57" spid="_x0000_s209531"/>
                </a:ext>
              </a:extLst>
            </xdr:cNvPicPr>
          </xdr:nvPicPr>
          <xdr:blipFill>
            <a:blip xmlns:r="http://schemas.openxmlformats.org/officeDocument/2006/relationships" r:embed="rId6"/>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488" name="SigiloPic">
              <a:extLst>
                <a:ext uri="{FF2B5EF4-FFF2-40B4-BE49-F238E27FC236}">
                  <a16:creationId xmlns:a16="http://schemas.microsoft.com/office/drawing/2014/main" id="{00000000-0008-0000-0500-0000280F0300}"/>
                </a:ext>
              </a:extLst>
            </xdr:cNvPr>
            <xdr:cNvPicPr>
              <a:picLocks noChangeArrowheads="1"/>
              <a:extLst>
                <a:ext uri="{84589F7E-364E-4C9E-8A38-B11213B215E9}">
                  <a14:cameraTool cellRange="PO!$T$1:$T$2" spid="_x0000_s209532"/>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46</xdr:row>
          <xdr:rowOff>0</xdr:rowOff>
        </xdr:from>
        <xdr:to>
          <xdr:col>23</xdr:col>
          <xdr:colOff>0</xdr:colOff>
          <xdr:row>50</xdr:row>
          <xdr:rowOff>142875</xdr:rowOff>
        </xdr:to>
        <xdr:pic>
          <xdr:nvPicPr>
            <xdr:cNvPr id="200489" name="Picture 483">
              <a:extLst>
                <a:ext uri="{FF2B5EF4-FFF2-40B4-BE49-F238E27FC236}">
                  <a16:creationId xmlns:a16="http://schemas.microsoft.com/office/drawing/2014/main" id="{00000000-0008-0000-0500-0000290F0300}"/>
                </a:ext>
              </a:extLst>
            </xdr:cNvPr>
            <xdr:cNvPicPr>
              <a:picLocks noChangeArrowheads="1"/>
              <a:extLst>
                <a:ext uri="{84589F7E-364E-4C9E-8A38-B11213B215E9}">
                  <a14:cameraTool cellRange="DADOS!$A$53:$K$57" spid="_x0000_s209533"/>
                </a:ext>
              </a:extLst>
            </xdr:cNvPicPr>
          </xdr:nvPicPr>
          <xdr:blipFill>
            <a:blip xmlns:r="http://schemas.openxmlformats.org/officeDocument/2006/relationships" r:embed="rId6"/>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490" name="SigiloPic">
              <a:extLst>
                <a:ext uri="{FF2B5EF4-FFF2-40B4-BE49-F238E27FC236}">
                  <a16:creationId xmlns:a16="http://schemas.microsoft.com/office/drawing/2014/main" id="{00000000-0008-0000-0500-00002A0F0300}"/>
                </a:ext>
              </a:extLst>
            </xdr:cNvPr>
            <xdr:cNvPicPr>
              <a:picLocks noChangeArrowheads="1"/>
              <a:extLst>
                <a:ext uri="{84589F7E-364E-4C9E-8A38-B11213B215E9}">
                  <a14:cameraTool cellRange="PO!$T$1:$T$2" spid="_x0000_s209534"/>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11</xdr:col>
      <xdr:colOff>57150</xdr:colOff>
      <xdr:row>0</xdr:row>
      <xdr:rowOff>38100</xdr:rowOff>
    </xdr:from>
    <xdr:to>
      <xdr:col>12</xdr:col>
      <xdr:colOff>1133475</xdr:colOff>
      <xdr:row>2</xdr:row>
      <xdr:rowOff>95250</xdr:rowOff>
    </xdr:to>
    <xdr:pic>
      <xdr:nvPicPr>
        <xdr:cNvPr id="2" name="Imagem 125890">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FFC000"/>
    <pageSetUpPr fitToPage="1"/>
  </sheetPr>
  <dimension ref="A1:Y257"/>
  <sheetViews>
    <sheetView showGridLines="0" zoomScaleNormal="100" zoomScaleSheetLayoutView="100" workbookViewId="0">
      <selection activeCell="B52" sqref="B52"/>
    </sheetView>
  </sheetViews>
  <sheetFormatPr defaultRowHeight="12.75" x14ac:dyDescent="0.2"/>
  <cols>
    <col min="1" max="2" width="8.7109375" style="8" customWidth="1"/>
    <col min="3" max="5" width="8.7109375" style="1" customWidth="1"/>
    <col min="6" max="8" width="8.7109375" style="7" customWidth="1"/>
    <col min="9" max="24" width="8.7109375" style="1" customWidth="1"/>
    <col min="25" max="16384" width="9.140625" style="1"/>
  </cols>
  <sheetData>
    <row r="1" spans="1:25" ht="12.75" customHeight="1" x14ac:dyDescent="0.2">
      <c r="A1" s="103">
        <v>27476</v>
      </c>
      <c r="B1" s="290" t="s">
        <v>2</v>
      </c>
      <c r="C1" s="290"/>
      <c r="D1" s="290"/>
      <c r="E1" s="290"/>
      <c r="F1" s="290"/>
      <c r="G1" s="290"/>
      <c r="H1" s="290"/>
      <c r="I1" s="290"/>
      <c r="J1" s="290"/>
      <c r="K1" s="290"/>
      <c r="L1" s="290"/>
      <c r="M1" s="290"/>
      <c r="N1" s="290"/>
      <c r="O1" s="290"/>
      <c r="P1" s="290"/>
      <c r="Q1" s="290"/>
      <c r="R1" s="290"/>
      <c r="S1" s="290"/>
      <c r="T1" s="290"/>
      <c r="U1" s="290"/>
      <c r="V1" s="290"/>
      <c r="W1" s="290"/>
      <c r="X1" s="291"/>
    </row>
    <row r="2" spans="1:25" ht="13.5" customHeight="1" x14ac:dyDescent="0.2">
      <c r="A2" s="105" t="s">
        <v>228</v>
      </c>
      <c r="B2" s="292"/>
      <c r="C2" s="292"/>
      <c r="D2" s="292"/>
      <c r="E2" s="292"/>
      <c r="F2" s="292"/>
      <c r="G2" s="292"/>
      <c r="H2" s="292"/>
      <c r="I2" s="292"/>
      <c r="J2" s="292"/>
      <c r="K2" s="292"/>
      <c r="L2" s="292"/>
      <c r="M2" s="292"/>
      <c r="N2" s="292"/>
      <c r="O2" s="292"/>
      <c r="P2" s="292"/>
      <c r="Q2" s="292"/>
      <c r="R2" s="292"/>
      <c r="S2" s="292"/>
      <c r="T2" s="292"/>
      <c r="U2" s="292"/>
      <c r="V2" s="292"/>
      <c r="W2" s="292"/>
      <c r="X2" s="293"/>
    </row>
    <row r="3" spans="1:25" ht="13.5" customHeight="1" x14ac:dyDescent="0.2">
      <c r="A3" s="1"/>
      <c r="B3" s="1"/>
      <c r="F3" s="1"/>
      <c r="G3" s="1"/>
      <c r="H3" s="1"/>
    </row>
    <row r="4" spans="1:25" s="21" customFormat="1" ht="12.75" customHeight="1" x14ac:dyDescent="0.2">
      <c r="A4" s="303" t="s">
        <v>168</v>
      </c>
      <c r="B4" s="303"/>
      <c r="C4" s="303"/>
      <c r="D4" s="303"/>
      <c r="E4" s="303"/>
      <c r="F4" s="303"/>
      <c r="G4" s="303"/>
      <c r="H4" s="303"/>
      <c r="I4" s="303"/>
      <c r="J4" s="303"/>
      <c r="K4" s="303"/>
      <c r="L4" s="303"/>
      <c r="M4" s="303"/>
      <c r="N4" s="303"/>
      <c r="O4" s="303"/>
      <c r="P4" s="303"/>
      <c r="Q4" s="303"/>
      <c r="R4" s="303"/>
      <c r="S4" s="303"/>
      <c r="T4" s="303"/>
      <c r="U4" s="303"/>
      <c r="V4" s="303"/>
      <c r="W4" s="303"/>
      <c r="X4" s="303"/>
    </row>
    <row r="5" spans="1:25" s="21" customFormat="1" x14ac:dyDescent="0.2">
      <c r="A5" s="22"/>
      <c r="B5" s="22"/>
      <c r="F5" s="23"/>
      <c r="G5" s="23"/>
      <c r="H5" s="23"/>
    </row>
    <row r="6" spans="1:25" s="22" customFormat="1" ht="24.95" customHeight="1" x14ac:dyDescent="0.2">
      <c r="A6" s="304" t="s">
        <v>179</v>
      </c>
      <c r="B6" s="305"/>
      <c r="C6" s="305"/>
      <c r="D6" s="305"/>
      <c r="E6" s="305"/>
      <c r="F6" s="305"/>
      <c r="G6" s="305"/>
      <c r="H6" s="305"/>
      <c r="I6" s="305"/>
      <c r="J6" s="305"/>
      <c r="K6" s="305"/>
      <c r="L6" s="305"/>
      <c r="M6" s="305"/>
      <c r="N6" s="305"/>
      <c r="O6" s="305"/>
      <c r="P6" s="305"/>
      <c r="Q6" s="305"/>
      <c r="R6" s="305"/>
      <c r="S6" s="305"/>
      <c r="T6" s="305"/>
      <c r="U6" s="305"/>
      <c r="V6" s="305"/>
      <c r="W6" s="305"/>
      <c r="X6" s="305"/>
    </row>
    <row r="7" spans="1:25" s="21" customFormat="1" ht="12.75" customHeight="1" x14ac:dyDescent="0.2">
      <c r="A7" s="22"/>
      <c r="B7" s="22"/>
      <c r="F7" s="23"/>
      <c r="G7" s="23"/>
      <c r="H7" s="23"/>
    </row>
    <row r="8" spans="1:25" s="21" customFormat="1" ht="12.75" customHeight="1" x14ac:dyDescent="0.2">
      <c r="A8" s="306" t="s">
        <v>23</v>
      </c>
      <c r="B8" s="306"/>
      <c r="C8" s="306"/>
      <c r="D8" s="306"/>
      <c r="E8" s="306"/>
      <c r="F8" s="306"/>
      <c r="G8" s="306"/>
      <c r="H8" s="306"/>
      <c r="I8" s="306"/>
      <c r="J8" s="306"/>
      <c r="K8" s="306"/>
      <c r="L8" s="306"/>
      <c r="M8" s="306"/>
      <c r="N8" s="306"/>
      <c r="O8" s="306"/>
      <c r="P8" s="306"/>
      <c r="Q8" s="306"/>
      <c r="R8" s="306"/>
      <c r="S8" s="306"/>
      <c r="T8" s="306"/>
      <c r="U8" s="306"/>
      <c r="V8" s="306"/>
      <c r="W8" s="306"/>
      <c r="X8" s="306"/>
      <c r="Y8" s="24"/>
    </row>
    <row r="9" spans="1:25" s="21" customFormat="1" ht="6" customHeight="1" x14ac:dyDescent="0.2">
      <c r="A9" s="48"/>
      <c r="B9" s="48"/>
      <c r="C9" s="48"/>
      <c r="D9" s="48"/>
      <c r="E9" s="48"/>
      <c r="F9" s="48"/>
      <c r="G9" s="48"/>
      <c r="H9" s="48"/>
      <c r="I9" s="48"/>
      <c r="J9" s="48"/>
      <c r="K9" s="48"/>
      <c r="L9" s="48"/>
      <c r="M9" s="48"/>
      <c r="N9" s="48"/>
      <c r="O9" s="48"/>
      <c r="P9" s="48"/>
      <c r="Q9" s="48"/>
      <c r="R9" s="48"/>
      <c r="S9" s="48"/>
      <c r="T9" s="48"/>
      <c r="U9" s="48"/>
      <c r="V9" s="48"/>
      <c r="W9" s="48"/>
      <c r="X9" s="48"/>
      <c r="Y9" s="24"/>
    </row>
    <row r="10" spans="1:25" s="21" customFormat="1" ht="12.75" customHeight="1" x14ac:dyDescent="0.2">
      <c r="A10" s="308" t="s">
        <v>169</v>
      </c>
      <c r="B10" s="308"/>
      <c r="C10" s="308"/>
      <c r="D10" s="308"/>
      <c r="E10" s="308"/>
      <c r="F10" s="308"/>
      <c r="G10" s="308"/>
      <c r="H10" s="308"/>
      <c r="I10" s="308"/>
      <c r="J10" s="308"/>
      <c r="K10" s="308"/>
      <c r="L10" s="308"/>
      <c r="M10" s="308"/>
      <c r="N10" s="308"/>
      <c r="O10" s="308"/>
      <c r="P10" s="308"/>
      <c r="Q10" s="308"/>
      <c r="R10" s="308"/>
      <c r="S10" s="308"/>
      <c r="T10" s="308"/>
      <c r="U10" s="308"/>
      <c r="V10" s="308"/>
      <c r="W10" s="308"/>
      <c r="X10" s="308"/>
    </row>
    <row r="11" spans="1:25" s="21" customFormat="1" ht="6" customHeight="1" x14ac:dyDescent="0.2">
      <c r="A11" s="49"/>
      <c r="B11" s="49"/>
      <c r="C11" s="49"/>
      <c r="D11" s="49"/>
      <c r="E11" s="49"/>
      <c r="F11" s="49"/>
      <c r="G11" s="49"/>
      <c r="H11" s="49"/>
      <c r="I11" s="49"/>
      <c r="J11" s="49"/>
      <c r="K11" s="49"/>
      <c r="L11" s="49"/>
      <c r="M11" s="49"/>
      <c r="N11" s="49"/>
      <c r="O11" s="49"/>
      <c r="P11" s="49"/>
      <c r="Q11" s="49"/>
      <c r="R11" s="49"/>
      <c r="S11" s="49"/>
      <c r="T11" s="49"/>
      <c r="U11" s="49"/>
      <c r="V11" s="49"/>
      <c r="W11" s="49"/>
      <c r="X11" s="49"/>
    </row>
    <row r="12" spans="1:25" s="21" customFormat="1" ht="24.95" customHeight="1" x14ac:dyDescent="0.2">
      <c r="A12" s="308" t="s">
        <v>1</v>
      </c>
      <c r="B12" s="308"/>
      <c r="C12" s="308"/>
      <c r="D12" s="308"/>
      <c r="E12" s="308"/>
      <c r="F12" s="308"/>
      <c r="G12" s="308"/>
      <c r="H12" s="308"/>
      <c r="I12" s="308"/>
      <c r="J12" s="308"/>
      <c r="K12" s="308"/>
      <c r="L12" s="308"/>
      <c r="M12" s="308"/>
      <c r="N12" s="308"/>
      <c r="O12" s="308"/>
      <c r="P12" s="308"/>
      <c r="Q12" s="308"/>
      <c r="R12" s="308"/>
      <c r="S12" s="308"/>
      <c r="T12" s="308"/>
      <c r="U12" s="308"/>
      <c r="V12" s="308"/>
      <c r="W12" s="308"/>
      <c r="X12" s="308"/>
    </row>
    <row r="13" spans="1:25" s="21" customFormat="1" x14ac:dyDescent="0.2">
      <c r="A13" s="22"/>
      <c r="B13" s="22"/>
      <c r="F13" s="23"/>
      <c r="G13" s="23"/>
      <c r="H13" s="23"/>
    </row>
    <row r="14" spans="1:25" s="21" customFormat="1" x14ac:dyDescent="0.2">
      <c r="A14" s="307" t="s">
        <v>24</v>
      </c>
      <c r="B14" s="306"/>
      <c r="C14" s="306"/>
      <c r="D14" s="306"/>
      <c r="E14" s="306"/>
      <c r="F14" s="306"/>
      <c r="G14" s="306"/>
      <c r="H14" s="306"/>
      <c r="I14" s="306"/>
      <c r="J14" s="306"/>
      <c r="K14" s="306"/>
      <c r="L14" s="306"/>
      <c r="M14" s="306"/>
      <c r="N14" s="306"/>
      <c r="O14" s="306"/>
      <c r="P14" s="306"/>
      <c r="Q14" s="306"/>
      <c r="R14" s="306"/>
      <c r="S14" s="306"/>
      <c r="T14" s="306"/>
      <c r="U14" s="306"/>
      <c r="V14" s="306"/>
      <c r="W14" s="306"/>
      <c r="X14" s="306"/>
    </row>
    <row r="15" spans="1:25" s="21" customFormat="1" x14ac:dyDescent="0.2">
      <c r="A15" s="22"/>
      <c r="B15" s="22"/>
      <c r="F15" s="23"/>
      <c r="G15" s="23"/>
      <c r="H15" s="23"/>
    </row>
    <row r="16" spans="1:25" s="21" customFormat="1" x14ac:dyDescent="0.2">
      <c r="A16" s="313" t="s">
        <v>186</v>
      </c>
      <c r="B16" s="314"/>
      <c r="C16" s="314"/>
      <c r="D16" s="314"/>
      <c r="E16" s="314"/>
      <c r="F16" s="314"/>
      <c r="G16" s="314"/>
      <c r="H16" s="314"/>
      <c r="I16" s="314"/>
      <c r="J16" s="314"/>
      <c r="K16" s="314"/>
      <c r="L16" s="314"/>
      <c r="M16" s="314"/>
      <c r="N16" s="314"/>
      <c r="O16" s="314"/>
      <c r="P16" s="314"/>
      <c r="Q16" s="314"/>
      <c r="R16" s="314"/>
      <c r="S16" s="314"/>
      <c r="T16" s="314"/>
      <c r="U16" s="314"/>
      <c r="V16" s="314"/>
      <c r="W16" s="314"/>
      <c r="X16" s="314"/>
    </row>
    <row r="17" spans="1:25" s="21" customFormat="1" ht="6" customHeight="1" x14ac:dyDescent="0.2">
      <c r="A17" s="48"/>
      <c r="B17" s="48"/>
      <c r="C17" s="48"/>
      <c r="D17" s="48"/>
      <c r="E17" s="48"/>
      <c r="F17" s="48"/>
      <c r="G17" s="48"/>
      <c r="H17" s="48"/>
      <c r="I17" s="48"/>
      <c r="J17" s="48"/>
      <c r="K17" s="48"/>
      <c r="L17" s="48"/>
      <c r="M17" s="48"/>
      <c r="N17" s="48"/>
      <c r="O17" s="48"/>
      <c r="P17" s="48"/>
      <c r="Q17" s="48"/>
      <c r="R17" s="48"/>
      <c r="S17" s="48"/>
      <c r="T17" s="48"/>
      <c r="U17" s="48"/>
      <c r="V17" s="48"/>
      <c r="W17" s="48"/>
      <c r="X17" s="48"/>
    </row>
    <row r="18" spans="1:25" s="21" customFormat="1" x14ac:dyDescent="0.2">
      <c r="A18" s="285" t="s">
        <v>187</v>
      </c>
      <c r="B18" s="285"/>
      <c r="C18" s="286"/>
      <c r="D18" s="286"/>
      <c r="E18" s="286"/>
      <c r="F18" s="286"/>
      <c r="G18" s="286"/>
      <c r="H18" s="286"/>
      <c r="I18" s="286"/>
      <c r="J18" s="286"/>
      <c r="K18" s="286"/>
      <c r="L18" s="286"/>
      <c r="M18" s="286"/>
      <c r="N18" s="286"/>
      <c r="O18" s="286"/>
      <c r="P18" s="286"/>
      <c r="Q18" s="286"/>
      <c r="R18" s="286"/>
      <c r="S18" s="286"/>
      <c r="T18" s="286"/>
      <c r="U18" s="286"/>
      <c r="V18" s="286"/>
      <c r="W18" s="286"/>
      <c r="X18" s="286"/>
    </row>
    <row r="19" spans="1:25" s="21" customFormat="1" x14ac:dyDescent="0.2">
      <c r="A19" s="22"/>
      <c r="B19" s="22"/>
      <c r="F19" s="23"/>
      <c r="G19" s="23"/>
      <c r="H19" s="23"/>
    </row>
    <row r="20" spans="1:25" s="21" customFormat="1" x14ac:dyDescent="0.2">
      <c r="A20" s="22"/>
      <c r="B20" s="22"/>
      <c r="F20" s="23"/>
      <c r="G20" s="23"/>
      <c r="H20" s="23"/>
    </row>
    <row r="21" spans="1:25" s="21" customFormat="1" x14ac:dyDescent="0.2">
      <c r="B21" s="22"/>
      <c r="F21" s="23"/>
      <c r="G21" s="23"/>
      <c r="H21" s="23"/>
    </row>
    <row r="22" spans="1:25" s="21" customFormat="1" ht="12.75" customHeight="1" x14ac:dyDescent="0.2">
      <c r="A22" s="313" t="s">
        <v>189</v>
      </c>
      <c r="B22" s="314"/>
      <c r="C22" s="314"/>
      <c r="D22" s="314"/>
      <c r="E22" s="314"/>
      <c r="F22" s="314"/>
      <c r="G22" s="314"/>
      <c r="H22" s="314"/>
      <c r="I22" s="314"/>
      <c r="J22" s="223"/>
      <c r="K22" s="223"/>
      <c r="L22" s="223"/>
      <c r="M22" s="223"/>
      <c r="N22" s="223"/>
      <c r="O22" s="223"/>
      <c r="P22" s="223"/>
      <c r="Q22" s="223"/>
      <c r="R22" s="223"/>
      <c r="S22" s="223"/>
      <c r="T22" s="223"/>
      <c r="U22" s="223"/>
      <c r="V22" s="223"/>
      <c r="W22" s="223"/>
      <c r="X22" s="223"/>
      <c r="Y22" s="223"/>
    </row>
    <row r="23" spans="1:25" s="21" customFormat="1" ht="6" customHeight="1" x14ac:dyDescent="0.2">
      <c r="A23" s="48"/>
    </row>
    <row r="24" spans="1:25" s="21" customFormat="1" ht="12.75" customHeight="1" x14ac:dyDescent="0.2">
      <c r="A24" s="285" t="s">
        <v>190</v>
      </c>
      <c r="B24" s="285"/>
      <c r="C24" s="286"/>
      <c r="D24" s="286"/>
      <c r="E24" s="286"/>
      <c r="F24" s="286"/>
      <c r="G24" s="286"/>
      <c r="H24" s="286"/>
      <c r="I24" s="286"/>
      <c r="J24" s="286"/>
      <c r="K24" s="286"/>
      <c r="L24" s="286"/>
      <c r="M24" s="286"/>
      <c r="N24" s="286"/>
      <c r="O24" s="286"/>
      <c r="P24" s="286"/>
      <c r="Q24" s="286"/>
      <c r="R24" s="286"/>
      <c r="S24" s="286"/>
      <c r="T24" s="286"/>
      <c r="U24" s="286"/>
      <c r="V24" s="286"/>
      <c r="W24" s="286"/>
      <c r="X24" s="286"/>
    </row>
    <row r="25" spans="1:25" s="21" customFormat="1" ht="6" customHeight="1" x14ac:dyDescent="0.2">
      <c r="A25" s="50"/>
      <c r="B25" s="50"/>
      <c r="C25" s="51"/>
      <c r="D25" s="51"/>
      <c r="E25" s="51"/>
      <c r="F25" s="51"/>
      <c r="G25" s="51"/>
      <c r="H25" s="51"/>
      <c r="I25" s="51"/>
      <c r="J25" s="51"/>
      <c r="K25" s="51"/>
      <c r="L25" s="51"/>
      <c r="M25" s="51"/>
      <c r="N25" s="51"/>
      <c r="O25" s="51"/>
      <c r="P25" s="51"/>
      <c r="Q25" s="51"/>
      <c r="R25" s="51"/>
      <c r="S25" s="51"/>
      <c r="T25" s="51"/>
      <c r="U25" s="51"/>
      <c r="V25" s="51"/>
      <c r="W25" s="51"/>
      <c r="X25" s="51"/>
    </row>
    <row r="26" spans="1:25" s="21" customFormat="1" ht="12.75" customHeight="1" x14ac:dyDescent="0.2">
      <c r="A26" s="252" t="s">
        <v>191</v>
      </c>
      <c r="B26" s="252"/>
      <c r="C26" s="253"/>
      <c r="D26" s="253"/>
      <c r="E26" s="253"/>
      <c r="F26" s="253"/>
      <c r="G26" s="253"/>
      <c r="H26" s="253"/>
      <c r="I26" s="253"/>
      <c r="J26" s="253"/>
      <c r="K26" s="253"/>
      <c r="L26" s="253"/>
      <c r="M26" s="253"/>
      <c r="N26" s="253"/>
      <c r="O26" s="253"/>
      <c r="P26" s="253"/>
      <c r="Q26" s="253"/>
      <c r="R26" s="253"/>
      <c r="S26" s="253"/>
      <c r="T26" s="253"/>
      <c r="U26" s="253"/>
      <c r="V26" s="253"/>
      <c r="W26" s="253"/>
      <c r="X26" s="253"/>
    </row>
    <row r="27" spans="1:25" s="21" customFormat="1" ht="6" customHeight="1" x14ac:dyDescent="0.2">
      <c r="A27" s="25"/>
      <c r="B27" s="25"/>
      <c r="F27" s="23"/>
      <c r="G27" s="23"/>
      <c r="H27" s="23"/>
    </row>
    <row r="28" spans="1:25" ht="12.75" customHeight="1" x14ac:dyDescent="0.2">
      <c r="A28" s="241" t="s">
        <v>177</v>
      </c>
      <c r="B28" s="243"/>
      <c r="C28" s="241" t="s">
        <v>170</v>
      </c>
      <c r="D28" s="242"/>
      <c r="E28" s="243"/>
      <c r="F28" s="241" t="s">
        <v>171</v>
      </c>
      <c r="G28" s="242"/>
      <c r="H28" s="242"/>
      <c r="I28" s="243"/>
      <c r="J28" s="241" t="s">
        <v>172</v>
      </c>
      <c r="K28" s="242"/>
      <c r="L28" s="242"/>
      <c r="M28" s="242"/>
      <c r="N28" s="242"/>
      <c r="O28" s="243"/>
      <c r="P28" s="241" t="s">
        <v>0</v>
      </c>
      <c r="Q28" s="242"/>
      <c r="R28" s="242"/>
      <c r="S28" s="242"/>
      <c r="T28" s="242"/>
      <c r="U28" s="242"/>
      <c r="V28" s="242"/>
      <c r="W28" s="242"/>
      <c r="X28" s="243"/>
    </row>
    <row r="29" spans="1:25" ht="12.75" customHeight="1" x14ac:dyDescent="0.2">
      <c r="A29" s="244"/>
      <c r="B29" s="248"/>
      <c r="C29" s="244"/>
      <c r="D29" s="245"/>
      <c r="E29" s="246"/>
      <c r="F29" s="244"/>
      <c r="G29" s="247"/>
      <c r="H29" s="247"/>
      <c r="I29" s="248"/>
      <c r="J29" s="244"/>
      <c r="K29" s="247"/>
      <c r="L29" s="247"/>
      <c r="M29" s="247"/>
      <c r="N29" s="247"/>
      <c r="O29" s="248"/>
      <c r="P29" s="244" t="s">
        <v>239</v>
      </c>
      <c r="Q29" s="247"/>
      <c r="R29" s="247"/>
      <c r="S29" s="247"/>
      <c r="T29" s="247"/>
      <c r="U29" s="247"/>
      <c r="V29" s="247"/>
      <c r="W29" s="247"/>
      <c r="X29" s="248"/>
    </row>
    <row r="30" spans="1:25" ht="6" customHeight="1" x14ac:dyDescent="0.2">
      <c r="A30" s="3"/>
      <c r="B30" s="3"/>
      <c r="C30" s="3"/>
      <c r="D30" s="3"/>
      <c r="E30" s="3"/>
      <c r="F30" s="3"/>
      <c r="G30" s="3"/>
      <c r="H30" s="3"/>
      <c r="I30" s="3"/>
      <c r="J30" s="3"/>
      <c r="K30" s="3"/>
      <c r="L30" s="3"/>
      <c r="M30" s="3"/>
      <c r="N30" s="3"/>
      <c r="O30" s="3"/>
      <c r="P30" s="3"/>
      <c r="Q30" s="3"/>
      <c r="R30" s="3"/>
      <c r="S30" s="3"/>
      <c r="T30" s="3"/>
      <c r="U30" s="3"/>
      <c r="V30" s="3"/>
    </row>
    <row r="31" spans="1:25" x14ac:dyDescent="0.2">
      <c r="A31" s="241" t="s">
        <v>173</v>
      </c>
      <c r="B31" s="242"/>
      <c r="C31" s="242"/>
      <c r="D31" s="242"/>
      <c r="E31" s="242"/>
      <c r="F31" s="243"/>
      <c r="G31" s="241" t="s">
        <v>174</v>
      </c>
      <c r="H31" s="242"/>
      <c r="I31" s="242"/>
      <c r="J31" s="243"/>
      <c r="K31" s="241" t="s">
        <v>175</v>
      </c>
      <c r="L31" s="242"/>
      <c r="M31" s="242"/>
      <c r="N31" s="242"/>
      <c r="O31" s="242"/>
      <c r="P31" s="243"/>
      <c r="Q31" s="241" t="s">
        <v>180</v>
      </c>
      <c r="R31" s="242"/>
      <c r="S31" s="242"/>
      <c r="T31" s="242"/>
      <c r="U31" s="242"/>
      <c r="V31" s="242"/>
      <c r="W31" s="242"/>
      <c r="X31" s="243"/>
    </row>
    <row r="32" spans="1:25" x14ac:dyDescent="0.2">
      <c r="A32" s="249" t="s">
        <v>229</v>
      </c>
      <c r="B32" s="250"/>
      <c r="C32" s="250"/>
      <c r="D32" s="250"/>
      <c r="E32" s="250"/>
      <c r="F32" s="251"/>
      <c r="G32" s="244" t="s">
        <v>230</v>
      </c>
      <c r="H32" s="245"/>
      <c r="I32" s="245"/>
      <c r="J32" s="246"/>
      <c r="K32" s="244" t="s">
        <v>237</v>
      </c>
      <c r="L32" s="247"/>
      <c r="M32" s="247"/>
      <c r="N32" s="247"/>
      <c r="O32" s="247"/>
      <c r="P32" s="248"/>
      <c r="Q32" s="244" t="s">
        <v>239</v>
      </c>
      <c r="R32" s="247"/>
      <c r="S32" s="247"/>
      <c r="T32" s="247"/>
      <c r="U32" s="247"/>
      <c r="V32" s="247"/>
      <c r="W32" s="247"/>
      <c r="X32" s="248"/>
    </row>
    <row r="33" spans="1:24" s="21" customFormat="1" ht="9" customHeight="1" x14ac:dyDescent="0.2">
      <c r="A33" s="22"/>
      <c r="B33" s="22"/>
      <c r="F33" s="23"/>
      <c r="G33" s="23"/>
      <c r="H33" s="23"/>
    </row>
    <row r="34" spans="1:24" s="27" customFormat="1" x14ac:dyDescent="0.2"/>
    <row r="35" spans="1:24" s="21" customFormat="1" ht="12.75" customHeight="1" x14ac:dyDescent="0.2">
      <c r="A35" s="252" t="s">
        <v>192</v>
      </c>
      <c r="B35" s="252"/>
      <c r="C35" s="253"/>
      <c r="D35" s="253"/>
      <c r="E35" s="253"/>
      <c r="F35" s="253"/>
      <c r="G35" s="253"/>
      <c r="H35" s="253"/>
      <c r="I35" s="253"/>
      <c r="J35" s="253"/>
      <c r="K35" s="253"/>
      <c r="L35" s="253"/>
      <c r="M35" s="253"/>
      <c r="N35" s="253"/>
      <c r="O35" s="253"/>
      <c r="P35" s="253"/>
      <c r="Q35" s="253"/>
      <c r="R35" s="253"/>
      <c r="S35" s="253"/>
      <c r="T35" s="253"/>
      <c r="U35" s="253"/>
      <c r="V35" s="253"/>
      <c r="W35" s="253"/>
      <c r="X35" s="253"/>
    </row>
    <row r="36" spans="1:24" s="21" customFormat="1" ht="6" customHeight="1" x14ac:dyDescent="0.2">
      <c r="A36" s="26"/>
      <c r="B36" s="26"/>
      <c r="C36" s="32"/>
      <c r="D36" s="32"/>
      <c r="E36" s="32"/>
      <c r="F36" s="32"/>
      <c r="G36" s="32"/>
      <c r="H36" s="32"/>
      <c r="I36" s="32"/>
      <c r="J36" s="32"/>
      <c r="K36" s="32"/>
      <c r="L36" s="32"/>
      <c r="M36" s="32"/>
      <c r="N36" s="32"/>
      <c r="O36" s="32"/>
      <c r="P36" s="32"/>
      <c r="Q36" s="32"/>
      <c r="R36" s="32"/>
      <c r="S36" s="32"/>
      <c r="T36" s="32"/>
      <c r="U36" s="32"/>
      <c r="V36" s="32"/>
      <c r="W36" s="32"/>
      <c r="X36" s="32"/>
    </row>
    <row r="37" spans="1:24" s="21" customFormat="1" ht="12.75" customHeight="1" x14ac:dyDescent="0.2">
      <c r="A37" s="241" t="s">
        <v>16</v>
      </c>
      <c r="B37" s="243"/>
      <c r="C37" s="92" t="s">
        <v>91</v>
      </c>
      <c r="D37" s="241" t="s">
        <v>14</v>
      </c>
      <c r="E37" s="242"/>
      <c r="F37" s="243"/>
      <c r="G37" s="241" t="s">
        <v>12</v>
      </c>
      <c r="H37" s="242"/>
      <c r="I37" s="242"/>
      <c r="J37" s="242"/>
      <c r="K37" s="242"/>
      <c r="L37" s="242"/>
      <c r="M37" s="242"/>
      <c r="N37" s="242"/>
      <c r="O37" s="242"/>
      <c r="P37" s="242"/>
      <c r="Q37" s="242"/>
      <c r="R37" s="242"/>
      <c r="S37" s="243"/>
      <c r="T37" s="93" t="s">
        <v>7</v>
      </c>
      <c r="U37" s="93" t="s">
        <v>8</v>
      </c>
      <c r="V37" s="93" t="s">
        <v>9</v>
      </c>
      <c r="W37" s="93" t="s">
        <v>10</v>
      </c>
      <c r="X37" s="93" t="s">
        <v>11</v>
      </c>
    </row>
    <row r="38" spans="1:24" s="21" customFormat="1" ht="12.75" customHeight="1" x14ac:dyDescent="0.2">
      <c r="A38" s="276">
        <v>45323</v>
      </c>
      <c r="B38" s="277"/>
      <c r="C38" s="91" t="s">
        <v>235</v>
      </c>
      <c r="D38" s="244" t="s">
        <v>69</v>
      </c>
      <c r="E38" s="245"/>
      <c r="F38" s="246"/>
      <c r="G38" s="244" t="s">
        <v>240</v>
      </c>
      <c r="H38" s="245"/>
      <c r="I38" s="245"/>
      <c r="J38" s="245"/>
      <c r="K38" s="245"/>
      <c r="L38" s="245"/>
      <c r="M38" s="245"/>
      <c r="N38" s="245"/>
      <c r="O38" s="245"/>
      <c r="P38" s="245"/>
      <c r="Q38" s="245"/>
      <c r="R38" s="245"/>
      <c r="S38" s="246"/>
      <c r="T38" s="95">
        <f ca="1">IF(ISERROR(INDIRECT("'BDI ("&amp;RIGHT(T37,1)&amp;")'!N27")),"",INDIRECT("'BDI ("&amp;RIGHT(T37,1)&amp;")'!N27"))</f>
        <v>0.21</v>
      </c>
      <c r="U38" s="96">
        <f ca="1">IF(ISERROR(INDIRECT("'BDI ("&amp;RIGHT(U37,1)&amp;")'!N27")),"",INDIRECT("'BDI ("&amp;RIGHT(U37,1)&amp;")'!N27"))</f>
        <v>0</v>
      </c>
      <c r="V38" s="96" t="str">
        <f ca="1">IF(ISERROR(INDIRECT("'BDI ("&amp;RIGHT(V37,1)&amp;")'!N27")),"",INDIRECT("'BDI ("&amp;RIGHT(V37,1)&amp;")'!N27"))</f>
        <v/>
      </c>
      <c r="W38" s="96" t="str">
        <f ca="1">IF(ISERROR(INDIRECT("'BDI ("&amp;RIGHT(W37,1)&amp;")'!N27")),"",INDIRECT("'BDI ("&amp;RIGHT(W37,1)&amp;")'!N27"))</f>
        <v/>
      </c>
      <c r="X38" s="96" t="str">
        <f ca="1">IF(ISERROR(INDIRECT("'BDI ("&amp;RIGHT(X37,1)&amp;")'!N27")),"",INDIRECT("'BDI ("&amp;RIGHT(X37,1)&amp;")'!N27"))</f>
        <v/>
      </c>
    </row>
    <row r="39" spans="1:24" s="21" customFormat="1" ht="11.25" customHeight="1" x14ac:dyDescent="0.2">
      <c r="A39" s="26"/>
      <c r="B39" s="26"/>
      <c r="C39" s="32"/>
      <c r="D39" s="32"/>
      <c r="E39" s="32"/>
      <c r="F39" s="32"/>
      <c r="G39" s="32"/>
      <c r="H39" s="32"/>
      <c r="I39" s="32"/>
      <c r="J39" s="32"/>
      <c r="K39" s="32"/>
      <c r="L39" s="32"/>
      <c r="M39" s="32"/>
      <c r="N39" s="32"/>
      <c r="O39" s="32"/>
      <c r="P39" s="32"/>
      <c r="Q39" s="32"/>
      <c r="R39" s="32"/>
      <c r="S39" s="32"/>
      <c r="T39" s="32"/>
      <c r="U39" s="32"/>
      <c r="V39" s="32"/>
      <c r="W39" s="32"/>
      <c r="X39" s="32"/>
    </row>
    <row r="40" spans="1:24" s="21" customFormat="1" ht="12.75" customHeight="1" x14ac:dyDescent="0.2">
      <c r="A40" s="252" t="s">
        <v>162</v>
      </c>
      <c r="B40" s="252"/>
      <c r="C40" s="253"/>
      <c r="D40" s="253"/>
      <c r="E40" s="253"/>
      <c r="F40" s="253"/>
      <c r="G40" s="253"/>
      <c r="H40" s="253"/>
      <c r="I40" s="253"/>
      <c r="J40" s="253"/>
      <c r="K40" s="253"/>
      <c r="L40" s="253"/>
      <c r="M40" s="253"/>
      <c r="N40" s="253"/>
      <c r="O40" s="253"/>
      <c r="P40" s="253"/>
      <c r="Q40" s="253"/>
      <c r="R40" s="253"/>
      <c r="S40" s="253"/>
      <c r="T40" s="253"/>
      <c r="U40" s="253"/>
      <c r="V40" s="253"/>
      <c r="W40" s="253"/>
      <c r="X40" s="253"/>
    </row>
    <row r="41" spans="1:24" s="21" customFormat="1" ht="6" customHeight="1" x14ac:dyDescent="0.2">
      <c r="A41" s="26"/>
      <c r="B41" s="26"/>
      <c r="C41" s="32"/>
      <c r="D41" s="32"/>
      <c r="E41" s="32"/>
      <c r="F41" s="32"/>
      <c r="G41" s="32"/>
      <c r="H41" s="32"/>
      <c r="I41" s="32"/>
      <c r="J41" s="32"/>
      <c r="K41" s="32"/>
      <c r="L41" s="32"/>
      <c r="M41" s="32"/>
      <c r="N41" s="32"/>
      <c r="O41" s="32"/>
      <c r="P41" s="32"/>
      <c r="Q41" s="32"/>
      <c r="R41" s="32"/>
      <c r="S41" s="32"/>
      <c r="T41" s="32"/>
      <c r="U41" s="32"/>
      <c r="V41" s="32"/>
      <c r="W41" s="32"/>
      <c r="X41" s="32"/>
    </row>
    <row r="42" spans="1:24" s="21" customFormat="1" ht="12.75" customHeight="1" x14ac:dyDescent="0.2">
      <c r="A42" s="241" t="s">
        <v>87</v>
      </c>
      <c r="B42" s="243"/>
      <c r="C42" s="241" t="s">
        <v>111</v>
      </c>
      <c r="D42" s="242"/>
      <c r="E42" s="242"/>
      <c r="F42" s="242"/>
      <c r="G42" s="242"/>
      <c r="H42" s="241" t="s">
        <v>16</v>
      </c>
      <c r="I42" s="242"/>
      <c r="J42" s="28" t="s">
        <v>91</v>
      </c>
      <c r="K42" s="241" t="s">
        <v>88</v>
      </c>
      <c r="L42" s="242"/>
      <c r="M42" s="243"/>
      <c r="N42" s="28" t="s">
        <v>92</v>
      </c>
      <c r="O42" s="241" t="s">
        <v>93</v>
      </c>
      <c r="P42" s="242"/>
      <c r="Q42" s="242"/>
      <c r="R42" s="242"/>
      <c r="S42" s="242"/>
      <c r="T42" s="243"/>
      <c r="U42" s="294" t="s">
        <v>89</v>
      </c>
      <c r="V42" s="295"/>
      <c r="W42" s="294" t="s">
        <v>90</v>
      </c>
      <c r="X42" s="295"/>
    </row>
    <row r="43" spans="1:24" s="21" customFormat="1" ht="12.75" customHeight="1" x14ac:dyDescent="0.2">
      <c r="A43" s="309"/>
      <c r="B43" s="310"/>
      <c r="C43" s="244"/>
      <c r="D43" s="245"/>
      <c r="E43" s="245"/>
      <c r="F43" s="245"/>
      <c r="G43" s="245"/>
      <c r="H43" s="276"/>
      <c r="I43" s="277"/>
      <c r="J43" s="88"/>
      <c r="K43" s="254"/>
      <c r="L43" s="255"/>
      <c r="M43" s="256"/>
      <c r="N43" s="104"/>
      <c r="O43" s="298"/>
      <c r="P43" s="299"/>
      <c r="Q43" s="299"/>
      <c r="R43" s="300"/>
      <c r="S43" s="300"/>
      <c r="T43" s="301"/>
      <c r="U43" s="296"/>
      <c r="V43" s="302"/>
      <c r="W43" s="296"/>
      <c r="X43" s="297"/>
    </row>
    <row r="44" spans="1:24" s="21" customFormat="1" ht="12.75" customHeight="1" x14ac:dyDescent="0.2">
      <c r="A44" s="26"/>
      <c r="B44" s="26"/>
      <c r="C44" s="32"/>
      <c r="D44" s="32"/>
      <c r="E44" s="32"/>
      <c r="F44" s="32"/>
      <c r="G44" s="32"/>
      <c r="H44" s="32"/>
      <c r="I44" s="32"/>
      <c r="J44" s="32"/>
      <c r="K44" s="32"/>
      <c r="L44" s="32"/>
      <c r="M44" s="32"/>
      <c r="N44" s="32"/>
      <c r="O44" s="32"/>
      <c r="P44" s="32"/>
      <c r="Q44" s="32"/>
      <c r="R44" s="32"/>
      <c r="S44" s="32"/>
      <c r="T44" s="32"/>
      <c r="U44" s="32"/>
      <c r="V44" s="32"/>
      <c r="W44" s="32"/>
      <c r="X44" s="32"/>
    </row>
    <row r="45" spans="1:24" s="21" customFormat="1" ht="12.75" customHeight="1" x14ac:dyDescent="0.2">
      <c r="A45" s="252" t="s">
        <v>193</v>
      </c>
      <c r="B45" s="252"/>
      <c r="C45" s="253"/>
      <c r="D45" s="253"/>
      <c r="E45" s="253"/>
      <c r="F45" s="253"/>
      <c r="G45" s="253"/>
      <c r="H45" s="253"/>
      <c r="I45" s="253"/>
      <c r="J45" s="253"/>
      <c r="K45" s="253"/>
      <c r="L45" s="253"/>
      <c r="M45" s="253"/>
      <c r="N45" s="253"/>
      <c r="O45" s="253"/>
      <c r="P45" s="253"/>
      <c r="Q45" s="253"/>
      <c r="R45" s="253"/>
      <c r="S45" s="253"/>
      <c r="T45" s="253"/>
      <c r="U45" s="253"/>
      <c r="V45" s="253"/>
      <c r="W45" s="253"/>
      <c r="X45" s="253"/>
    </row>
    <row r="46" spans="1:24" s="21" customFormat="1" ht="6" customHeight="1" x14ac:dyDescent="0.2">
      <c r="A46" s="26"/>
      <c r="B46" s="26"/>
      <c r="C46" s="32"/>
      <c r="D46" s="32"/>
      <c r="E46" s="32"/>
      <c r="F46" s="32"/>
      <c r="G46" s="32"/>
      <c r="H46" s="32"/>
      <c r="I46" s="32"/>
      <c r="J46" s="32"/>
      <c r="K46" s="32"/>
      <c r="L46" s="32"/>
      <c r="M46" s="32"/>
      <c r="N46" s="32"/>
      <c r="O46" s="32"/>
      <c r="P46" s="32"/>
      <c r="Q46" s="32"/>
      <c r="R46" s="32"/>
      <c r="S46" s="32"/>
      <c r="T46" s="32"/>
      <c r="U46" s="32"/>
      <c r="V46" s="32"/>
      <c r="W46" s="32"/>
      <c r="X46" s="32"/>
    </row>
    <row r="47" spans="1:24" s="21" customFormat="1" x14ac:dyDescent="0.2">
      <c r="A47" s="28" t="s">
        <v>15</v>
      </c>
      <c r="B47" s="29"/>
      <c r="C47" s="30"/>
    </row>
    <row r="48" spans="1:24" s="21" customFormat="1" x14ac:dyDescent="0.2">
      <c r="A48" s="280">
        <v>45458</v>
      </c>
      <c r="B48" s="281"/>
      <c r="C48" s="282"/>
      <c r="E48" s="37"/>
    </row>
    <row r="49" spans="1:24" s="21" customFormat="1" x14ac:dyDescent="0.2">
      <c r="A49" s="22"/>
      <c r="B49" s="22"/>
      <c r="F49" s="33"/>
      <c r="G49" s="34"/>
      <c r="H49" s="35"/>
    </row>
    <row r="50" spans="1:24" s="21" customFormat="1" x14ac:dyDescent="0.2">
      <c r="A50" s="252" t="s">
        <v>194</v>
      </c>
      <c r="B50" s="252"/>
      <c r="C50" s="253"/>
      <c r="D50" s="253"/>
      <c r="E50" s="253"/>
      <c r="F50" s="253"/>
      <c r="G50" s="253"/>
      <c r="H50" s="253"/>
      <c r="I50" s="253"/>
      <c r="J50" s="253"/>
      <c r="K50" s="253"/>
      <c r="L50" s="253"/>
      <c r="M50" s="253"/>
      <c r="N50" s="253"/>
      <c r="O50" s="253"/>
      <c r="P50" s="253"/>
      <c r="Q50" s="253"/>
      <c r="R50" s="253"/>
      <c r="S50" s="253"/>
      <c r="T50" s="253"/>
      <c r="U50" s="253"/>
      <c r="V50" s="253"/>
      <c r="W50" s="253"/>
      <c r="X50" s="253"/>
    </row>
    <row r="51" spans="1:24" s="21" customFormat="1" x14ac:dyDescent="0.2">
      <c r="A51" s="26"/>
      <c r="B51" s="26"/>
      <c r="C51" s="32"/>
      <c r="D51" s="32"/>
      <c r="E51" s="32"/>
      <c r="F51" s="32"/>
      <c r="G51" s="32"/>
      <c r="H51" s="32"/>
      <c r="I51" s="32"/>
      <c r="J51" s="32"/>
      <c r="K51" s="32"/>
      <c r="L51" s="32"/>
      <c r="M51"/>
      <c r="N51"/>
      <c r="O51"/>
      <c r="P51"/>
      <c r="Q51"/>
      <c r="R51"/>
      <c r="S51"/>
      <c r="T51"/>
      <c r="U51"/>
      <c r="V51"/>
      <c r="W51"/>
      <c r="X51"/>
    </row>
    <row r="52" spans="1:24" s="21" customFormat="1" x14ac:dyDescent="0.2">
      <c r="A52" s="26"/>
      <c r="B52" s="26"/>
      <c r="C52" s="32"/>
      <c r="D52" s="32"/>
      <c r="E52" s="32"/>
      <c r="F52" s="32"/>
      <c r="G52" s="8" t="s">
        <v>18</v>
      </c>
      <c r="H52" s="32"/>
      <c r="I52" s="32"/>
      <c r="K52" s="86" t="s">
        <v>231</v>
      </c>
      <c r="L52" s="32"/>
      <c r="M52"/>
      <c r="N52"/>
      <c r="O52"/>
      <c r="P52"/>
      <c r="Q52"/>
      <c r="R52"/>
      <c r="S52"/>
      <c r="T52"/>
      <c r="U52"/>
      <c r="V52"/>
      <c r="W52"/>
      <c r="X52"/>
    </row>
    <row r="53" spans="1:24" s="21" customFormat="1" x14ac:dyDescent="0.2">
      <c r="A53" s="39"/>
      <c r="B53" s="39"/>
      <c r="C53" s="40"/>
      <c r="D53" s="40"/>
      <c r="E53" s="40"/>
      <c r="F53" s="33"/>
      <c r="G53" s="39"/>
      <c r="H53" s="39"/>
      <c r="I53" s="40"/>
      <c r="J53" s="40"/>
      <c r="K53" s="40"/>
      <c r="L53" s="2"/>
      <c r="M53"/>
      <c r="N53"/>
      <c r="O53"/>
      <c r="P53"/>
      <c r="Q53"/>
      <c r="R53"/>
      <c r="S53"/>
      <c r="T53"/>
      <c r="U53"/>
      <c r="V53"/>
      <c r="W53"/>
      <c r="X53"/>
    </row>
    <row r="54" spans="1:24" s="21" customFormat="1" x14ac:dyDescent="0.2">
      <c r="A54" s="101" t="s">
        <v>140</v>
      </c>
      <c r="B54" s="284"/>
      <c r="C54" s="284"/>
      <c r="D54" s="284"/>
      <c r="E54" s="284"/>
      <c r="F54" s="33"/>
      <c r="G54" s="101" t="s">
        <v>140</v>
      </c>
      <c r="H54" s="284"/>
      <c r="I54" s="284"/>
      <c r="J54" s="284"/>
      <c r="K54" s="284"/>
      <c r="L54" s="2"/>
      <c r="M54"/>
      <c r="N54"/>
      <c r="O54"/>
      <c r="P54"/>
      <c r="Q54"/>
      <c r="R54"/>
      <c r="S54"/>
      <c r="T54"/>
      <c r="U54"/>
      <c r="V54"/>
      <c r="W54"/>
      <c r="X54"/>
    </row>
    <row r="55" spans="1:24" s="21" customFormat="1" x14ac:dyDescent="0.2">
      <c r="A55" s="101" t="str">
        <f>IF(OR(TipoOrçamento="BASE",TipoOrçamento="REPROGRAMADONPL"),"Título:","Cargo:")</f>
        <v>Cargo:</v>
      </c>
      <c r="B55" s="284"/>
      <c r="C55" s="284"/>
      <c r="D55" s="284"/>
      <c r="E55" s="284"/>
      <c r="F55" s="33"/>
      <c r="G55" s="101" t="str">
        <f>A55</f>
        <v>Cargo:</v>
      </c>
      <c r="H55" s="284"/>
      <c r="I55" s="284"/>
      <c r="J55" s="284"/>
      <c r="K55" s="284"/>
      <c r="L55" s="2"/>
      <c r="M55"/>
      <c r="N55"/>
      <c r="O55"/>
      <c r="P55"/>
      <c r="Q55"/>
      <c r="R55"/>
      <c r="S55"/>
      <c r="T55"/>
      <c r="U55"/>
      <c r="V55"/>
      <c r="W55"/>
      <c r="X55"/>
    </row>
    <row r="56" spans="1:24" s="21" customFormat="1" x14ac:dyDescent="0.2">
      <c r="A56" s="101" t="str">
        <f>IF(OR(TipoOrçamento="BASE",TipoOrçamento="REPROGRAMADONPL"),"CREA/CAU:","Empresa:")</f>
        <v>Empresa:</v>
      </c>
      <c r="B56" s="289"/>
      <c r="C56" s="283"/>
      <c r="D56" s="283"/>
      <c r="E56" s="283"/>
      <c r="F56" s="33"/>
      <c r="G56" s="101" t="str">
        <f>A56</f>
        <v>Empresa:</v>
      </c>
      <c r="H56" s="283"/>
      <c r="I56" s="283"/>
      <c r="J56" s="283"/>
      <c r="K56" s="283"/>
      <c r="L56" s="2"/>
      <c r="M56"/>
      <c r="N56"/>
      <c r="O56"/>
      <c r="P56"/>
      <c r="Q56"/>
      <c r="R56"/>
      <c r="S56"/>
      <c r="T56"/>
      <c r="U56"/>
      <c r="V56"/>
      <c r="W56"/>
      <c r="X56"/>
    </row>
    <row r="57" spans="1:24" s="21" customFormat="1" x14ac:dyDescent="0.2">
      <c r="A57" s="101" t="str">
        <f>IF(OR(TipoOrçamento="BASE",TipoOrçamento="REPROGRAMADONPL"),"ART/RRT:","CNPJ:")</f>
        <v>CNPJ:</v>
      </c>
      <c r="B57" s="289"/>
      <c r="C57" s="283"/>
      <c r="D57" s="283"/>
      <c r="E57" s="283"/>
      <c r="F57" s="33"/>
      <c r="G57" s="101" t="str">
        <f>A57</f>
        <v>CNPJ:</v>
      </c>
      <c r="H57" s="283"/>
      <c r="I57" s="283"/>
      <c r="J57" s="283"/>
      <c r="K57" s="283"/>
      <c r="L57" s="2"/>
      <c r="M57"/>
      <c r="N57"/>
      <c r="O57"/>
      <c r="P57"/>
      <c r="Q57"/>
      <c r="R57"/>
      <c r="S57"/>
      <c r="T57"/>
      <c r="U57"/>
      <c r="V57"/>
      <c r="W57"/>
      <c r="X57"/>
    </row>
    <row r="58" spans="1:24" s="21" customFormat="1" x14ac:dyDescent="0.2">
      <c r="A58" s="22"/>
      <c r="B58" s="22"/>
      <c r="F58" s="33"/>
      <c r="G58" s="34"/>
      <c r="H58" s="35"/>
      <c r="M58"/>
      <c r="N58"/>
      <c r="O58"/>
      <c r="P58"/>
      <c r="Q58"/>
      <c r="R58"/>
      <c r="S58"/>
      <c r="T58"/>
      <c r="U58"/>
      <c r="V58"/>
      <c r="W58"/>
      <c r="X58"/>
    </row>
    <row r="59" spans="1:24" s="21" customFormat="1" x14ac:dyDescent="0.2">
      <c r="A59" s="22"/>
      <c r="B59" s="22"/>
      <c r="F59" s="33"/>
      <c r="G59" s="34"/>
      <c r="H59" s="35"/>
      <c r="M59"/>
      <c r="N59"/>
      <c r="O59"/>
      <c r="P59"/>
      <c r="Q59"/>
      <c r="R59"/>
      <c r="S59"/>
      <c r="T59"/>
      <c r="U59"/>
      <c r="V59"/>
      <c r="W59"/>
      <c r="X59"/>
    </row>
    <row r="60" spans="1:24" s="21" customFormat="1" ht="12.75" customHeight="1" x14ac:dyDescent="0.2">
      <c r="A60" s="285" t="s">
        <v>195</v>
      </c>
      <c r="B60" s="285"/>
      <c r="C60" s="286"/>
      <c r="D60" s="286"/>
      <c r="E60" s="286"/>
      <c r="F60" s="286"/>
      <c r="G60" s="286"/>
      <c r="H60" s="286"/>
      <c r="I60" s="286"/>
      <c r="J60" s="286"/>
      <c r="K60" s="286"/>
      <c r="L60" s="286"/>
      <c r="M60" s="286"/>
      <c r="N60" s="286"/>
      <c r="O60" s="286"/>
      <c r="P60" s="286"/>
      <c r="Q60" s="286"/>
      <c r="R60" s="286"/>
      <c r="S60" s="286"/>
      <c r="T60" s="286"/>
      <c r="U60" s="286"/>
      <c r="V60" s="286"/>
      <c r="W60" s="286"/>
      <c r="X60" s="286"/>
    </row>
    <row r="61" spans="1:24" s="21" customFormat="1" x14ac:dyDescent="0.2">
      <c r="A61" s="50"/>
      <c r="B61" s="50"/>
      <c r="C61" s="51"/>
      <c r="D61" s="51"/>
      <c r="E61" s="51"/>
      <c r="F61" s="51"/>
      <c r="G61" s="51"/>
      <c r="H61" s="51"/>
      <c r="I61" s="51"/>
      <c r="J61" s="51"/>
      <c r="K61" s="51"/>
      <c r="L61" s="51"/>
      <c r="M61" s="51"/>
      <c r="N61" s="51"/>
      <c r="O61" s="51"/>
      <c r="P61" s="51"/>
      <c r="Q61" s="51"/>
      <c r="R61" s="51"/>
      <c r="S61" s="51"/>
      <c r="T61" s="51"/>
      <c r="U61" s="51"/>
      <c r="V61" s="51"/>
      <c r="W61" s="51"/>
      <c r="X61" s="51"/>
    </row>
    <row r="62" spans="1:24" s="161" customFormat="1" ht="12.75" customHeight="1" x14ac:dyDescent="0.2">
      <c r="A62" s="287" t="s">
        <v>196</v>
      </c>
      <c r="B62" s="311"/>
      <c r="C62" s="312"/>
      <c r="D62" s="312"/>
      <c r="E62" s="312"/>
      <c r="F62" s="312"/>
      <c r="G62" s="312"/>
      <c r="H62" s="312"/>
      <c r="I62" s="312"/>
      <c r="J62" s="312"/>
      <c r="K62" s="312"/>
      <c r="L62" s="312"/>
      <c r="M62" s="312"/>
      <c r="N62" s="312"/>
      <c r="O62" s="312"/>
      <c r="P62" s="312"/>
      <c r="Q62" s="312"/>
      <c r="R62" s="312"/>
      <c r="S62" s="312"/>
      <c r="T62" s="312"/>
      <c r="U62" s="312"/>
      <c r="V62" s="312"/>
      <c r="W62" s="312"/>
      <c r="X62" s="312"/>
    </row>
    <row r="63" spans="1:24" s="21" customFormat="1" ht="30" customHeight="1" x14ac:dyDescent="0.2">
      <c r="A63" s="287" t="s">
        <v>197</v>
      </c>
      <c r="B63" s="287"/>
      <c r="C63" s="288"/>
      <c r="D63" s="288"/>
      <c r="E63" s="288"/>
      <c r="F63" s="288"/>
      <c r="G63" s="288"/>
      <c r="H63" s="288"/>
      <c r="I63" s="288"/>
      <c r="J63" s="288"/>
      <c r="K63" s="288"/>
      <c r="L63" s="288"/>
      <c r="M63" s="288"/>
      <c r="N63" s="288"/>
      <c r="O63" s="288"/>
      <c r="P63" s="288"/>
      <c r="Q63" s="288"/>
      <c r="R63" s="288"/>
      <c r="S63" s="288"/>
      <c r="T63" s="288"/>
      <c r="U63" s="288"/>
      <c r="V63" s="288"/>
      <c r="W63" s="288"/>
      <c r="X63" s="288"/>
    </row>
    <row r="64" spans="1:24" s="21" customFormat="1" x14ac:dyDescent="0.2">
      <c r="A64" s="22"/>
      <c r="B64" s="22"/>
      <c r="F64" s="33"/>
      <c r="G64" s="34"/>
      <c r="H64" s="35"/>
      <c r="M64"/>
      <c r="N64"/>
      <c r="O64"/>
      <c r="P64"/>
      <c r="Q64"/>
      <c r="R64"/>
      <c r="S64"/>
      <c r="T64"/>
      <c r="U64"/>
      <c r="V64"/>
      <c r="W64"/>
      <c r="X64"/>
    </row>
    <row r="65" spans="1:24" s="21" customFormat="1" ht="12.75" customHeight="1" x14ac:dyDescent="0.2">
      <c r="A65" s="285" t="s">
        <v>198</v>
      </c>
      <c r="B65" s="285"/>
      <c r="C65" s="286"/>
      <c r="D65" s="286"/>
      <c r="E65" s="286"/>
      <c r="F65" s="286"/>
      <c r="G65" s="286"/>
      <c r="H65" s="286"/>
      <c r="I65" s="286"/>
      <c r="J65" s="286"/>
      <c r="K65" s="286"/>
      <c r="L65" s="286"/>
      <c r="M65" s="286"/>
      <c r="N65" s="286"/>
      <c r="O65" s="286"/>
      <c r="P65" s="286"/>
      <c r="Q65" s="286"/>
      <c r="R65" s="286"/>
      <c r="S65" s="286"/>
      <c r="T65" s="286"/>
      <c r="U65" s="286"/>
      <c r="V65" s="286"/>
      <c r="W65" s="286"/>
      <c r="X65" s="286"/>
    </row>
    <row r="66" spans="1:24" s="21" customFormat="1" x14ac:dyDescent="0.2">
      <c r="A66" s="50"/>
      <c r="B66" s="50"/>
      <c r="C66" s="51"/>
      <c r="D66" s="51"/>
      <c r="E66" s="51"/>
      <c r="F66" s="51"/>
      <c r="G66" s="51"/>
      <c r="H66" s="51"/>
      <c r="I66" s="51"/>
      <c r="J66" s="51"/>
      <c r="K66" s="51"/>
      <c r="L66" s="51"/>
      <c r="M66" s="51"/>
      <c r="N66" s="51"/>
      <c r="O66" s="51"/>
      <c r="P66" s="51"/>
      <c r="Q66" s="51"/>
      <c r="R66" s="51"/>
      <c r="S66" s="51"/>
      <c r="T66" s="51"/>
      <c r="U66" s="51"/>
      <c r="V66" s="51"/>
      <c r="W66" s="51"/>
      <c r="X66" s="51"/>
    </row>
    <row r="67" spans="1:24" s="21" customFormat="1" ht="12.75" customHeight="1" x14ac:dyDescent="0.2">
      <c r="A67" s="252" t="s">
        <v>199</v>
      </c>
      <c r="B67" s="252"/>
      <c r="C67" s="253"/>
      <c r="D67" s="253"/>
      <c r="E67" s="253"/>
      <c r="F67" s="253"/>
      <c r="G67" s="253"/>
      <c r="H67" s="253"/>
      <c r="I67" s="253"/>
      <c r="J67" s="253"/>
      <c r="K67" s="253"/>
      <c r="L67" s="253"/>
      <c r="M67" s="253"/>
      <c r="N67" s="253"/>
      <c r="O67" s="253"/>
      <c r="P67" s="253"/>
      <c r="Q67" s="253"/>
      <c r="R67" s="253"/>
      <c r="S67" s="253"/>
      <c r="T67" s="253"/>
      <c r="U67" s="253"/>
      <c r="V67" s="253"/>
      <c r="W67" s="253"/>
      <c r="X67" s="253"/>
    </row>
    <row r="68" spans="1:24" s="21" customFormat="1" x14ac:dyDescent="0.2">
      <c r="A68" s="252" t="s">
        <v>200</v>
      </c>
      <c r="B68" s="252"/>
      <c r="C68" s="253"/>
      <c r="D68" s="253"/>
      <c r="E68" s="253"/>
      <c r="F68" s="253"/>
      <c r="G68" s="253"/>
      <c r="H68" s="253"/>
      <c r="I68" s="253"/>
      <c r="J68" s="253"/>
      <c r="K68" s="253"/>
      <c r="L68" s="253"/>
      <c r="M68" s="253"/>
      <c r="N68" s="253"/>
      <c r="O68" s="253"/>
      <c r="P68" s="253"/>
      <c r="Q68" s="253"/>
      <c r="R68" s="253"/>
      <c r="S68" s="253"/>
      <c r="T68" s="253"/>
      <c r="U68" s="253"/>
      <c r="V68" s="253"/>
      <c r="W68" s="253"/>
      <c r="X68" s="253"/>
    </row>
    <row r="69" spans="1:24" s="21" customFormat="1" ht="12.75" customHeight="1" x14ac:dyDescent="0.2">
      <c r="A69" s="252" t="s">
        <v>201</v>
      </c>
      <c r="B69" s="252"/>
      <c r="C69" s="253"/>
      <c r="D69" s="253"/>
      <c r="E69" s="253"/>
      <c r="F69" s="253"/>
      <c r="G69" s="253"/>
      <c r="H69" s="253"/>
      <c r="I69" s="253"/>
      <c r="J69" s="253"/>
      <c r="K69" s="253"/>
      <c r="L69" s="253"/>
      <c r="M69" s="253"/>
      <c r="N69" s="253"/>
      <c r="O69" s="253"/>
      <c r="P69" s="253"/>
      <c r="Q69" s="253"/>
      <c r="R69" s="253"/>
      <c r="S69" s="253"/>
      <c r="T69" s="253"/>
      <c r="U69" s="253"/>
      <c r="V69" s="253"/>
      <c r="W69" s="253"/>
      <c r="X69" s="253"/>
    </row>
    <row r="70" spans="1:24" s="21" customFormat="1" ht="12.75" customHeight="1" x14ac:dyDescent="0.2">
      <c r="A70" s="252" t="s">
        <v>202</v>
      </c>
      <c r="B70" s="252"/>
      <c r="C70" s="253"/>
      <c r="D70" s="253"/>
      <c r="E70" s="253"/>
      <c r="F70" s="253"/>
      <c r="G70" s="253"/>
      <c r="H70" s="253"/>
      <c r="I70" s="253"/>
      <c r="J70" s="253"/>
      <c r="K70" s="253"/>
      <c r="L70" s="253"/>
      <c r="M70" s="253"/>
      <c r="N70" s="253"/>
      <c r="O70" s="253"/>
      <c r="P70" s="253"/>
      <c r="Q70" s="253"/>
      <c r="R70" s="253"/>
      <c r="S70" s="253"/>
      <c r="T70" s="253"/>
      <c r="U70" s="253"/>
      <c r="V70" s="253"/>
      <c r="W70" s="253"/>
      <c r="X70" s="253"/>
    </row>
    <row r="71" spans="1:24" s="21" customFormat="1" ht="12.75" customHeight="1" x14ac:dyDescent="0.2">
      <c r="A71" s="252" t="s">
        <v>203</v>
      </c>
      <c r="B71" s="252"/>
      <c r="C71" s="253"/>
      <c r="D71" s="253"/>
      <c r="E71" s="253"/>
      <c r="F71" s="253"/>
      <c r="G71" s="253"/>
      <c r="H71" s="253"/>
      <c r="I71" s="253"/>
      <c r="J71" s="253"/>
      <c r="K71" s="253"/>
      <c r="L71" s="253"/>
      <c r="M71" s="253"/>
      <c r="N71" s="253"/>
      <c r="O71" s="253"/>
      <c r="P71" s="253"/>
      <c r="Q71" s="253"/>
      <c r="R71" s="253"/>
      <c r="S71" s="253"/>
      <c r="T71" s="253"/>
      <c r="U71" s="253"/>
      <c r="V71" s="253"/>
      <c r="W71" s="253"/>
      <c r="X71" s="253"/>
    </row>
    <row r="72" spans="1:24" s="21" customFormat="1" ht="12.75" customHeight="1" x14ac:dyDescent="0.2">
      <c r="A72" s="252" t="s">
        <v>204</v>
      </c>
      <c r="B72" s="252"/>
      <c r="C72" s="253"/>
      <c r="D72" s="253"/>
      <c r="E72" s="253"/>
      <c r="F72" s="253"/>
      <c r="G72" s="253"/>
      <c r="H72" s="253"/>
      <c r="I72" s="253"/>
      <c r="J72" s="253"/>
      <c r="K72" s="253"/>
      <c r="L72" s="253"/>
      <c r="M72" s="253"/>
      <c r="N72" s="253"/>
      <c r="O72" s="253"/>
      <c r="P72" s="253"/>
      <c r="Q72" s="253"/>
      <c r="R72" s="253"/>
      <c r="S72" s="253"/>
      <c r="T72" s="253"/>
      <c r="U72" s="253"/>
      <c r="V72" s="253"/>
      <c r="W72" s="253"/>
      <c r="X72" s="253"/>
    </row>
    <row r="73" spans="1:24" s="21" customFormat="1" x14ac:dyDescent="0.2">
      <c r="A73" s="22"/>
      <c r="B73" s="22"/>
      <c r="F73" s="33"/>
      <c r="G73" s="34"/>
      <c r="H73" s="35"/>
    </row>
    <row r="74" spans="1:24" s="21" customFormat="1" ht="12.75" customHeight="1" x14ac:dyDescent="0.2">
      <c r="A74" s="285" t="s">
        <v>205</v>
      </c>
      <c r="B74" s="285"/>
      <c r="C74" s="286"/>
      <c r="D74" s="286"/>
      <c r="E74" s="286"/>
      <c r="F74" s="286"/>
      <c r="G74" s="286"/>
      <c r="H74" s="286"/>
      <c r="I74" s="286"/>
      <c r="J74" s="286"/>
      <c r="K74" s="286"/>
      <c r="L74" s="286"/>
      <c r="M74" s="286"/>
      <c r="N74" s="286"/>
      <c r="O74" s="286"/>
      <c r="P74" s="286"/>
      <c r="Q74" s="286"/>
      <c r="R74" s="286"/>
      <c r="S74" s="286"/>
      <c r="T74" s="286"/>
      <c r="U74" s="286"/>
      <c r="V74" s="286"/>
      <c r="W74" s="286"/>
      <c r="X74" s="286"/>
    </row>
    <row r="75" spans="1:24" s="21" customFormat="1" x14ac:dyDescent="0.2">
      <c r="A75" s="50"/>
      <c r="B75" s="50"/>
      <c r="C75" s="51"/>
      <c r="D75" s="51"/>
      <c r="E75" s="51"/>
      <c r="F75" s="51"/>
      <c r="G75" s="51"/>
      <c r="H75" s="51"/>
      <c r="I75" s="51"/>
      <c r="J75" s="51"/>
      <c r="K75" s="51"/>
      <c r="L75" s="51"/>
      <c r="M75" s="51"/>
      <c r="N75" s="51"/>
      <c r="O75" s="51"/>
      <c r="P75" s="51"/>
      <c r="Q75" s="51"/>
      <c r="R75" s="51"/>
      <c r="S75" s="51"/>
      <c r="T75" s="51"/>
      <c r="U75" s="51"/>
      <c r="V75" s="51"/>
      <c r="W75" s="51"/>
      <c r="X75" s="51"/>
    </row>
    <row r="76" spans="1:24" s="21" customFormat="1" ht="12.75" customHeight="1" x14ac:dyDescent="0.2">
      <c r="A76" s="252" t="s">
        <v>206</v>
      </c>
      <c r="B76" s="252"/>
      <c r="C76" s="253"/>
      <c r="D76" s="253"/>
      <c r="E76" s="253"/>
      <c r="F76" s="253"/>
      <c r="G76" s="253"/>
      <c r="H76" s="253"/>
      <c r="I76" s="253"/>
      <c r="J76" s="253"/>
      <c r="K76" s="253"/>
      <c r="L76" s="253"/>
      <c r="M76" s="253"/>
      <c r="N76" s="253"/>
      <c r="O76" s="253"/>
      <c r="P76" s="253"/>
      <c r="Q76" s="253"/>
      <c r="R76" s="253"/>
      <c r="S76" s="253"/>
      <c r="T76" s="253"/>
      <c r="U76" s="253"/>
      <c r="V76" s="253"/>
      <c r="W76" s="253"/>
      <c r="X76" s="253"/>
    </row>
    <row r="77" spans="1:24" s="21" customFormat="1" ht="26.1" customHeight="1" x14ac:dyDescent="0.2">
      <c r="A77" s="263" t="s">
        <v>207</v>
      </c>
      <c r="B77" s="263"/>
      <c r="C77" s="264"/>
      <c r="D77" s="264"/>
      <c r="E77" s="264"/>
      <c r="F77" s="264"/>
      <c r="G77" s="264"/>
      <c r="H77" s="264"/>
      <c r="I77" s="264"/>
      <c r="J77" s="264"/>
      <c r="K77" s="264"/>
      <c r="L77" s="264"/>
      <c r="M77" s="264"/>
      <c r="N77" s="264"/>
      <c r="O77" s="264"/>
      <c r="P77" s="264"/>
      <c r="Q77" s="264"/>
      <c r="R77" s="264"/>
      <c r="S77" s="264"/>
      <c r="T77" s="264"/>
      <c r="U77" s="264"/>
      <c r="V77" s="264"/>
      <c r="W77" s="264"/>
      <c r="X77" s="264"/>
    </row>
    <row r="78" spans="1:24" s="21" customFormat="1" ht="12.75" customHeight="1" x14ac:dyDescent="0.2">
      <c r="A78" s="252" t="s">
        <v>208</v>
      </c>
      <c r="B78" s="252"/>
      <c r="C78" s="253"/>
      <c r="D78" s="253"/>
      <c r="E78" s="253"/>
      <c r="F78" s="253"/>
      <c r="G78" s="253"/>
      <c r="H78" s="253"/>
      <c r="I78" s="253"/>
      <c r="J78" s="253"/>
      <c r="K78" s="253"/>
      <c r="L78" s="253"/>
      <c r="M78" s="253"/>
      <c r="N78" s="253"/>
      <c r="O78" s="253"/>
      <c r="P78" s="253"/>
      <c r="Q78" s="253"/>
      <c r="R78" s="253"/>
      <c r="S78" s="253"/>
      <c r="T78" s="253"/>
      <c r="U78" s="253"/>
      <c r="V78" s="253"/>
      <c r="W78" s="253"/>
      <c r="X78" s="253"/>
    </row>
    <row r="79" spans="1:24" s="21" customFormat="1" ht="25.5" customHeight="1" x14ac:dyDescent="0.2">
      <c r="A79" s="252" t="s">
        <v>209</v>
      </c>
      <c r="B79" s="252"/>
      <c r="C79" s="253"/>
      <c r="D79" s="253"/>
      <c r="E79" s="253"/>
      <c r="F79" s="253"/>
      <c r="G79" s="253"/>
      <c r="H79" s="253"/>
      <c r="I79" s="253"/>
      <c r="J79" s="253"/>
      <c r="K79" s="253"/>
      <c r="L79" s="253"/>
      <c r="M79" s="253"/>
      <c r="N79" s="253"/>
      <c r="O79" s="253"/>
      <c r="P79" s="253"/>
      <c r="Q79" s="253"/>
      <c r="R79" s="253"/>
      <c r="S79" s="253"/>
      <c r="T79" s="253"/>
      <c r="U79" s="253"/>
      <c r="V79" s="253"/>
      <c r="W79" s="253"/>
      <c r="X79" s="253"/>
    </row>
    <row r="80" spans="1:24" s="21" customFormat="1" x14ac:dyDescent="0.2">
      <c r="A80" s="263" t="s">
        <v>210</v>
      </c>
      <c r="B80" s="263"/>
      <c r="C80" s="264"/>
      <c r="D80" s="264"/>
      <c r="E80" s="264"/>
      <c r="F80" s="264"/>
      <c r="G80" s="264"/>
      <c r="H80" s="264"/>
      <c r="I80" s="264"/>
      <c r="J80" s="264"/>
      <c r="K80" s="264"/>
      <c r="L80" s="264"/>
      <c r="M80" s="264"/>
      <c r="N80" s="264"/>
      <c r="O80" s="264"/>
      <c r="P80" s="264"/>
      <c r="Q80" s="264"/>
      <c r="R80" s="264"/>
      <c r="S80" s="264"/>
      <c r="T80" s="264"/>
      <c r="U80" s="264"/>
      <c r="V80" s="264"/>
      <c r="W80" s="264"/>
      <c r="X80" s="264"/>
    </row>
    <row r="81" spans="1:24" ht="12.75" customHeight="1" x14ac:dyDescent="0.2">
      <c r="A81" s="252" t="s">
        <v>211</v>
      </c>
      <c r="B81" s="252"/>
      <c r="C81" s="253"/>
      <c r="D81" s="253"/>
      <c r="E81" s="253"/>
      <c r="F81" s="253"/>
      <c r="G81" s="253"/>
      <c r="H81" s="253"/>
      <c r="I81" s="253"/>
      <c r="J81" s="253"/>
      <c r="K81" s="253"/>
      <c r="L81" s="253"/>
      <c r="M81" s="253"/>
      <c r="N81" s="253"/>
      <c r="O81" s="253"/>
      <c r="P81" s="253"/>
      <c r="Q81" s="253"/>
      <c r="R81" s="253"/>
      <c r="S81" s="253"/>
      <c r="T81" s="253"/>
      <c r="U81" s="253"/>
      <c r="V81" s="253"/>
      <c r="W81" s="253"/>
      <c r="X81" s="253"/>
    </row>
    <row r="82" spans="1:24" ht="26.1" customHeight="1" x14ac:dyDescent="0.2">
      <c r="A82" s="252" t="s">
        <v>212</v>
      </c>
      <c r="B82" s="252"/>
      <c r="C82" s="253"/>
      <c r="D82" s="253"/>
      <c r="E82" s="253"/>
      <c r="F82" s="253"/>
      <c r="G82" s="253"/>
      <c r="H82" s="253"/>
      <c r="I82" s="253"/>
      <c r="J82" s="253"/>
      <c r="K82" s="253"/>
      <c r="L82" s="253"/>
      <c r="M82" s="253"/>
      <c r="N82" s="253"/>
      <c r="O82" s="253"/>
      <c r="P82" s="253"/>
      <c r="Q82" s="253"/>
      <c r="R82" s="253"/>
      <c r="S82" s="253"/>
      <c r="T82" s="253"/>
      <c r="U82" s="253"/>
      <c r="V82" s="253"/>
      <c r="W82" s="253"/>
      <c r="X82" s="253"/>
    </row>
    <row r="83" spans="1:24" s="21" customFormat="1" ht="26.1" customHeight="1" x14ac:dyDescent="0.2">
      <c r="A83" s="252" t="s">
        <v>213</v>
      </c>
      <c r="B83" s="252"/>
      <c r="C83" s="253"/>
      <c r="D83" s="253"/>
      <c r="E83" s="253"/>
      <c r="F83" s="253"/>
      <c r="G83" s="253"/>
      <c r="H83" s="253"/>
      <c r="I83" s="253"/>
      <c r="J83" s="253"/>
      <c r="K83" s="253"/>
      <c r="L83" s="253"/>
      <c r="M83" s="253"/>
      <c r="N83" s="253"/>
      <c r="O83" s="253"/>
      <c r="P83" s="253"/>
      <c r="Q83" s="253"/>
      <c r="R83" s="253"/>
      <c r="S83" s="253"/>
      <c r="T83" s="253"/>
      <c r="U83" s="253"/>
      <c r="V83" s="253"/>
      <c r="W83" s="253"/>
      <c r="X83" s="253"/>
    </row>
    <row r="84" spans="1:24" s="21" customFormat="1" ht="12.75" customHeight="1" x14ac:dyDescent="0.2">
      <c r="A84" s="252" t="s">
        <v>214</v>
      </c>
      <c r="B84" s="252"/>
      <c r="C84" s="253"/>
      <c r="D84" s="253"/>
      <c r="E84" s="253"/>
      <c r="F84" s="253"/>
      <c r="G84" s="253"/>
      <c r="H84" s="253"/>
      <c r="I84" s="253"/>
      <c r="J84" s="253"/>
      <c r="K84" s="253"/>
      <c r="L84" s="253"/>
      <c r="M84" s="253"/>
      <c r="N84" s="253"/>
      <c r="O84" s="253"/>
      <c r="P84" s="253"/>
      <c r="Q84" s="253"/>
      <c r="R84" s="253"/>
      <c r="S84" s="253"/>
      <c r="T84" s="253"/>
      <c r="U84" s="253"/>
      <c r="V84" s="253"/>
      <c r="W84" s="253"/>
      <c r="X84" s="253"/>
    </row>
    <row r="85" spans="1:24" s="21" customFormat="1" x14ac:dyDescent="0.2">
      <c r="A85" s="252" t="s">
        <v>215</v>
      </c>
      <c r="B85" s="252"/>
      <c r="C85" s="253"/>
      <c r="D85" s="253"/>
      <c r="E85" s="253"/>
      <c r="F85" s="253"/>
      <c r="G85" s="253"/>
      <c r="H85" s="253"/>
      <c r="I85" s="253"/>
      <c r="J85" s="253"/>
      <c r="K85" s="253"/>
      <c r="L85" s="253"/>
      <c r="M85" s="253"/>
      <c r="N85" s="253"/>
      <c r="O85" s="253"/>
      <c r="P85" s="253"/>
      <c r="Q85" s="253"/>
      <c r="R85" s="253"/>
      <c r="S85" s="253"/>
      <c r="T85" s="253"/>
      <c r="U85" s="253"/>
      <c r="V85" s="253"/>
      <c r="W85" s="253"/>
      <c r="X85" s="253"/>
    </row>
    <row r="86" spans="1:24" ht="12.75" customHeight="1" x14ac:dyDescent="0.2">
      <c r="A86" s="263" t="s">
        <v>216</v>
      </c>
      <c r="B86" s="263"/>
      <c r="C86" s="264"/>
      <c r="D86" s="264"/>
      <c r="E86" s="264"/>
      <c r="F86" s="264"/>
      <c r="G86" s="264"/>
      <c r="H86" s="264"/>
      <c r="I86" s="264"/>
      <c r="J86" s="264"/>
      <c r="K86" s="264"/>
      <c r="L86" s="264"/>
      <c r="M86" s="264"/>
      <c r="N86" s="264"/>
      <c r="O86" s="264"/>
      <c r="P86" s="264"/>
      <c r="Q86" s="264"/>
      <c r="R86" s="264"/>
      <c r="S86" s="264"/>
      <c r="T86" s="264"/>
      <c r="U86" s="264"/>
      <c r="V86" s="264"/>
      <c r="W86" s="264"/>
      <c r="X86" s="264"/>
    </row>
    <row r="87" spans="1:24" x14ac:dyDescent="0.2">
      <c r="A87" s="252" t="s">
        <v>217</v>
      </c>
      <c r="B87" s="252"/>
      <c r="C87" s="253"/>
      <c r="D87" s="253"/>
      <c r="E87" s="253"/>
      <c r="F87" s="253"/>
      <c r="G87" s="253"/>
      <c r="H87" s="253"/>
      <c r="I87" s="253"/>
      <c r="J87" s="253"/>
      <c r="K87" s="253"/>
      <c r="L87" s="253"/>
      <c r="M87" s="253"/>
      <c r="N87" s="253"/>
      <c r="O87" s="253"/>
      <c r="P87" s="253"/>
      <c r="Q87" s="253"/>
      <c r="R87" s="253"/>
      <c r="S87" s="253"/>
      <c r="T87" s="253"/>
      <c r="U87" s="253"/>
      <c r="V87" s="253"/>
      <c r="W87" s="253"/>
      <c r="X87" s="253"/>
    </row>
    <row r="88" spans="1:24" x14ac:dyDescent="0.2">
      <c r="A88" s="252" t="s">
        <v>218</v>
      </c>
      <c r="B88" s="252"/>
      <c r="C88" s="253"/>
      <c r="D88" s="253"/>
      <c r="E88" s="253"/>
      <c r="F88" s="253"/>
      <c r="G88" s="253"/>
      <c r="H88" s="253"/>
      <c r="I88" s="253"/>
      <c r="J88" s="253"/>
      <c r="K88" s="253"/>
      <c r="L88" s="253"/>
      <c r="M88" s="253"/>
      <c r="N88" s="253"/>
      <c r="O88" s="253"/>
      <c r="P88" s="253"/>
      <c r="Q88" s="253"/>
      <c r="R88" s="253"/>
      <c r="S88" s="253"/>
      <c r="T88" s="253"/>
      <c r="U88" s="253"/>
      <c r="V88" s="253"/>
      <c r="W88" s="253"/>
      <c r="X88" s="253"/>
    </row>
    <row r="90" spans="1:24" x14ac:dyDescent="0.2">
      <c r="A90" s="285" t="s">
        <v>219</v>
      </c>
      <c r="B90" s="285"/>
      <c r="C90" s="286"/>
      <c r="D90" s="286"/>
      <c r="E90" s="286"/>
      <c r="F90" s="286"/>
      <c r="G90" s="286"/>
      <c r="H90" s="286"/>
      <c r="I90" s="286"/>
      <c r="J90" s="286"/>
      <c r="K90" s="286"/>
      <c r="L90" s="286"/>
      <c r="M90" s="286"/>
      <c r="N90" s="286"/>
      <c r="O90" s="286"/>
      <c r="P90" s="286"/>
      <c r="Q90" s="286"/>
      <c r="R90" s="286"/>
      <c r="S90" s="286"/>
      <c r="T90" s="286"/>
      <c r="U90" s="286"/>
      <c r="V90" s="286"/>
      <c r="W90" s="286"/>
      <c r="X90" s="286"/>
    </row>
    <row r="91" spans="1:24" x14ac:dyDescent="0.2">
      <c r="A91" s="50"/>
      <c r="B91" s="50"/>
      <c r="C91" s="51"/>
      <c r="D91" s="51"/>
      <c r="E91" s="51"/>
      <c r="F91" s="51"/>
      <c r="G91" s="51"/>
      <c r="H91" s="51"/>
      <c r="I91" s="51"/>
      <c r="J91" s="51"/>
      <c r="K91" s="51"/>
      <c r="L91" s="51"/>
      <c r="M91" s="51"/>
      <c r="N91" s="51"/>
      <c r="O91" s="51"/>
      <c r="P91" s="51"/>
      <c r="Q91" s="51"/>
      <c r="R91" s="51"/>
      <c r="S91" s="51"/>
      <c r="T91" s="51"/>
      <c r="U91" s="51"/>
      <c r="V91" s="51"/>
      <c r="W91" s="51"/>
      <c r="X91" s="51"/>
    </row>
    <row r="92" spans="1:24" x14ac:dyDescent="0.2">
      <c r="A92" s="252" t="s">
        <v>220</v>
      </c>
      <c r="B92" s="252"/>
      <c r="C92" s="253"/>
      <c r="D92" s="253"/>
      <c r="E92" s="253"/>
      <c r="F92" s="253"/>
      <c r="G92" s="253"/>
      <c r="H92" s="253"/>
      <c r="I92" s="253"/>
      <c r="J92" s="253"/>
      <c r="K92" s="253"/>
      <c r="L92" s="253"/>
      <c r="M92" s="253"/>
      <c r="N92" s="253"/>
      <c r="O92" s="253"/>
      <c r="P92" s="253"/>
      <c r="Q92" s="253"/>
      <c r="R92" s="253"/>
      <c r="S92" s="253"/>
      <c r="T92" s="253"/>
      <c r="U92" s="253"/>
      <c r="V92" s="253"/>
      <c r="W92" s="253"/>
      <c r="X92" s="253"/>
    </row>
    <row r="93" spans="1:24" ht="12.75" customHeight="1" x14ac:dyDescent="0.2">
      <c r="A93" s="263" t="s">
        <v>221</v>
      </c>
      <c r="B93" s="263"/>
      <c r="C93" s="264"/>
      <c r="D93" s="264"/>
      <c r="E93" s="264"/>
      <c r="F93" s="264"/>
      <c r="G93" s="264"/>
      <c r="H93" s="264"/>
      <c r="I93" s="264"/>
      <c r="J93" s="264"/>
      <c r="K93" s="264"/>
      <c r="L93" s="264"/>
      <c r="M93" s="264"/>
      <c r="N93" s="264"/>
      <c r="O93" s="264"/>
      <c r="P93" s="264"/>
      <c r="Q93" s="264"/>
      <c r="R93" s="264"/>
      <c r="S93" s="264"/>
      <c r="T93" s="264"/>
      <c r="U93" s="264"/>
      <c r="V93" s="264"/>
      <c r="W93" s="264"/>
      <c r="X93" s="264"/>
    </row>
    <row r="94" spans="1:24" ht="12.75" customHeight="1" x14ac:dyDescent="0.2">
      <c r="A94" s="252" t="s">
        <v>222</v>
      </c>
      <c r="B94" s="252"/>
      <c r="C94" s="253"/>
      <c r="D94" s="253"/>
      <c r="E94" s="253"/>
      <c r="F94" s="253"/>
      <c r="G94" s="253"/>
      <c r="H94" s="253"/>
      <c r="I94" s="253"/>
      <c r="J94" s="253"/>
      <c r="K94" s="253"/>
      <c r="L94" s="253"/>
      <c r="M94" s="253"/>
      <c r="N94" s="253"/>
      <c r="O94" s="253"/>
      <c r="P94" s="253"/>
      <c r="Q94" s="253"/>
      <c r="R94" s="253"/>
      <c r="S94" s="253"/>
      <c r="T94" s="253"/>
      <c r="U94" s="253"/>
      <c r="V94" s="253"/>
      <c r="W94" s="253"/>
      <c r="X94" s="253"/>
    </row>
    <row r="95" spans="1:24" x14ac:dyDescent="0.2">
      <c r="A95" s="252" t="s">
        <v>223</v>
      </c>
      <c r="B95" s="252"/>
      <c r="C95" s="253"/>
      <c r="D95" s="253"/>
      <c r="E95" s="253"/>
      <c r="F95" s="253"/>
      <c r="G95" s="253"/>
      <c r="H95" s="253"/>
      <c r="I95" s="253"/>
      <c r="J95" s="253"/>
      <c r="K95" s="253"/>
      <c r="L95" s="253"/>
      <c r="M95" s="253"/>
      <c r="N95" s="253"/>
      <c r="O95" s="253"/>
      <c r="P95" s="253"/>
      <c r="Q95" s="253"/>
      <c r="R95" s="253"/>
      <c r="S95" s="253"/>
      <c r="T95" s="253"/>
      <c r="U95" s="253"/>
      <c r="V95" s="253"/>
      <c r="W95" s="253"/>
      <c r="X95" s="253"/>
    </row>
    <row r="96" spans="1:24" ht="12.75" customHeight="1" x14ac:dyDescent="0.2">
      <c r="A96" s="263"/>
      <c r="B96" s="263"/>
      <c r="C96" s="264"/>
      <c r="D96" s="264"/>
      <c r="E96" s="264"/>
      <c r="F96" s="264"/>
      <c r="G96" s="264"/>
      <c r="H96" s="264"/>
      <c r="I96" s="264"/>
      <c r="J96" s="264"/>
      <c r="K96" s="264"/>
      <c r="L96" s="264"/>
      <c r="M96" s="264"/>
      <c r="N96" s="264"/>
      <c r="O96" s="264"/>
      <c r="P96" s="264"/>
      <c r="Q96" s="264"/>
      <c r="R96" s="264"/>
      <c r="S96" s="264"/>
      <c r="T96" s="264"/>
      <c r="U96" s="264"/>
      <c r="V96" s="264"/>
      <c r="W96" s="264"/>
      <c r="X96" s="264"/>
    </row>
    <row r="97" spans="1:24" x14ac:dyDescent="0.2">
      <c r="A97" s="285" t="s">
        <v>224</v>
      </c>
      <c r="B97" s="285"/>
      <c r="C97" s="286"/>
      <c r="D97" s="286"/>
      <c r="E97" s="286"/>
      <c r="F97" s="286"/>
      <c r="G97" s="286"/>
      <c r="H97" s="286"/>
      <c r="I97" s="286"/>
      <c r="J97" s="286"/>
      <c r="K97" s="286"/>
      <c r="L97" s="286"/>
      <c r="M97" s="286"/>
      <c r="N97" s="286"/>
      <c r="O97" s="286"/>
      <c r="P97" s="286"/>
      <c r="Q97" s="286"/>
      <c r="R97" s="286"/>
      <c r="S97" s="286"/>
      <c r="T97" s="286"/>
      <c r="U97" s="286"/>
      <c r="V97" s="286"/>
      <c r="W97" s="286"/>
      <c r="X97" s="286"/>
    </row>
    <row r="98" spans="1:24" ht="12.75" customHeight="1" x14ac:dyDescent="0.2">
      <c r="A98" s="263"/>
      <c r="B98" s="263"/>
      <c r="C98" s="264"/>
      <c r="D98" s="264"/>
      <c r="E98" s="264"/>
      <c r="F98" s="264"/>
      <c r="G98" s="264"/>
      <c r="H98" s="264"/>
      <c r="I98" s="264"/>
      <c r="J98" s="264"/>
      <c r="K98" s="264"/>
      <c r="L98" s="264"/>
      <c r="M98" s="264"/>
      <c r="N98" s="264"/>
      <c r="O98" s="264"/>
      <c r="P98" s="264"/>
      <c r="Q98" s="264"/>
      <c r="R98" s="264"/>
      <c r="S98" s="264"/>
      <c r="T98" s="264"/>
      <c r="U98" s="264"/>
      <c r="V98" s="264"/>
      <c r="W98" s="264"/>
      <c r="X98" s="264"/>
    </row>
    <row r="99" spans="1:24" ht="12.75" customHeight="1" x14ac:dyDescent="0.2">
      <c r="A99" s="252" t="s">
        <v>225</v>
      </c>
      <c r="B99" s="252"/>
      <c r="C99" s="253"/>
      <c r="D99" s="253"/>
      <c r="E99" s="253"/>
      <c r="F99" s="253"/>
      <c r="G99" s="253"/>
      <c r="H99" s="253"/>
      <c r="I99" s="253"/>
      <c r="J99" s="253"/>
      <c r="K99" s="253"/>
      <c r="L99" s="253"/>
      <c r="M99" s="253"/>
      <c r="N99" s="253"/>
      <c r="O99" s="253"/>
      <c r="P99" s="253"/>
      <c r="Q99" s="253"/>
      <c r="R99" s="253"/>
      <c r="S99" s="253"/>
      <c r="T99" s="253"/>
      <c r="U99" s="253"/>
      <c r="V99" s="253"/>
      <c r="W99" s="253"/>
      <c r="X99" s="253"/>
    </row>
    <row r="100" spans="1:24" ht="12.75" customHeight="1" x14ac:dyDescent="0.2">
      <c r="A100" s="252" t="s">
        <v>226</v>
      </c>
      <c r="B100" s="252"/>
      <c r="C100" s="253"/>
      <c r="D100" s="253"/>
      <c r="E100" s="253"/>
      <c r="F100" s="253"/>
      <c r="G100" s="253"/>
      <c r="H100" s="253"/>
      <c r="I100" s="253"/>
      <c r="J100" s="253"/>
      <c r="K100" s="253"/>
      <c r="L100" s="253"/>
      <c r="M100" s="253"/>
      <c r="N100" s="253"/>
      <c r="O100" s="253"/>
      <c r="P100" s="253"/>
      <c r="Q100" s="253"/>
      <c r="R100" s="253"/>
      <c r="S100" s="253"/>
      <c r="T100" s="253"/>
      <c r="U100" s="253"/>
      <c r="V100" s="253"/>
      <c r="W100" s="253"/>
      <c r="X100" s="253"/>
    </row>
    <row r="101" spans="1:24" x14ac:dyDescent="0.2">
      <c r="A101" s="252" t="s">
        <v>227</v>
      </c>
      <c r="B101" s="252"/>
      <c r="C101" s="253"/>
      <c r="D101" s="253"/>
      <c r="E101" s="253"/>
      <c r="F101" s="253"/>
      <c r="G101" s="253"/>
      <c r="H101" s="253"/>
      <c r="I101" s="253"/>
      <c r="J101" s="253"/>
      <c r="K101" s="253"/>
      <c r="L101" s="253"/>
      <c r="M101" s="253"/>
      <c r="N101" s="253"/>
      <c r="O101" s="253"/>
      <c r="P101" s="253"/>
      <c r="Q101" s="253"/>
      <c r="R101" s="253"/>
      <c r="S101" s="253"/>
      <c r="T101" s="253"/>
      <c r="U101" s="253"/>
      <c r="V101" s="253"/>
      <c r="W101" s="253"/>
      <c r="X101" s="253"/>
    </row>
    <row r="102" spans="1:24" ht="12.75" customHeight="1" x14ac:dyDescent="0.2">
      <c r="A102" s="26"/>
      <c r="B102" s="26"/>
      <c r="C102" s="32"/>
      <c r="D102" s="32"/>
      <c r="E102" s="32"/>
      <c r="F102" s="32"/>
      <c r="G102" s="32"/>
      <c r="H102" s="32"/>
      <c r="I102" s="32"/>
      <c r="J102" s="32"/>
      <c r="K102" s="32"/>
      <c r="L102" s="32"/>
      <c r="M102" s="32"/>
      <c r="N102" s="32"/>
      <c r="O102" s="32"/>
      <c r="P102" s="32"/>
      <c r="Q102" s="32"/>
      <c r="R102" s="32"/>
      <c r="S102" s="32"/>
      <c r="T102" s="32"/>
      <c r="U102" s="32"/>
      <c r="V102" s="32"/>
      <c r="W102" s="32"/>
      <c r="X102" s="32"/>
    </row>
    <row r="103" spans="1:24" ht="12.75" customHeight="1" x14ac:dyDescent="0.2">
      <c r="A103" s="26"/>
      <c r="B103" s="26"/>
      <c r="C103" s="32"/>
      <c r="D103" s="32"/>
      <c r="E103" s="32"/>
      <c r="F103" s="32"/>
      <c r="G103" s="32"/>
      <c r="H103" s="32"/>
      <c r="I103" s="32"/>
      <c r="J103" s="32"/>
      <c r="K103" s="32"/>
      <c r="L103" s="32"/>
      <c r="M103" s="32"/>
      <c r="N103" s="32"/>
      <c r="O103" s="32"/>
      <c r="P103" s="32"/>
      <c r="Q103" s="32"/>
      <c r="R103" s="32"/>
      <c r="S103" s="32"/>
      <c r="T103" s="32"/>
      <c r="U103" s="32"/>
      <c r="V103" s="32"/>
      <c r="W103" s="32"/>
      <c r="X103" s="32"/>
    </row>
    <row r="104" spans="1:24" ht="12.75" customHeight="1" x14ac:dyDescent="0.2">
      <c r="A104" s="26"/>
      <c r="B104" s="26"/>
      <c r="C104" s="32"/>
      <c r="D104" s="32"/>
      <c r="E104" s="32"/>
      <c r="F104" s="32"/>
      <c r="G104" s="32"/>
      <c r="H104" s="32"/>
      <c r="I104" s="32"/>
      <c r="J104" s="32"/>
      <c r="K104" s="32"/>
      <c r="L104" s="32"/>
      <c r="M104" s="32"/>
      <c r="N104" s="32"/>
      <c r="O104" s="32"/>
      <c r="P104" s="32"/>
      <c r="Q104" s="32"/>
      <c r="R104" s="32"/>
      <c r="S104" s="32"/>
      <c r="T104" s="32"/>
      <c r="U104" s="32"/>
      <c r="V104" s="32"/>
      <c r="W104" s="32"/>
      <c r="X104" s="32"/>
    </row>
    <row r="105" spans="1:24" ht="12.75" customHeight="1" x14ac:dyDescent="0.2">
      <c r="A105" s="26"/>
      <c r="B105" s="26"/>
      <c r="C105" s="32"/>
      <c r="D105" s="32"/>
      <c r="E105" s="32"/>
      <c r="F105" s="32"/>
      <c r="G105" s="32"/>
      <c r="H105" s="32"/>
      <c r="I105" s="32"/>
      <c r="J105" s="32"/>
      <c r="K105" s="32"/>
      <c r="L105" s="32"/>
      <c r="M105" s="32"/>
      <c r="N105" s="32"/>
      <c r="O105" s="32"/>
      <c r="P105" s="32"/>
      <c r="Q105" s="32"/>
      <c r="R105" s="32"/>
      <c r="S105" s="32"/>
      <c r="T105" s="32"/>
      <c r="U105" s="32"/>
      <c r="V105" s="32"/>
      <c r="W105" s="32"/>
      <c r="X105" s="32"/>
    </row>
    <row r="106" spans="1:24" ht="12.75" customHeight="1" x14ac:dyDescent="0.2"/>
    <row r="107" spans="1:24" x14ac:dyDescent="0.2">
      <c r="A107"/>
      <c r="E107"/>
      <c r="F107"/>
      <c r="H107" s="38"/>
      <c r="L107" s="82" t="s">
        <v>131</v>
      </c>
      <c r="O107" s="82"/>
      <c r="P107" s="38"/>
      <c r="Q107" s="82"/>
    </row>
    <row r="108" spans="1:24" ht="12.75" customHeight="1" x14ac:dyDescent="0.2">
      <c r="A108"/>
      <c r="E108"/>
      <c r="F108"/>
      <c r="G108" s="31"/>
      <c r="H108" s="31"/>
      <c r="L108" s="82" t="s">
        <v>132</v>
      </c>
      <c r="P108" s="31"/>
      <c r="S108" s="208">
        <f ca="1">T38</f>
        <v>0.21</v>
      </c>
    </row>
    <row r="109" spans="1:24" x14ac:dyDescent="0.2">
      <c r="A109"/>
      <c r="E109"/>
      <c r="F109"/>
      <c r="G109" s="31"/>
      <c r="H109" s="31"/>
      <c r="L109" s="82" t="s">
        <v>133</v>
      </c>
      <c r="P109" s="31"/>
      <c r="S109" s="208">
        <f ca="1">U38</f>
        <v>0</v>
      </c>
    </row>
    <row r="110" spans="1:24" ht="12.75" customHeight="1" x14ac:dyDescent="0.2">
      <c r="A110"/>
      <c r="E110"/>
      <c r="F110"/>
      <c r="G110" s="31"/>
      <c r="H110" s="31"/>
      <c r="L110" s="82" t="s">
        <v>134</v>
      </c>
      <c r="P110" s="31"/>
      <c r="S110" s="208" t="str">
        <f ca="1">V38</f>
        <v/>
      </c>
    </row>
    <row r="111" spans="1:24" x14ac:dyDescent="0.2">
      <c r="A111"/>
      <c r="E111"/>
      <c r="F111"/>
      <c r="G111" s="31"/>
      <c r="H111" s="31"/>
      <c r="L111" s="82" t="s">
        <v>135</v>
      </c>
      <c r="P111" s="31"/>
      <c r="S111" s="208" t="str">
        <f ca="1">W38</f>
        <v/>
      </c>
    </row>
    <row r="112" spans="1:24" ht="12.75" customHeight="1" x14ac:dyDescent="0.2">
      <c r="A112"/>
      <c r="E112"/>
      <c r="F112"/>
      <c r="G112" s="31"/>
      <c r="H112" s="31"/>
      <c r="L112" s="82" t="s">
        <v>136</v>
      </c>
      <c r="P112" s="31"/>
      <c r="S112" s="208" t="str">
        <f ca="1">X38</f>
        <v/>
      </c>
    </row>
    <row r="113" spans="1:16" x14ac:dyDescent="0.2">
      <c r="A113"/>
      <c r="H113" s="38"/>
      <c r="L113" s="82" t="s">
        <v>66</v>
      </c>
    </row>
    <row r="114" spans="1:16" ht="12.75" customHeight="1" x14ac:dyDescent="0.2">
      <c r="A114"/>
      <c r="H114" s="38"/>
      <c r="L114" s="82" t="s">
        <v>67</v>
      </c>
    </row>
    <row r="115" spans="1:16" x14ac:dyDescent="0.2">
      <c r="A115"/>
      <c r="H115" s="38"/>
      <c r="L115" s="82" t="s">
        <v>68</v>
      </c>
      <c r="P115" s="1" t="s">
        <v>112</v>
      </c>
    </row>
    <row r="116" spans="1:16" x14ac:dyDescent="0.2">
      <c r="A116"/>
      <c r="H116" s="38"/>
      <c r="L116" s="82" t="s">
        <v>69</v>
      </c>
      <c r="P116" s="1" t="s">
        <v>113</v>
      </c>
    </row>
    <row r="117" spans="1:16" x14ac:dyDescent="0.2">
      <c r="A117"/>
      <c r="L117" s="82" t="s">
        <v>70</v>
      </c>
      <c r="P117" s="1" t="s">
        <v>114</v>
      </c>
    </row>
    <row r="118" spans="1:16" x14ac:dyDescent="0.2">
      <c r="A118"/>
      <c r="L118" s="82" t="s">
        <v>71</v>
      </c>
      <c r="P118" s="1" t="s">
        <v>94</v>
      </c>
    </row>
    <row r="119" spans="1:16" x14ac:dyDescent="0.2">
      <c r="A119"/>
      <c r="L119" s="82" t="s">
        <v>72</v>
      </c>
      <c r="P119" s="1" t="s">
        <v>95</v>
      </c>
    </row>
    <row r="120" spans="1:16" x14ac:dyDescent="0.2">
      <c r="A120"/>
      <c r="L120" s="82" t="s">
        <v>73</v>
      </c>
      <c r="P120" s="1" t="s">
        <v>96</v>
      </c>
    </row>
    <row r="121" spans="1:16" x14ac:dyDescent="0.2">
      <c r="A121"/>
      <c r="L121" s="82" t="s">
        <v>74</v>
      </c>
    </row>
    <row r="122" spans="1:16" x14ac:dyDescent="0.2">
      <c r="A122"/>
      <c r="L122" s="82" t="s">
        <v>75</v>
      </c>
      <c r="P122" s="94" t="s">
        <v>97</v>
      </c>
    </row>
    <row r="123" spans="1:16" x14ac:dyDescent="0.2">
      <c r="A123"/>
      <c r="L123" s="82" t="s">
        <v>76</v>
      </c>
      <c r="P123" s="94" t="s">
        <v>98</v>
      </c>
    </row>
    <row r="124" spans="1:16" x14ac:dyDescent="0.2">
      <c r="A124"/>
      <c r="L124" s="82" t="s">
        <v>77</v>
      </c>
    </row>
    <row r="125" spans="1:16" x14ac:dyDescent="0.2">
      <c r="A125"/>
      <c r="L125" s="82" t="s">
        <v>78</v>
      </c>
    </row>
    <row r="126" spans="1:16" x14ac:dyDescent="0.2">
      <c r="A126"/>
      <c r="L126" s="82" t="s">
        <v>79</v>
      </c>
    </row>
    <row r="127" spans="1:16" x14ac:dyDescent="0.2">
      <c r="A127"/>
      <c r="L127" s="82" t="s">
        <v>80</v>
      </c>
    </row>
    <row r="128" spans="1:16" x14ac:dyDescent="0.2">
      <c r="A128"/>
      <c r="L128" s="82" t="s">
        <v>81</v>
      </c>
    </row>
    <row r="129" spans="1:12" x14ac:dyDescent="0.2">
      <c r="A129"/>
      <c r="L129" s="82" t="s">
        <v>82</v>
      </c>
    </row>
    <row r="130" spans="1:12" x14ac:dyDescent="0.2">
      <c r="A130"/>
      <c r="L130" s="82" t="s">
        <v>83</v>
      </c>
    </row>
    <row r="131" spans="1:12" x14ac:dyDescent="0.2">
      <c r="A131"/>
      <c r="L131" s="82" t="s">
        <v>84</v>
      </c>
    </row>
    <row r="132" spans="1:12" x14ac:dyDescent="0.2">
      <c r="A132"/>
      <c r="L132" s="82" t="s">
        <v>65</v>
      </c>
    </row>
    <row r="133" spans="1:12" x14ac:dyDescent="0.2">
      <c r="A133"/>
      <c r="L133" s="82" t="s">
        <v>85</v>
      </c>
    </row>
    <row r="134" spans="1:12" x14ac:dyDescent="0.2">
      <c r="A134"/>
      <c r="L134" s="82"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38" t="str">
        <f>A28</f>
        <v>Nº OPERAÇÃO</v>
      </c>
      <c r="B220" s="240"/>
      <c r="C220" s="238" t="str">
        <f>C28</f>
        <v>GESTOR</v>
      </c>
      <c r="D220" s="239"/>
      <c r="E220" s="240"/>
      <c r="F220" s="238" t="str">
        <f>F28</f>
        <v>PROGRAMA</v>
      </c>
      <c r="G220" s="239"/>
      <c r="H220" s="239"/>
      <c r="I220" s="240"/>
      <c r="J220" s="238" t="str">
        <f>J28</f>
        <v>AÇÃO / MODALIDADE</v>
      </c>
      <c r="K220" s="239"/>
      <c r="L220" s="239"/>
      <c r="M220" s="239"/>
      <c r="N220" s="239"/>
      <c r="O220" s="240"/>
      <c r="P220" s="238" t="str">
        <f>P28</f>
        <v>OBJETO</v>
      </c>
      <c r="Q220" s="239"/>
      <c r="R220" s="239"/>
      <c r="S220" s="239"/>
      <c r="T220" s="239"/>
      <c r="U220" s="239"/>
      <c r="V220" s="239"/>
      <c r="W220" s="239"/>
      <c r="X220" s="240"/>
    </row>
    <row r="221" spans="1:24" ht="12.75" customHeight="1" x14ac:dyDescent="0.2">
      <c r="A221" s="235" t="str">
        <f>IF(A29="","",A29)</f>
        <v/>
      </c>
      <c r="B221" s="237"/>
      <c r="C221" s="235" t="str">
        <f>IF(C29="","",C29)</f>
        <v/>
      </c>
      <c r="D221" s="236"/>
      <c r="E221" s="237"/>
      <c r="F221" s="235" t="str">
        <f>IF(F29="","",F29)</f>
        <v/>
      </c>
      <c r="G221" s="236"/>
      <c r="H221" s="236"/>
      <c r="I221" s="237"/>
      <c r="J221" s="235" t="str">
        <f>IF(J29="","",J29)</f>
        <v/>
      </c>
      <c r="K221" s="236"/>
      <c r="L221" s="236" t="e">
        <f>IF(#REF!="","",#REF!)</f>
        <v>#REF!</v>
      </c>
      <c r="M221" s="236"/>
      <c r="N221" s="236" t="e">
        <f>IF(#REF!="","",#REF!)</f>
        <v>#REF!</v>
      </c>
      <c r="O221" s="237"/>
      <c r="P221" s="235" t="str">
        <f>IF(P29="","",P29)</f>
        <v>PAVILHÃO - ESTRUTURA METÁLICA</v>
      </c>
      <c r="Q221" s="236"/>
      <c r="R221" s="236"/>
      <c r="S221" s="236"/>
      <c r="T221" s="236"/>
      <c r="U221" s="236"/>
      <c r="V221" s="236"/>
      <c r="W221" s="236"/>
      <c r="X221" s="237"/>
    </row>
    <row r="222" spans="1:24" ht="6" customHeight="1" x14ac:dyDescent="0.2">
      <c r="A222" s="2"/>
      <c r="B222" s="2"/>
      <c r="C222" s="2"/>
      <c r="D222" s="2"/>
      <c r="E222" s="2"/>
      <c r="F222" s="2"/>
      <c r="G222" s="2"/>
      <c r="H222" s="2"/>
      <c r="I222" s="2"/>
      <c r="J222" s="2"/>
      <c r="K222" s="2"/>
      <c r="L222" s="2"/>
      <c r="M222" s="2"/>
      <c r="N222" s="2"/>
      <c r="O222" s="2"/>
      <c r="P222" s="2"/>
      <c r="Q222" s="2"/>
      <c r="R222" s="2"/>
      <c r="S222" s="2"/>
      <c r="T222" s="2"/>
      <c r="U222" s="2"/>
      <c r="V222" s="2"/>
      <c r="W222" s="21"/>
      <c r="X222" s="21"/>
    </row>
    <row r="223" spans="1:24" x14ac:dyDescent="0.2">
      <c r="A223" s="238" t="str">
        <f>A31</f>
        <v>PROPONENTE / TOMADOR</v>
      </c>
      <c r="B223" s="239"/>
      <c r="C223" s="239"/>
      <c r="D223" s="239"/>
      <c r="E223" s="239"/>
      <c r="F223" s="239"/>
      <c r="G223" s="238" t="str">
        <f>G31</f>
        <v>MUNICÍPIO / UF</v>
      </c>
      <c r="H223" s="239"/>
      <c r="I223" s="239"/>
      <c r="J223" s="240"/>
      <c r="K223" s="238" t="str">
        <f>K31</f>
        <v>LOCALIDADE / ENDEREÇO</v>
      </c>
      <c r="L223" s="239"/>
      <c r="M223" s="239"/>
      <c r="N223" s="239"/>
      <c r="O223" s="239"/>
      <c r="P223" s="240"/>
      <c r="Q223" s="238" t="str">
        <f>Q31</f>
        <v>APELIDO DO EMPREENDIMENTO</v>
      </c>
      <c r="R223" s="239"/>
      <c r="S223" s="239"/>
      <c r="T223" s="239"/>
      <c r="U223" s="239"/>
      <c r="V223" s="239"/>
      <c r="W223" s="239"/>
      <c r="X223" s="240"/>
    </row>
    <row r="224" spans="1:24" ht="12.75" customHeight="1" x14ac:dyDescent="0.2">
      <c r="A224" s="272" t="str">
        <f>IF(A32="","",A32)</f>
        <v>MUNICÍPIO DE SÃO CARLOS</v>
      </c>
      <c r="B224" s="273"/>
      <c r="C224" s="273"/>
      <c r="D224" s="273"/>
      <c r="E224" s="273"/>
      <c r="F224" s="273"/>
      <c r="G224" s="235" t="str">
        <f>IF(G32="","",G32)</f>
        <v>SÃO CARLOS/SC</v>
      </c>
      <c r="H224" s="236" t="str">
        <f>IF(I32="","",I32)</f>
        <v/>
      </c>
      <c r="I224" s="236"/>
      <c r="J224" s="237" t="e">
        <f>IF(#REF!="","",#REF!)</f>
        <v>#REF!</v>
      </c>
      <c r="K224" s="235" t="str">
        <f>IF(K32="","",K32)</f>
        <v>RUA DEMÉTRIO LORENZ</v>
      </c>
      <c r="L224" s="236"/>
      <c r="M224" s="236"/>
      <c r="N224" s="236"/>
      <c r="O224" s="236"/>
      <c r="P224" s="237"/>
      <c r="Q224" s="235" t="str">
        <f>IF(Q32="","",Q32)</f>
        <v>PAVILHÃO - ESTRUTURA METÁLICA</v>
      </c>
      <c r="R224" s="236"/>
      <c r="S224" s="236"/>
      <c r="T224" s="236"/>
      <c r="U224" s="236"/>
      <c r="V224" s="236"/>
      <c r="W224" s="236"/>
      <c r="X224" s="237"/>
    </row>
    <row r="225" spans="1:24" ht="6" hidden="1" customHeight="1" x14ac:dyDescent="0.2">
      <c r="A225" s="2"/>
      <c r="B225" s="2"/>
      <c r="C225" s="2"/>
      <c r="D225" s="2"/>
      <c r="E225" s="2"/>
      <c r="F225" s="2"/>
      <c r="G225" s="2"/>
      <c r="H225" s="2"/>
      <c r="I225" s="2"/>
      <c r="J225" s="2"/>
      <c r="K225" s="2"/>
      <c r="L225" s="2"/>
      <c r="M225" s="2"/>
      <c r="N225" s="2"/>
      <c r="O225" s="2"/>
      <c r="P225" s="2"/>
      <c r="Q225" s="2"/>
      <c r="R225" s="2"/>
      <c r="S225" s="2"/>
      <c r="T225" s="2"/>
      <c r="U225" s="2"/>
      <c r="V225" s="2"/>
      <c r="W225" s="21"/>
      <c r="X225" s="21"/>
    </row>
    <row r="226" spans="1:24" hidden="1" x14ac:dyDescent="0.2">
      <c r="A226" s="238" t="str">
        <f>A37</f>
        <v>DATA BASE</v>
      </c>
      <c r="B226" s="240"/>
      <c r="C226" s="135" t="str">
        <f>C37</f>
        <v>DESON.</v>
      </c>
      <c r="D226" s="238" t="str">
        <f>D37</f>
        <v>LOCALIDADE DO SINAPI</v>
      </c>
      <c r="E226" s="239"/>
      <c r="F226" s="240"/>
      <c r="G226" s="238" t="str">
        <f>G37</f>
        <v>DESCRIÇÃO DO LOTE</v>
      </c>
      <c r="H226" s="239"/>
      <c r="I226" s="239"/>
      <c r="J226" s="239"/>
      <c r="K226" s="239"/>
      <c r="L226" s="239"/>
      <c r="M226" s="239"/>
      <c r="N226" s="239"/>
      <c r="O226" s="239"/>
      <c r="P226" s="239"/>
      <c r="Q226" s="239"/>
      <c r="R226" s="239"/>
      <c r="S226" s="240"/>
      <c r="T226" s="136" t="str">
        <f>T37</f>
        <v>BDI 1</v>
      </c>
      <c r="U226" s="136" t="str">
        <f>U37</f>
        <v>BDI 2</v>
      </c>
      <c r="V226" s="136" t="str">
        <f>V37</f>
        <v>BDI 3</v>
      </c>
      <c r="W226" s="136" t="str">
        <f>W37</f>
        <v>BDI 4</v>
      </c>
      <c r="X226" s="136" t="str">
        <f>X37</f>
        <v>BDI 5</v>
      </c>
    </row>
    <row r="227" spans="1:24" ht="12.75" hidden="1" customHeight="1" x14ac:dyDescent="0.2">
      <c r="A227" s="278">
        <f>IF(A38="","",A38)</f>
        <v>45323</v>
      </c>
      <c r="B227" s="279"/>
      <c r="C227" s="137" t="str">
        <f t="shared" ref="C227:X227" si="0">IF(C38="","",C38)</f>
        <v>Não</v>
      </c>
      <c r="D227" s="265" t="str">
        <f t="shared" si="0"/>
        <v>Florianópolis / SC</v>
      </c>
      <c r="E227" s="269" t="str">
        <f t="shared" si="0"/>
        <v/>
      </c>
      <c r="F227" s="266" t="str">
        <f t="shared" si="0"/>
        <v/>
      </c>
      <c r="G227" s="265" t="str">
        <f t="shared" si="0"/>
        <v>PAVILHÃO - ESTRUTURA METÁLICA - BAIRRO CRISTO REI</v>
      </c>
      <c r="H227" s="269" t="str">
        <f t="shared" si="0"/>
        <v/>
      </c>
      <c r="I227" s="269" t="str">
        <f t="shared" si="0"/>
        <v/>
      </c>
      <c r="J227" s="269" t="str">
        <f t="shared" si="0"/>
        <v/>
      </c>
      <c r="K227" s="269" t="str">
        <f t="shared" si="0"/>
        <v/>
      </c>
      <c r="L227" s="269" t="str">
        <f t="shared" si="0"/>
        <v/>
      </c>
      <c r="M227" s="269" t="str">
        <f t="shared" si="0"/>
        <v/>
      </c>
      <c r="N227" s="269" t="str">
        <f t="shared" si="0"/>
        <v/>
      </c>
      <c r="O227" s="269" t="str">
        <f t="shared" si="0"/>
        <v/>
      </c>
      <c r="P227" s="269" t="str">
        <f t="shared" si="0"/>
        <v/>
      </c>
      <c r="Q227" s="269" t="str">
        <f t="shared" si="0"/>
        <v/>
      </c>
      <c r="R227" s="269" t="str">
        <f t="shared" si="0"/>
        <v/>
      </c>
      <c r="S227" s="266" t="str">
        <f t="shared" si="0"/>
        <v/>
      </c>
      <c r="T227" s="139">
        <f t="shared" ca="1" si="0"/>
        <v>0.21</v>
      </c>
      <c r="U227" s="96">
        <f t="shared" ca="1" si="0"/>
        <v>0</v>
      </c>
      <c r="V227" s="96" t="str">
        <f t="shared" ca="1" si="0"/>
        <v/>
      </c>
      <c r="W227" s="96" t="str">
        <f t="shared" ca="1" si="0"/>
        <v/>
      </c>
      <c r="X227" s="96" t="str">
        <f t="shared" ca="1" si="0"/>
        <v/>
      </c>
    </row>
    <row r="228" spans="1:24" ht="6" customHeight="1" x14ac:dyDescent="0.2">
      <c r="A228" s="2"/>
      <c r="B228" s="2"/>
      <c r="C228" s="2"/>
      <c r="D228" s="2"/>
      <c r="E228" s="2"/>
      <c r="F228" s="2"/>
      <c r="G228" s="2"/>
      <c r="H228" s="2"/>
      <c r="I228" s="2"/>
      <c r="J228" s="2"/>
      <c r="K228" s="2"/>
      <c r="L228" s="2"/>
      <c r="M228" s="2"/>
      <c r="N228" s="2"/>
      <c r="O228" s="2"/>
      <c r="P228" s="2"/>
      <c r="Q228" s="2"/>
      <c r="R228" s="2"/>
      <c r="S228" s="2"/>
      <c r="T228" s="2"/>
      <c r="U228" s="2"/>
      <c r="V228" s="2"/>
      <c r="W228" s="21"/>
      <c r="X228" s="21"/>
    </row>
    <row r="229" spans="1:24" ht="12.75" customHeight="1" x14ac:dyDescent="0.2">
      <c r="A229" s="238" t="s">
        <v>87</v>
      </c>
      <c r="B229" s="240"/>
      <c r="C229" s="238" t="s">
        <v>163</v>
      </c>
      <c r="D229" s="239"/>
      <c r="E229" s="239"/>
      <c r="F229" s="239"/>
      <c r="G229" s="239"/>
      <c r="H229" s="238" t="s">
        <v>16</v>
      </c>
      <c r="I229" s="239"/>
      <c r="J229" s="134" t="s">
        <v>91</v>
      </c>
      <c r="K229" s="238" t="s">
        <v>88</v>
      </c>
      <c r="L229" s="239"/>
      <c r="M229" s="240"/>
      <c r="N229" s="134" t="s">
        <v>92</v>
      </c>
      <c r="O229" s="238" t="s">
        <v>93</v>
      </c>
      <c r="P229" s="239"/>
      <c r="Q229" s="239"/>
      <c r="R229" s="239"/>
      <c r="S229" s="239"/>
      <c r="T229" s="240"/>
      <c r="U229" s="274" t="s">
        <v>89</v>
      </c>
      <c r="V229" s="275"/>
      <c r="W229" s="274" t="s">
        <v>90</v>
      </c>
      <c r="X229" s="275"/>
    </row>
    <row r="230" spans="1:24" s="21" customFormat="1" ht="12.75" customHeight="1" x14ac:dyDescent="0.2">
      <c r="A230" s="265" t="str">
        <f>IF(A43="","",A43)</f>
        <v/>
      </c>
      <c r="B230" s="266"/>
      <c r="C230" s="265" t="str">
        <f>IF(C43="","",C43)</f>
        <v/>
      </c>
      <c r="D230" s="269"/>
      <c r="E230" s="269" t="str">
        <f>IF(E43="","",E43)</f>
        <v/>
      </c>
      <c r="F230" s="269"/>
      <c r="G230" s="269" t="str">
        <f>IF(G43="","",G43)</f>
        <v/>
      </c>
      <c r="H230" s="270" t="str">
        <f>IF(H43="","",H43)</f>
        <v/>
      </c>
      <c r="I230" s="271" t="str">
        <f>IF(I43="","",I43)</f>
        <v/>
      </c>
      <c r="J230" s="138" t="str">
        <f>IF(J43="","",J43)</f>
        <v/>
      </c>
      <c r="K230" s="257" t="str">
        <f>IF(K43="","",K43)</f>
        <v/>
      </c>
      <c r="L230" s="259"/>
      <c r="M230" s="260" t="str">
        <f>IF(M43="","",M43)</f>
        <v/>
      </c>
      <c r="N230" s="140" t="str">
        <f>IF(N43="","",N43)</f>
        <v/>
      </c>
      <c r="O230" s="257" t="str">
        <f>IF(O43="","",O43)</f>
        <v/>
      </c>
      <c r="P230" s="258"/>
      <c r="Q230" s="258" t="str">
        <f>IF(Q43="","",Q43)</f>
        <v/>
      </c>
      <c r="R230" s="259"/>
      <c r="S230" s="259" t="str">
        <f>IF(S43="","",S43)</f>
        <v/>
      </c>
      <c r="T230" s="260"/>
      <c r="U230" s="267" t="str">
        <f>IF(U43="","",U43)</f>
        <v/>
      </c>
      <c r="V230" s="268"/>
      <c r="W230" s="261" t="str">
        <f>IF(W43="","",W43)</f>
        <v/>
      </c>
      <c r="X230" s="262"/>
    </row>
    <row r="231" spans="1:24" x14ac:dyDescent="0.2">
      <c r="A231" s="22"/>
      <c r="B231" s="22"/>
      <c r="C231" s="21"/>
      <c r="D231" s="21"/>
      <c r="E231" s="21"/>
      <c r="F231" s="23"/>
      <c r="G231" s="23"/>
      <c r="H231" s="23"/>
      <c r="I231" s="21"/>
      <c r="J231" s="21"/>
      <c r="K231" s="21"/>
      <c r="L231" s="21"/>
      <c r="M231" s="21"/>
      <c r="N231" s="21"/>
      <c r="O231" s="21"/>
      <c r="P231" s="21"/>
      <c r="Q231" s="21"/>
      <c r="R231" s="21"/>
      <c r="S231" s="21"/>
      <c r="T231" s="21"/>
      <c r="U231" s="21"/>
      <c r="V231" s="21"/>
      <c r="W231" s="21"/>
      <c r="X231" s="21"/>
    </row>
    <row r="232" spans="1:24" ht="6" customHeight="1" x14ac:dyDescent="0.2">
      <c r="A232" s="1"/>
      <c r="B232" s="1"/>
      <c r="F232" s="1"/>
      <c r="G232" s="1"/>
      <c r="H232" s="1"/>
    </row>
    <row r="233" spans="1:24" x14ac:dyDescent="0.2">
      <c r="A233" s="1"/>
      <c r="B233" s="1"/>
      <c r="F233" s="1"/>
      <c r="G233" s="1"/>
      <c r="H233" s="1"/>
    </row>
    <row r="234" spans="1:24" x14ac:dyDescent="0.2">
      <c r="A234" s="1"/>
      <c r="B234" s="1"/>
      <c r="F234" s="1"/>
      <c r="G234" s="1"/>
      <c r="H234" s="1"/>
    </row>
    <row r="235" spans="1:24" x14ac:dyDescent="0.2">
      <c r="A235" s="1"/>
      <c r="B235" s="1"/>
      <c r="F235" s="1"/>
      <c r="G235" s="1"/>
      <c r="H235" s="1"/>
    </row>
    <row r="236" spans="1:24" ht="12.75" hidden="1" customHeight="1" x14ac:dyDescent="0.2">
      <c r="A236" s="1"/>
      <c r="B236" s="1"/>
      <c r="F236" s="1"/>
      <c r="G236" s="1"/>
      <c r="H236" s="1"/>
    </row>
    <row r="237" spans="1:24" ht="6" hidden="1" customHeight="1" x14ac:dyDescent="0.2">
      <c r="A237" s="1"/>
      <c r="B237" s="1"/>
      <c r="F237" s="1"/>
      <c r="G237" s="1"/>
      <c r="H237" s="1"/>
    </row>
    <row r="238" spans="1:24" ht="12.75" hidden="1" customHeight="1" x14ac:dyDescent="0.2">
      <c r="A238" s="1"/>
      <c r="B238" s="1"/>
      <c r="F238" s="1"/>
      <c r="G238" s="1"/>
      <c r="H238" s="1"/>
    </row>
    <row r="239" spans="1:24" ht="12.75" hidden="1" customHeight="1" x14ac:dyDescent="0.2">
      <c r="A239" s="1"/>
      <c r="B239" s="1"/>
      <c r="F239" s="1"/>
      <c r="G239" s="1"/>
      <c r="H239" s="1"/>
    </row>
    <row r="240" spans="1:24" ht="6" hidden="1" customHeight="1" x14ac:dyDescent="0.2">
      <c r="A240" s="1"/>
      <c r="B240" s="1"/>
      <c r="F240" s="1"/>
      <c r="G240" s="1"/>
      <c r="H240" s="1"/>
    </row>
    <row r="241" spans="1:8" ht="12.75" hidden="1" customHeight="1" x14ac:dyDescent="0.2">
      <c r="A241" s="1"/>
      <c r="B241" s="1"/>
      <c r="F241" s="1"/>
      <c r="G241" s="1"/>
      <c r="H241" s="1"/>
    </row>
    <row r="242" spans="1:8" ht="12.75" hidden="1" customHeight="1" x14ac:dyDescent="0.2">
      <c r="A242" s="1"/>
      <c r="B242" s="1"/>
      <c r="F242" s="1"/>
      <c r="G242" s="1"/>
      <c r="H242" s="1"/>
    </row>
    <row r="243" spans="1:8" ht="12.75" hidden="1" customHeight="1" x14ac:dyDescent="0.2">
      <c r="A243" s="1"/>
      <c r="B243" s="1"/>
      <c r="F243" s="1"/>
      <c r="G243" s="1"/>
      <c r="H243" s="1"/>
    </row>
    <row r="244" spans="1:8" ht="12.75" customHeight="1" x14ac:dyDescent="0.2">
      <c r="A244" s="1"/>
      <c r="B244" s="1"/>
      <c r="F244" s="1"/>
      <c r="G244" s="1"/>
      <c r="H244" s="1"/>
    </row>
    <row r="245" spans="1:8" ht="6" customHeight="1" x14ac:dyDescent="0.2">
      <c r="A245" s="1"/>
      <c r="B245" s="1"/>
      <c r="F245" s="1"/>
      <c r="G245" s="1"/>
      <c r="H245" s="1"/>
    </row>
    <row r="246" spans="1:8" ht="12.75" customHeight="1" x14ac:dyDescent="0.2">
      <c r="A246" s="1"/>
      <c r="B246" s="1"/>
      <c r="F246" s="1"/>
      <c r="G246" s="1"/>
      <c r="H246" s="1"/>
    </row>
    <row r="247" spans="1:8" ht="12.75" customHeight="1" x14ac:dyDescent="0.2">
      <c r="A247" s="1"/>
      <c r="B247" s="1"/>
      <c r="F247" s="1"/>
      <c r="G247" s="1"/>
      <c r="H247" s="1"/>
    </row>
    <row r="248" spans="1:8" ht="12.75" customHeight="1" x14ac:dyDescent="0.2">
      <c r="A248" s="1"/>
      <c r="B248" s="1"/>
      <c r="F248" s="1"/>
      <c r="G248" s="1"/>
      <c r="H248" s="1"/>
    </row>
    <row r="249" spans="1:8" ht="12.75" customHeight="1" x14ac:dyDescent="0.2">
      <c r="A249" s="1"/>
      <c r="B249" s="1"/>
      <c r="F249" s="1"/>
      <c r="G249" s="1"/>
      <c r="H249" s="1"/>
    </row>
    <row r="250" spans="1:8" ht="6" customHeight="1" x14ac:dyDescent="0.2">
      <c r="A250" s="1"/>
      <c r="B250" s="1"/>
      <c r="F250" s="1"/>
      <c r="G250" s="1"/>
      <c r="H250" s="1"/>
    </row>
    <row r="251" spans="1:8" x14ac:dyDescent="0.2">
      <c r="A251" s="1"/>
      <c r="B251" s="1"/>
      <c r="F251" s="1"/>
      <c r="G251" s="1"/>
      <c r="H251" s="1"/>
    </row>
    <row r="252" spans="1:8" x14ac:dyDescent="0.2">
      <c r="A252" s="1"/>
      <c r="B252" s="1"/>
      <c r="F252" s="1"/>
      <c r="G252" s="1"/>
      <c r="H252" s="1"/>
    </row>
    <row r="253" spans="1:8" x14ac:dyDescent="0.2">
      <c r="A253" s="1"/>
      <c r="B253" s="1"/>
      <c r="F253" s="1"/>
      <c r="G253" s="1"/>
      <c r="H253" s="1"/>
    </row>
    <row r="254" spans="1:8" x14ac:dyDescent="0.2">
      <c r="A254" s="1"/>
      <c r="B254" s="1"/>
      <c r="F254" s="1"/>
      <c r="G254" s="1"/>
      <c r="H254" s="1"/>
    </row>
    <row r="255" spans="1:8" x14ac:dyDescent="0.2">
      <c r="A255" s="1"/>
      <c r="B255" s="1"/>
      <c r="F255" s="1"/>
      <c r="G255" s="1"/>
      <c r="H255" s="1"/>
    </row>
    <row r="256" spans="1:8" x14ac:dyDescent="0.2">
      <c r="A256" s="1"/>
      <c r="B256" s="1"/>
      <c r="F256" s="1"/>
      <c r="G256" s="1"/>
      <c r="H256" s="1"/>
    </row>
    <row r="257" spans="1:8" x14ac:dyDescent="0.2">
      <c r="A257" s="1"/>
      <c r="B257" s="1"/>
      <c r="F257" s="1"/>
      <c r="G257" s="1"/>
      <c r="H257" s="1"/>
    </row>
  </sheetData>
  <sheetProtection algorithmName="SHA-512" hashValue="I3FDOx6P+pMMOeNhxWKBDKipGpBl6zuLHAdeSuhal19Y1uApfvO/2p7BvZt/ob+6FQkpcMgEpN1kRbRCLPcj9Q==" saltValue="0H1kPOtDakvCQVha4pbB5g==" spinCount="100000" sheet="1" objects="1" scenarios="1"/>
  <mergeCells count="136">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s>
  <phoneticPr fontId="25" type="noConversion"/>
  <conditionalFormatting sqref="B54:E55 B56 B57:E57">
    <cfRule type="expression" dxfId="312" priority="44" stopIfTrue="1">
      <formula>$B54&lt;&gt;""</formula>
    </cfRule>
  </conditionalFormatting>
  <conditionalFormatting sqref="A48 H54:K54 H55:H56 H57:K57 C29 J29 F29 A32 P29 G32 K32">
    <cfRule type="expression" dxfId="311" priority="50" stopIfTrue="1">
      <formula>A29&lt;&gt;""</formula>
    </cfRule>
  </conditionalFormatting>
  <conditionalFormatting sqref="G53:K54 G55:H56 G57:K57">
    <cfRule type="expression" dxfId="310" priority="45" stopIfTrue="1">
      <formula>$K$52&lt;&gt;"SIM"</formula>
    </cfRule>
  </conditionalFormatting>
  <conditionalFormatting sqref="A40:X43">
    <cfRule type="expression" dxfId="309" priority="58" stopIfTrue="1">
      <formula>OR(TipoOrçamento="BASE",TipoOrçamento="REPROGRAMADONPL")</formula>
    </cfRule>
    <cfRule type="expression" dxfId="308" priority="59" stopIfTrue="1">
      <formula>A40&lt;&gt;""</formula>
    </cfRule>
  </conditionalFormatting>
  <conditionalFormatting sqref="A35:X38">
    <cfRule type="expression" dxfId="307" priority="60" stopIfTrue="1">
      <formula>OR(TipoOrçamento="LICITADO",TipoOrçamento="REPROGRAMADOAC")</formula>
    </cfRule>
    <cfRule type="expression" dxfId="306" priority="61" stopIfTrue="1">
      <formula>A35&lt;&gt;""</formula>
    </cfRule>
  </conditionalFormatting>
  <conditionalFormatting sqref="Q32">
    <cfRule type="expression" dxfId="305" priority="3" stopIfTrue="1">
      <formula>Q32&lt;&gt;""</formula>
    </cfRule>
  </conditionalFormatting>
  <conditionalFormatting sqref="A29:B29">
    <cfRule type="expression" dxfId="304" priority="1" stopIfTrue="1">
      <formula>A29&lt;&gt;""</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v007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1" zoomScaleNormal="100" zoomScaleSheetLayoutView="100" zoomScalePageLayoutView="70" workbookViewId="0">
      <selection activeCell="I40" sqref="I40:R40"/>
    </sheetView>
  </sheetViews>
  <sheetFormatPr defaultColWidth="0" defaultRowHeight="12.75" zeroHeight="1" x14ac:dyDescent="0.2"/>
  <cols>
    <col min="1" max="1" width="30.28515625" style="52" hidden="1" customWidth="1"/>
    <col min="2" max="3" width="9.140625" style="52" hidden="1" customWidth="1"/>
    <col min="4" max="4" width="23.5703125" style="52" hidden="1" customWidth="1"/>
    <col min="5" max="8" width="9.140625" style="52" hidden="1" customWidth="1"/>
    <col min="9" max="14" width="10.7109375" style="52" customWidth="1"/>
    <col min="15" max="15" width="12.85546875" style="52" customWidth="1"/>
    <col min="16" max="18" width="10.7109375" style="52" customWidth="1"/>
    <col min="19" max="19" width="3.7109375" style="52" customWidth="1"/>
    <col min="20" max="20" width="29.5703125" style="52" customWidth="1"/>
    <col min="21" max="21" width="13.7109375" style="52" customWidth="1"/>
    <col min="22" max="16384" width="9.140625" style="52" hidden="1"/>
  </cols>
  <sheetData>
    <row r="1" spans="1:29" ht="15" customHeight="1" x14ac:dyDescent="0.25">
      <c r="E1" s="53" t="s">
        <v>25</v>
      </c>
      <c r="F1" s="53" t="s">
        <v>26</v>
      </c>
      <c r="G1" s="53" t="s">
        <v>27</v>
      </c>
      <c r="N1" s="56" t="str">
        <f ca="1">"Quadro de Composição do BDI "&amp;MID(CELL("nome.arquivo",N1),5+FIND("BDI (",CELL("nome.arquivo",N1)),1)</f>
        <v>Quadro de Composição do BDI 1</v>
      </c>
      <c r="Q1"/>
      <c r="R1"/>
    </row>
    <row r="2" spans="1:29" x14ac:dyDescent="0.2">
      <c r="A2" s="52" t="s">
        <v>28</v>
      </c>
      <c r="B2" s="54" t="s">
        <v>29</v>
      </c>
      <c r="C2" s="52" t="str">
        <f t="shared" ref="C2:C49" si="0">CONCATENATE(A2,"-",B2)</f>
        <v>Construção e Reforma de Edifícios-AC</v>
      </c>
      <c r="E2" s="55">
        <v>0.03</v>
      </c>
      <c r="F2" s="55">
        <v>0.04</v>
      </c>
      <c r="G2" s="55">
        <v>5.5E-2</v>
      </c>
      <c r="Q2"/>
      <c r="R2"/>
    </row>
    <row r="3" spans="1:29" x14ac:dyDescent="0.2">
      <c r="A3" s="52" t="str">
        <f>A2</f>
        <v>Construção e Reforma de Edifícios</v>
      </c>
      <c r="B3" s="54" t="s">
        <v>30</v>
      </c>
      <c r="C3" s="52" t="str">
        <f t="shared" si="0"/>
        <v>Construção e Reforma de Edifícios-SG</v>
      </c>
      <c r="E3" s="55">
        <v>8.0000000000000002E-3</v>
      </c>
      <c r="F3" s="55">
        <v>8.0000000000000002E-3</v>
      </c>
      <c r="G3" s="55">
        <v>0.01</v>
      </c>
    </row>
    <row r="4" spans="1:29" x14ac:dyDescent="0.2">
      <c r="A4" s="52" t="str">
        <f>A3</f>
        <v>Construção e Reforma de Edifícios</v>
      </c>
      <c r="B4" s="54" t="s">
        <v>31</v>
      </c>
      <c r="C4" s="52" t="str">
        <f t="shared" si="0"/>
        <v>Construção e Reforma de Edifícios-R</v>
      </c>
      <c r="E4" s="55">
        <v>9.7000000000000003E-3</v>
      </c>
      <c r="F4" s="55">
        <v>1.2699999999999999E-2</v>
      </c>
      <c r="G4" s="55">
        <v>1.2699999999999999E-2</v>
      </c>
      <c r="I4" s="241" t="s">
        <v>150</v>
      </c>
      <c r="J4" s="243"/>
      <c r="K4" s="241" t="s">
        <v>173</v>
      </c>
      <c r="L4" s="242"/>
      <c r="M4" s="242"/>
      <c r="N4" s="242"/>
      <c r="O4" s="242"/>
      <c r="P4" s="242"/>
      <c r="Q4" s="242"/>
      <c r="R4" s="243"/>
    </row>
    <row r="5" spans="1:29" ht="12.75" customHeight="1" x14ac:dyDescent="0.3">
      <c r="A5" s="52" t="str">
        <f>A4</f>
        <v>Construção e Reforma de Edifícios</v>
      </c>
      <c r="B5" s="54" t="s">
        <v>32</v>
      </c>
      <c r="C5" s="52" t="str">
        <f t="shared" si="0"/>
        <v>Construção e Reforma de Edifícios-DF</v>
      </c>
      <c r="E5" s="55">
        <v>5.8999999999999999E-3</v>
      </c>
      <c r="F5" s="55">
        <v>1.23E-2</v>
      </c>
      <c r="G5" s="55">
        <v>1.3899999999999999E-2</v>
      </c>
      <c r="I5" s="329">
        <f>DADOS!A29</f>
        <v>0</v>
      </c>
      <c r="J5" s="330"/>
      <c r="K5" s="331" t="str">
        <f>DADOS!A32</f>
        <v>MUNICÍPIO DE SÃO CARLOS</v>
      </c>
      <c r="L5" s="332"/>
      <c r="M5" s="332"/>
      <c r="N5" s="332"/>
      <c r="O5" s="332"/>
      <c r="P5" s="332"/>
      <c r="Q5" s="332"/>
      <c r="R5" s="333"/>
      <c r="S5" s="57"/>
    </row>
    <row r="6" spans="1:29" ht="6" customHeight="1" x14ac:dyDescent="0.2">
      <c r="A6" s="52" t="str">
        <f>A5</f>
        <v>Construção e Reforma de Edifícios</v>
      </c>
      <c r="B6" s="54" t="s">
        <v>164</v>
      </c>
      <c r="C6" s="52" t="str">
        <f t="shared" si="0"/>
        <v>Construção e Reforma de Edifícios-L</v>
      </c>
      <c r="E6" s="55">
        <v>6.1600000000000002E-2</v>
      </c>
      <c r="F6" s="55">
        <v>7.400000000000001E-2</v>
      </c>
      <c r="G6" s="55">
        <v>8.9600000000000013E-2</v>
      </c>
      <c r="I6" s="58"/>
      <c r="J6" s="58"/>
      <c r="K6" s="58"/>
      <c r="L6" s="58"/>
      <c r="M6" s="58"/>
      <c r="N6" s="58"/>
      <c r="O6" s="58"/>
      <c r="P6" s="58"/>
      <c r="Q6" s="58"/>
      <c r="R6" s="58"/>
    </row>
    <row r="7" spans="1:29" ht="13.5" customHeight="1" x14ac:dyDescent="0.2">
      <c r="A7" s="52" t="str">
        <f>A6</f>
        <v>Construção e Reforma de Edifícios</v>
      </c>
      <c r="B7" s="59" t="s">
        <v>33</v>
      </c>
      <c r="C7" s="52" t="str">
        <f t="shared" si="0"/>
        <v>Construção e Reforma de Edifícios-BDI PAD</v>
      </c>
      <c r="E7" s="55">
        <v>0.2034</v>
      </c>
      <c r="F7" s="55">
        <v>0.22120000000000001</v>
      </c>
      <c r="G7" s="55">
        <v>0.25</v>
      </c>
      <c r="I7" s="241" t="s">
        <v>0</v>
      </c>
      <c r="J7" s="242"/>
      <c r="K7" s="242"/>
      <c r="L7" s="242"/>
      <c r="M7" s="242"/>
      <c r="N7" s="242"/>
      <c r="O7" s="242"/>
      <c r="P7" s="242"/>
      <c r="Q7" s="242"/>
      <c r="R7" s="243"/>
    </row>
    <row r="8" spans="1:29" ht="24.75" customHeight="1" x14ac:dyDescent="0.2">
      <c r="A8" s="52" t="s">
        <v>34</v>
      </c>
      <c r="B8" s="54" t="s">
        <v>29</v>
      </c>
      <c r="C8" s="52" t="str">
        <f t="shared" si="0"/>
        <v>Construção de Praças Urbanas, Rodovias, Ferrovias e recapeamento e pavimentação de vias urbanas-AC</v>
      </c>
      <c r="E8" s="55">
        <v>3.7999999999999999E-2</v>
      </c>
      <c r="F8" s="55">
        <v>4.0099999999999997E-2</v>
      </c>
      <c r="G8" s="55">
        <v>4.6699999999999998E-2</v>
      </c>
      <c r="I8" s="334" t="str">
        <f>DADOS!P29</f>
        <v>PAVILHÃO - ESTRUTURA METÁLICA</v>
      </c>
      <c r="J8" s="334"/>
      <c r="K8" s="334"/>
      <c r="L8" s="334"/>
      <c r="M8" s="334"/>
      <c r="N8" s="334"/>
      <c r="O8" s="334"/>
      <c r="P8" s="334"/>
      <c r="Q8" s="334"/>
      <c r="R8" s="334"/>
    </row>
    <row r="9" spans="1:29" ht="6" customHeight="1" x14ac:dyDescent="0.2">
      <c r="A9" s="52" t="s">
        <v>34</v>
      </c>
      <c r="B9" s="54" t="s">
        <v>30</v>
      </c>
      <c r="C9" s="52" t="str">
        <f t="shared" si="0"/>
        <v>Construção de Praças Urbanas, Rodovias, Ferrovias e recapeamento e pavimentação de vias urbanas-SG</v>
      </c>
      <c r="E9" s="55">
        <v>3.2000000000000002E-3</v>
      </c>
      <c r="F9" s="55">
        <v>4.0000000000000001E-3</v>
      </c>
      <c r="G9" s="55">
        <v>7.4000000000000003E-3</v>
      </c>
      <c r="I9" s="58"/>
      <c r="J9" s="58"/>
      <c r="K9" s="58"/>
      <c r="L9" s="58"/>
      <c r="M9" s="58"/>
      <c r="N9" s="58"/>
      <c r="O9" s="58"/>
      <c r="P9" s="58"/>
      <c r="Q9" s="58"/>
      <c r="R9" s="58"/>
    </row>
    <row r="10" spans="1:29" x14ac:dyDescent="0.2">
      <c r="A10" s="52" t="s">
        <v>34</v>
      </c>
      <c r="B10" s="54" t="s">
        <v>31</v>
      </c>
      <c r="C10" s="52" t="str">
        <f t="shared" si="0"/>
        <v>Construção de Praças Urbanas, Rodovias, Ferrovias e recapeamento e pavimentação de vias urbanas-R</v>
      </c>
      <c r="E10" s="55">
        <v>5.0000000000000001E-3</v>
      </c>
      <c r="F10" s="55">
        <v>5.6000000000000008E-3</v>
      </c>
      <c r="G10" s="55">
        <v>9.7000000000000003E-3</v>
      </c>
      <c r="I10" s="241" t="s">
        <v>35</v>
      </c>
      <c r="J10" s="242"/>
      <c r="K10" s="242"/>
      <c r="L10" s="242"/>
      <c r="M10" s="242"/>
      <c r="N10" s="242"/>
      <c r="O10" s="242"/>
      <c r="P10" s="242"/>
      <c r="Q10" s="241" t="s">
        <v>13</v>
      </c>
      <c r="R10" s="243"/>
    </row>
    <row r="11" spans="1:29" x14ac:dyDescent="0.2">
      <c r="A11" s="52" t="s">
        <v>34</v>
      </c>
      <c r="B11" s="54" t="s">
        <v>32</v>
      </c>
      <c r="C11" s="52" t="str">
        <f t="shared" si="0"/>
        <v>Construção de Praças Urbanas, Rodovias, Ferrovias e recapeamento e pavimentação de vias urbanas-DF</v>
      </c>
      <c r="E11" s="55">
        <v>1.0200000000000001E-2</v>
      </c>
      <c r="F11" s="55">
        <v>1.11E-2</v>
      </c>
      <c r="G11" s="55">
        <v>1.21E-2</v>
      </c>
      <c r="I11" s="324" t="s">
        <v>28</v>
      </c>
      <c r="J11" s="325"/>
      <c r="K11" s="325"/>
      <c r="L11" s="325"/>
      <c r="M11" s="325"/>
      <c r="N11" s="325"/>
      <c r="O11" s="325"/>
      <c r="P11" s="326"/>
      <c r="Q11" s="327" t="str">
        <f>DADOS!$C$38</f>
        <v>Não</v>
      </c>
      <c r="R11" s="328"/>
    </row>
    <row r="12" spans="1:29" x14ac:dyDescent="0.2">
      <c r="A12" s="52" t="s">
        <v>34</v>
      </c>
      <c r="B12" s="54" t="s">
        <v>164</v>
      </c>
      <c r="C12" s="52" t="str">
        <f t="shared" si="0"/>
        <v>Construção de Praças Urbanas, Rodovias, Ferrovias e recapeamento e pavimentação de vias urbanas-L</v>
      </c>
      <c r="E12" s="55">
        <v>6.6400000000000001E-2</v>
      </c>
      <c r="F12" s="55">
        <v>7.2999999999999995E-2</v>
      </c>
      <c r="G12" s="55">
        <v>8.6899999999999991E-2</v>
      </c>
    </row>
    <row r="13" spans="1:29" ht="15" customHeight="1" x14ac:dyDescent="0.2">
      <c r="A13" s="52" t="s">
        <v>34</v>
      </c>
      <c r="B13" s="59" t="s">
        <v>33</v>
      </c>
      <c r="C13" s="52" t="str">
        <f t="shared" si="0"/>
        <v>Construção de Praças Urbanas, Rodovias, Ferrovias e recapeamento e pavimentação de vias urbanas-BDI PAD</v>
      </c>
      <c r="E13" s="55">
        <v>0.19600000000000001</v>
      </c>
      <c r="F13" s="55">
        <v>0.2097</v>
      </c>
      <c r="G13" s="55">
        <v>0.24230000000000002</v>
      </c>
      <c r="I13" s="321" t="s">
        <v>36</v>
      </c>
      <c r="J13" s="321"/>
      <c r="K13" s="321"/>
      <c r="L13" s="321"/>
      <c r="M13" s="321"/>
      <c r="N13" s="321"/>
      <c r="O13" s="321"/>
      <c r="P13" s="321"/>
      <c r="Q13" s="318">
        <v>1</v>
      </c>
      <c r="R13" s="318"/>
    </row>
    <row r="14" spans="1:29" ht="15" customHeight="1" x14ac:dyDescent="0.2">
      <c r="A14" s="52" t="s">
        <v>37</v>
      </c>
      <c r="B14" s="54" t="s">
        <v>29</v>
      </c>
      <c r="C14" s="52" t="str">
        <f t="shared" si="0"/>
        <v>Construção de Redes de Abastecimento de Água, Coleta de Esgoto-AC</v>
      </c>
      <c r="E14" s="55">
        <v>3.4300000000000004E-2</v>
      </c>
      <c r="F14" s="55">
        <v>4.9299999999999997E-2</v>
      </c>
      <c r="G14" s="55">
        <v>6.7099999999999993E-2</v>
      </c>
      <c r="I14" s="319" t="s">
        <v>38</v>
      </c>
      <c r="J14" s="319"/>
      <c r="K14" s="319"/>
      <c r="L14" s="319"/>
      <c r="M14" s="319"/>
      <c r="N14" s="319"/>
      <c r="O14" s="319"/>
      <c r="P14" s="319"/>
      <c r="Q14" s="318">
        <v>2.5000000000000001E-2</v>
      </c>
      <c r="R14" s="318"/>
    </row>
    <row r="15" spans="1:29" x14ac:dyDescent="0.2">
      <c r="A15" s="52" t="str">
        <f>A14</f>
        <v>Construção de Redes de Abastecimento de Água, Coleta de Esgoto</v>
      </c>
      <c r="B15" s="54" t="s">
        <v>30</v>
      </c>
      <c r="C15" s="52" t="str">
        <f t="shared" si="0"/>
        <v>Construção de Redes de Abastecimento de Água, Coleta de Esgoto-SG</v>
      </c>
      <c r="E15" s="55">
        <v>2.8000000000000004E-3</v>
      </c>
      <c r="F15" s="55">
        <v>4.8999999999999998E-3</v>
      </c>
      <c r="G15" s="55">
        <v>7.4999999999999997E-3</v>
      </c>
    </row>
    <row r="16" spans="1:29" ht="12.75" customHeight="1" x14ac:dyDescent="0.2">
      <c r="B16" s="54"/>
      <c r="E16" s="55"/>
      <c r="F16" s="55"/>
      <c r="G16" s="55"/>
      <c r="I16" s="320" t="s">
        <v>39</v>
      </c>
      <c r="J16" s="320"/>
      <c r="K16" s="320"/>
      <c r="L16" s="320"/>
      <c r="M16" s="320" t="s">
        <v>40</v>
      </c>
      <c r="N16" s="323" t="s">
        <v>41</v>
      </c>
      <c r="O16" s="323" t="s">
        <v>42</v>
      </c>
      <c r="P16" s="322" t="s">
        <v>43</v>
      </c>
      <c r="Q16" s="322" t="s">
        <v>44</v>
      </c>
      <c r="R16" s="339" t="s">
        <v>45</v>
      </c>
      <c r="T16" s="335" t="str">
        <f>IF(V27,"Para BDI fora do intervalo estatístico, deve ser apresentado Relatório Técnico Circunstanciado justificando a adoção do percentual de cada parcela do BDI.","")</f>
        <v/>
      </c>
      <c r="U16" s="335"/>
      <c r="V16" s="108"/>
      <c r="W16" s="108"/>
      <c r="X16" s="108"/>
      <c r="Y16" s="108"/>
      <c r="Z16" s="108"/>
      <c r="AA16" s="108"/>
      <c r="AB16" s="108"/>
      <c r="AC16" s="108"/>
    </row>
    <row r="17" spans="1:31" ht="15.75" customHeight="1" x14ac:dyDescent="0.2">
      <c r="A17" s="52" t="str">
        <f>A15</f>
        <v>Construção de Redes de Abastecimento de Água, Coleta de Esgoto</v>
      </c>
      <c r="B17" s="54" t="s">
        <v>31</v>
      </c>
      <c r="C17" s="52" t="str">
        <f t="shared" si="0"/>
        <v>Construção de Redes de Abastecimento de Água, Coleta de Esgoto-R</v>
      </c>
      <c r="E17" s="55">
        <v>0.01</v>
      </c>
      <c r="F17" s="55">
        <v>1.3899999999999999E-2</v>
      </c>
      <c r="G17" s="55">
        <v>1.7399999999999999E-2</v>
      </c>
      <c r="I17" s="320"/>
      <c r="J17" s="320"/>
      <c r="K17" s="320"/>
      <c r="L17" s="320"/>
      <c r="M17" s="320"/>
      <c r="N17" s="323"/>
      <c r="O17" s="323"/>
      <c r="P17" s="322"/>
      <c r="Q17" s="322"/>
      <c r="R17" s="339"/>
      <c r="T17" s="335"/>
      <c r="U17" s="335"/>
      <c r="V17" s="108"/>
      <c r="W17" s="108"/>
      <c r="X17" s="108"/>
      <c r="Y17" s="108"/>
      <c r="Z17" s="108"/>
      <c r="AA17" s="108"/>
      <c r="AB17" s="108"/>
      <c r="AC17" s="108"/>
    </row>
    <row r="18" spans="1:31" ht="26.25" customHeight="1" x14ac:dyDescent="0.2">
      <c r="A18" s="52" t="str">
        <f>A17</f>
        <v>Construção de Redes de Abastecimento de Água, Coleta de Esgoto</v>
      </c>
      <c r="B18" s="54" t="s">
        <v>32</v>
      </c>
      <c r="C18" s="52" t="str">
        <f t="shared" si="0"/>
        <v>Construção de Redes de Abastecimento de Água, Coleta de Esgoto-DF</v>
      </c>
      <c r="E18" s="55">
        <v>9.3999999999999986E-3</v>
      </c>
      <c r="F18" s="55">
        <v>9.8999999999999991E-3</v>
      </c>
      <c r="G18" s="55">
        <v>1.1699999999999999E-2</v>
      </c>
      <c r="I18" s="337" t="str">
        <f>IF($I$11=$A$59,"Encargos Sociais incidentes sobre a mão de obra","Administração Central")</f>
        <v>Administração Central</v>
      </c>
      <c r="J18" s="337"/>
      <c r="K18" s="337"/>
      <c r="L18" s="337"/>
      <c r="M18" s="60" t="str">
        <f>IF($I$11=$A$59,"K1","AC")</f>
        <v>AC</v>
      </c>
      <c r="N18" s="61">
        <v>3.7999999999999999E-2</v>
      </c>
      <c r="O18" s="62" t="s">
        <v>46</v>
      </c>
      <c r="P18" s="63">
        <f>VLOOKUP(CONCATENATE(I$11,"-",M18),$C$2:$G$49,3,FALSE)</f>
        <v>0.03</v>
      </c>
      <c r="Q18" s="63">
        <f>VLOOKUP(CONCATENATE(I$11,"-",M18),$C$2:$G$49,4,FALSE)</f>
        <v>0.04</v>
      </c>
      <c r="R18" s="63">
        <f>VLOOKUP(CONCATENATE(I$11,"-",M18),$C$2:$G$49,5,FALSE)</f>
        <v>5.5E-2</v>
      </c>
      <c r="T18" s="335"/>
      <c r="U18" s="335"/>
      <c r="V18" s="108"/>
      <c r="W18" s="108"/>
      <c r="X18" s="108"/>
      <c r="Y18" s="108"/>
      <c r="Z18" s="108"/>
      <c r="AA18" s="108"/>
      <c r="AB18" s="108"/>
      <c r="AC18" s="108"/>
    </row>
    <row r="19" spans="1:31" ht="26.25" customHeight="1" x14ac:dyDescent="0.2">
      <c r="A19" s="52" t="str">
        <f>A18</f>
        <v>Construção de Redes de Abastecimento de Água, Coleta de Esgoto</v>
      </c>
      <c r="B19" s="54" t="s">
        <v>164</v>
      </c>
      <c r="C19" s="52" t="str">
        <f t="shared" si="0"/>
        <v>Construção de Redes de Abastecimento de Água, Coleta de Esgoto-L</v>
      </c>
      <c r="E19" s="55">
        <v>6.7400000000000002E-2</v>
      </c>
      <c r="F19" s="55">
        <v>8.0399999999999985E-2</v>
      </c>
      <c r="G19" s="55">
        <v>9.4E-2</v>
      </c>
      <c r="I19" s="337" t="str">
        <f>IF($I$11=$A$59,"Administração Central da empresa ou consultoria - overhead","Seguro e Garantia")</f>
        <v>Seguro e Garantia</v>
      </c>
      <c r="J19" s="337"/>
      <c r="K19" s="337"/>
      <c r="L19" s="337"/>
      <c r="M19" s="60" t="str">
        <f>IF($I$11=$A$59,"K2","SG")</f>
        <v>SG</v>
      </c>
      <c r="N19" s="61">
        <v>4.0000000000000001E-3</v>
      </c>
      <c r="O19" s="62" t="s">
        <v>46</v>
      </c>
      <c r="P19" s="63">
        <f>VLOOKUP(CONCATENATE(I$11,"-",M19),$C$2:$G$49,3,FALSE)</f>
        <v>8.0000000000000002E-3</v>
      </c>
      <c r="Q19" s="63">
        <f>VLOOKUP(CONCATENATE(I$11,"-",M19),$C$2:$G$49,4,FALSE)</f>
        <v>8.0000000000000002E-3</v>
      </c>
      <c r="R19" s="63">
        <f>VLOOKUP(CONCATENATE(I$11,"-",M19),$C$2:$G$49,5,FALSE)</f>
        <v>0.01</v>
      </c>
      <c r="T19" s="335"/>
      <c r="U19" s="335"/>
      <c r="V19" s="108"/>
      <c r="W19" s="108"/>
      <c r="X19" s="108"/>
      <c r="Y19" s="108"/>
      <c r="Z19" s="108"/>
      <c r="AA19" s="108"/>
      <c r="AB19" s="108"/>
      <c r="AC19" s="108"/>
    </row>
    <row r="20" spans="1:31" ht="26.25" customHeight="1" x14ac:dyDescent="0.2">
      <c r="A20" s="52" t="str">
        <f>A19</f>
        <v>Construção de Redes de Abastecimento de Água, Coleta de Esgoto</v>
      </c>
      <c r="B20" s="59" t="s">
        <v>33</v>
      </c>
      <c r="C20" s="52" t="str">
        <f t="shared" si="0"/>
        <v>Construção de Redes de Abastecimento de Água, Coleta de Esgoto-BDI PAD</v>
      </c>
      <c r="E20" s="55">
        <v>0.20760000000000001</v>
      </c>
      <c r="F20" s="55">
        <v>0.24179999999999999</v>
      </c>
      <c r="G20" s="55">
        <v>0.26440000000000002</v>
      </c>
      <c r="I20" s="337" t="str">
        <f>IF($I$11=$A$59,"","Risco")</f>
        <v>Risco</v>
      </c>
      <c r="J20" s="337"/>
      <c r="K20" s="337"/>
      <c r="L20" s="337"/>
      <c r="M20" s="60" t="str">
        <f>IF($I$11=$A$59,"","R")</f>
        <v>R</v>
      </c>
      <c r="N20" s="61">
        <v>8.8000000000000005E-3</v>
      </c>
      <c r="O20" s="62" t="s">
        <v>46</v>
      </c>
      <c r="P20" s="63">
        <f>VLOOKUP(CONCATENATE(I$11,"-",M20),$C$2:$G$49,3,FALSE)</f>
        <v>9.7000000000000003E-3</v>
      </c>
      <c r="Q20" s="63">
        <f>VLOOKUP(CONCATENATE(I$11,"-",M20),$C$2:$G$49,4,FALSE)</f>
        <v>1.2699999999999999E-2</v>
      </c>
      <c r="R20" s="63">
        <f>VLOOKUP(CONCATENATE(I$11,"-",M20),$C$2:$G$49,5,FALSE)</f>
        <v>1.2699999999999999E-2</v>
      </c>
      <c r="T20" s="335"/>
      <c r="U20" s="335"/>
      <c r="V20" s="108"/>
      <c r="W20" s="108"/>
      <c r="X20" s="108"/>
      <c r="Y20" s="108"/>
      <c r="Z20" s="108"/>
      <c r="AA20" s="108"/>
      <c r="AB20" s="108"/>
      <c r="AC20" s="108"/>
    </row>
    <row r="21" spans="1:31" ht="26.25" customHeight="1" x14ac:dyDescent="0.2">
      <c r="A21" s="52" t="s">
        <v>47</v>
      </c>
      <c r="B21" s="54" t="s">
        <v>29</v>
      </c>
      <c r="C21" s="52" t="str">
        <f t="shared" si="0"/>
        <v>Construção e Manutenção de Estações e Redes de Distribuição de Energia Elétrica-AC</v>
      </c>
      <c r="E21" s="55">
        <v>5.2900000000000003E-2</v>
      </c>
      <c r="F21" s="55">
        <v>5.9200000000000003E-2</v>
      </c>
      <c r="G21" s="55">
        <v>7.9299999999999995E-2</v>
      </c>
      <c r="I21" s="337" t="str">
        <f>IF($I$11=$A$59,"","Despesas Financeiras")</f>
        <v>Despesas Financeiras</v>
      </c>
      <c r="J21" s="337"/>
      <c r="K21" s="337"/>
      <c r="L21" s="337"/>
      <c r="M21" s="60" t="str">
        <f>IF($I$11=$A$59,"","DF")</f>
        <v>DF</v>
      </c>
      <c r="N21" s="61">
        <v>0.01</v>
      </c>
      <c r="O21" s="62" t="s">
        <v>46</v>
      </c>
      <c r="P21" s="63">
        <f>VLOOKUP(CONCATENATE(I$11,"-",M21),$C$2:$G$49,3,FALSE)</f>
        <v>5.8999999999999999E-3</v>
      </c>
      <c r="Q21" s="63">
        <f>VLOOKUP(CONCATENATE(I$11,"-",M21),$C$2:$G$49,4,FALSE)</f>
        <v>1.23E-2</v>
      </c>
      <c r="R21" s="63">
        <f>VLOOKUP(CONCATENATE(I$11,"-",M21),$C$2:$G$49,5,FALSE)</f>
        <v>1.3899999999999999E-2</v>
      </c>
      <c r="T21" s="335"/>
      <c r="U21" s="335"/>
    </row>
    <row r="22" spans="1:31" ht="26.25" customHeight="1" x14ac:dyDescent="0.2">
      <c r="A22" s="52" t="str">
        <f>A21</f>
        <v>Construção e Manutenção de Estações e Redes de Distribuição de Energia Elétrica</v>
      </c>
      <c r="B22" s="54" t="s">
        <v>30</v>
      </c>
      <c r="C22" s="52" t="str">
        <f t="shared" si="0"/>
        <v>Construção e Manutenção de Estações e Redes de Distribuição de Energia Elétrica-SG</v>
      </c>
      <c r="E22" s="55">
        <v>2.5000000000000001E-3</v>
      </c>
      <c r="F22" s="55">
        <v>5.1000000000000004E-3</v>
      </c>
      <c r="G22" s="55">
        <v>5.6000000000000008E-3</v>
      </c>
      <c r="I22" s="337" t="str">
        <f>IF($I$11=$A$59,"Margem bruta da empresa de consultoria","Lucro")</f>
        <v>Lucro</v>
      </c>
      <c r="J22" s="337"/>
      <c r="K22" s="337"/>
      <c r="L22" s="337"/>
      <c r="M22" s="60" t="str">
        <f>IF($I$11=$A$59,"K3","L")</f>
        <v>L</v>
      </c>
      <c r="N22" s="61">
        <v>7.0000000000000007E-2</v>
      </c>
      <c r="O22" s="62" t="s">
        <v>46</v>
      </c>
      <c r="P22" s="63">
        <f>VLOOKUP(CONCATENATE(I$11,"-",M22),$C$2:$G$49,3,FALSE)</f>
        <v>6.1600000000000002E-2</v>
      </c>
      <c r="Q22" s="63">
        <f>VLOOKUP(CONCATENATE(I$11,"-",M22),$C$2:$G$49,4,FALSE)</f>
        <v>7.400000000000001E-2</v>
      </c>
      <c r="R22" s="63">
        <f>VLOOKUP(CONCATENATE(I$11,"-",M22),$C$2:$G$49,5,FALSE)</f>
        <v>8.9600000000000013E-2</v>
      </c>
      <c r="T22" s="335"/>
      <c r="U22" s="335"/>
    </row>
    <row r="23" spans="1:31" ht="26.25" customHeight="1" x14ac:dyDescent="0.2">
      <c r="A23" s="52" t="str">
        <f>A22</f>
        <v>Construção e Manutenção de Estações e Redes de Distribuição de Energia Elétrica</v>
      </c>
      <c r="B23" s="54" t="s">
        <v>31</v>
      </c>
      <c r="C23" s="52" t="str">
        <f t="shared" si="0"/>
        <v>Construção e Manutenção de Estações e Redes de Distribuição de Energia Elétrica-R</v>
      </c>
      <c r="E23" s="55">
        <v>0.01</v>
      </c>
      <c r="F23" s="55">
        <v>1.4800000000000001E-2</v>
      </c>
      <c r="G23" s="55">
        <v>1.9699999999999999E-2</v>
      </c>
      <c r="I23" s="338" t="s">
        <v>48</v>
      </c>
      <c r="J23" s="338"/>
      <c r="K23" s="338"/>
      <c r="L23" s="338"/>
      <c r="M23" s="60" t="s">
        <v>49</v>
      </c>
      <c r="N23" s="61">
        <v>3.6499999999999998E-2</v>
      </c>
      <c r="O23" s="62" t="s">
        <v>46</v>
      </c>
      <c r="P23" s="63">
        <v>3.6499999999999998E-2</v>
      </c>
      <c r="Q23" s="63">
        <v>3.6499999999999998E-2</v>
      </c>
      <c r="R23" s="63">
        <v>3.6499999999999998E-2</v>
      </c>
      <c r="T23" s="335"/>
      <c r="U23" s="335"/>
    </row>
    <row r="24" spans="1:31" ht="26.25" customHeight="1" x14ac:dyDescent="0.2">
      <c r="A24" s="52" t="str">
        <f>A23</f>
        <v>Construção e Manutenção de Estações e Redes de Distribuição de Energia Elétrica</v>
      </c>
      <c r="B24" s="54" t="s">
        <v>32</v>
      </c>
      <c r="C24" s="52" t="str">
        <f t="shared" si="0"/>
        <v>Construção e Manutenção de Estações e Redes de Distribuição de Energia Elétrica-DF</v>
      </c>
      <c r="E24" s="55">
        <v>1.01E-2</v>
      </c>
      <c r="F24" s="55">
        <v>1.0700000000000001E-2</v>
      </c>
      <c r="G24" s="55">
        <v>1.11E-2</v>
      </c>
      <c r="I24" s="337" t="s">
        <v>50</v>
      </c>
      <c r="J24" s="337"/>
      <c r="K24" s="337"/>
      <c r="L24" s="337"/>
      <c r="M24" s="60" t="s">
        <v>51</v>
      </c>
      <c r="N24" s="63">
        <f>IF($I$11&lt;&gt;$A$58,Q14*Q13,0)</f>
        <v>2.5000000000000001E-2</v>
      </c>
      <c r="O24" s="62" t="s">
        <v>46</v>
      </c>
      <c r="P24" s="63">
        <v>0</v>
      </c>
      <c r="Q24" s="63">
        <v>2.5000000000000001E-2</v>
      </c>
      <c r="R24" s="63">
        <v>0.05</v>
      </c>
      <c r="T24" s="335"/>
      <c r="U24" s="335"/>
    </row>
    <row r="25" spans="1:31" ht="26.25" customHeight="1" x14ac:dyDescent="0.2">
      <c r="A25" s="52" t="str">
        <f>A24</f>
        <v>Construção e Manutenção de Estações e Redes de Distribuição de Energia Elétrica</v>
      </c>
      <c r="B25" s="54" t="s">
        <v>164</v>
      </c>
      <c r="C25" s="52" t="str">
        <f t="shared" si="0"/>
        <v>Construção e Manutenção de Estações e Redes de Distribuição de Energia Elétrica-L</v>
      </c>
      <c r="E25" s="55">
        <v>0.08</v>
      </c>
      <c r="F25" s="55">
        <v>8.3100000000000007E-2</v>
      </c>
      <c r="G25" s="55">
        <v>9.5100000000000004E-2</v>
      </c>
      <c r="I25" s="337" t="s">
        <v>116</v>
      </c>
      <c r="J25" s="337"/>
      <c r="K25" s="337"/>
      <c r="L25" s="337"/>
      <c r="M25" s="60" t="s">
        <v>52</v>
      </c>
      <c r="N25" s="63">
        <f>IF(AND($I$11&lt;&gt;$A$58,Q11="Sim"),4.5%,0%)</f>
        <v>0</v>
      </c>
      <c r="O25" s="62" t="str">
        <f>IF(AND(N25&gt;=P25, N25&lt;=R25), "OK", "Não OK")</f>
        <v>OK</v>
      </c>
      <c r="P25" s="64">
        <v>0</v>
      </c>
      <c r="Q25" s="64">
        <v>4.4999999999999998E-2</v>
      </c>
      <c r="R25" s="64">
        <v>4.4999999999999998E-2</v>
      </c>
    </row>
    <row r="26" spans="1:31" ht="30.75" customHeight="1" x14ac:dyDescent="0.25">
      <c r="A26" s="52" t="str">
        <f>A25</f>
        <v>Construção e Manutenção de Estações e Redes de Distribuição de Energia Elétrica</v>
      </c>
      <c r="B26" s="59" t="s">
        <v>33</v>
      </c>
      <c r="C26" s="52" t="str">
        <f t="shared" si="0"/>
        <v>Construção e Manutenção de Estações e Redes de Distribuição de Energia Elétrica-BDI PAD</v>
      </c>
      <c r="E26" s="55">
        <v>0.24</v>
      </c>
      <c r="F26" s="55">
        <v>0.25840000000000002</v>
      </c>
      <c r="G26" s="55">
        <v>0.27860000000000001</v>
      </c>
      <c r="I26" s="337" t="s">
        <v>53</v>
      </c>
      <c r="J26" s="337"/>
      <c r="K26" s="337"/>
      <c r="L26" s="337"/>
      <c r="M26" s="65" t="s">
        <v>33</v>
      </c>
      <c r="N26" s="63">
        <f>IF($I$11=$A$58,0,ROUND((((1+N18+N19+N20)*(1+N21)*(1+N22)/(1-(N23+N24)))-1),4))</f>
        <v>0.21</v>
      </c>
      <c r="O26" s="106" t="str">
        <f>IF(OR($I$11=$A$59,$I$11=$A$58,AND(N26&gt;=P26, N26&lt;=R26)), "OK", "FORA DO INTERVALO")</f>
        <v>OK</v>
      </c>
      <c r="P26" s="63">
        <f>IF($I$11=$A$58,0,VLOOKUP(CONCATENATE($I$11,"-",$M26),$C$2:$G$49,3,FALSE))</f>
        <v>0.2034</v>
      </c>
      <c r="Q26" s="63">
        <f>IF($I$11=$A$58,0,VLOOKUP(CONCATENATE($I$11,"-",$M26),$C$2:$G$49,4,FALSE))</f>
        <v>0.22120000000000001</v>
      </c>
      <c r="R26" s="63">
        <f>IF($I$11=$A$58,0,VLOOKUP(CONCATENATE($I$11,"-",$M26),$C$2:$G$49,5,FALSE))</f>
        <v>0.25</v>
      </c>
      <c r="T26" s="107"/>
      <c r="V26" s="108"/>
      <c r="W26" s="108"/>
      <c r="X26" s="108"/>
      <c r="Y26" s="108"/>
      <c r="Z26" s="108"/>
      <c r="AA26" s="108"/>
      <c r="AB26" s="108"/>
      <c r="AC26" s="108"/>
      <c r="AD26" s="108"/>
      <c r="AE26" s="108"/>
    </row>
    <row r="27" spans="1:31" ht="30" customHeight="1" x14ac:dyDescent="0.25">
      <c r="A27" s="52" t="s">
        <v>54</v>
      </c>
      <c r="B27" s="54" t="s">
        <v>29</v>
      </c>
      <c r="C27" s="52" t="str">
        <f t="shared" si="0"/>
        <v>Obras Portuárias, Marítimas e Fluviais-AC</v>
      </c>
      <c r="E27" s="55">
        <v>0.04</v>
      </c>
      <c r="F27" s="55">
        <v>5.5199999999999999E-2</v>
      </c>
      <c r="G27" s="55">
        <v>7.85E-2</v>
      </c>
      <c r="I27" s="348" t="s">
        <v>55</v>
      </c>
      <c r="J27" s="348"/>
      <c r="K27" s="348"/>
      <c r="L27" s="348"/>
      <c r="M27" s="66" t="s">
        <v>56</v>
      </c>
      <c r="N27" s="67">
        <f>IF($I$11=$A$58,0,ROUND((((1+N18+N19+N20)*(1+N21)*(1+N22)/(1-(N23+N24+N25)))-1),4))</f>
        <v>0.21</v>
      </c>
      <c r="O27" s="110" t="str">
        <f>IF(Q11&lt;&gt;"Sim","",O26)</f>
        <v/>
      </c>
      <c r="P27" s="349"/>
      <c r="Q27" s="349"/>
      <c r="R27" s="349"/>
      <c r="T27" s="107"/>
      <c r="V27" s="111" t="b">
        <f>AND(COUNTA(N18:N23)=6,O26&lt;&gt;"ok",NOT(V29))</f>
        <v>0</v>
      </c>
      <c r="W27" s="52" t="s">
        <v>118</v>
      </c>
    </row>
    <row r="28" spans="1:31" ht="7.5" customHeight="1" x14ac:dyDescent="0.2">
      <c r="A28" s="52" t="str">
        <f>A27</f>
        <v>Obras Portuárias, Marítimas e Fluviais</v>
      </c>
      <c r="B28" s="54" t="s">
        <v>30</v>
      </c>
      <c r="C28" s="52" t="str">
        <f t="shared" si="0"/>
        <v>Obras Portuárias, Marítimas e Fluviais-SG</v>
      </c>
      <c r="E28" s="55">
        <v>8.1000000000000013E-3</v>
      </c>
      <c r="F28" s="55">
        <v>1.2199999999999999E-2</v>
      </c>
      <c r="G28" s="55">
        <v>1.9900000000000001E-2</v>
      </c>
      <c r="V28" s="111"/>
    </row>
    <row r="29" spans="1:31" ht="21.75" customHeight="1" x14ac:dyDescent="0.2">
      <c r="A29" s="52" t="str">
        <f>A28</f>
        <v>Obras Portuárias, Marítimas e Fluviais</v>
      </c>
      <c r="B29" s="54" t="s">
        <v>31</v>
      </c>
      <c r="C29" s="52" t="str">
        <f t="shared" si="0"/>
        <v>Obras Portuárias, Marítimas e Fluviais-R</v>
      </c>
      <c r="E29" s="55">
        <v>1.46E-2</v>
      </c>
      <c r="F29" s="55">
        <v>2.3199999999999998E-2</v>
      </c>
      <c r="G29" s="55">
        <v>3.1600000000000003E-2</v>
      </c>
      <c r="I29" s="109" t="str">
        <f>IF(V29,"X","")</f>
        <v/>
      </c>
      <c r="J29" s="347" t="s">
        <v>117</v>
      </c>
      <c r="K29" s="347"/>
      <c r="L29" s="347"/>
      <c r="M29" s="347"/>
      <c r="N29" s="347"/>
      <c r="O29" s="347"/>
      <c r="P29" s="347"/>
      <c r="Q29" s="347"/>
      <c r="R29" s="347"/>
      <c r="V29" s="111" t="b">
        <v>0</v>
      </c>
      <c r="W29" s="52" t="s">
        <v>119</v>
      </c>
    </row>
    <row r="30" spans="1:31" ht="7.5" customHeight="1" x14ac:dyDescent="0.2">
      <c r="B30" s="54"/>
      <c r="E30" s="55"/>
      <c r="F30" s="55"/>
      <c r="G30" s="55"/>
      <c r="V30" s="111"/>
    </row>
    <row r="31" spans="1:31" ht="18.75" customHeight="1" x14ac:dyDescent="0.2">
      <c r="B31" s="54"/>
      <c r="E31" s="55"/>
      <c r="F31" s="55"/>
      <c r="G31" s="55"/>
      <c r="I31" s="350" t="s">
        <v>61</v>
      </c>
      <c r="J31" s="350"/>
      <c r="K31" s="350"/>
      <c r="L31" s="350"/>
      <c r="M31" s="350"/>
      <c r="N31" s="350"/>
      <c r="O31" s="350"/>
      <c r="P31" s="350"/>
      <c r="Q31" s="350"/>
      <c r="R31" s="350"/>
    </row>
    <row r="32" spans="1:31" ht="30" customHeight="1" x14ac:dyDescent="0.25">
      <c r="A32" s="52" t="str">
        <f>A29</f>
        <v>Obras Portuárias, Marítimas e Fluviais</v>
      </c>
      <c r="B32" s="54" t="s">
        <v>32</v>
      </c>
      <c r="C32" s="52" t="str">
        <f t="shared" si="0"/>
        <v>Obras Portuárias, Marítimas e Fluviais-DF</v>
      </c>
      <c r="E32" s="55">
        <v>9.3999999999999986E-3</v>
      </c>
      <c r="F32" s="55">
        <v>1.0200000000000001E-2</v>
      </c>
      <c r="G32" s="55">
        <v>1.3300000000000001E-2</v>
      </c>
      <c r="I32" s="100"/>
      <c r="J32" s="100"/>
      <c r="K32" s="100"/>
      <c r="L32" s="345" t="str">
        <f>IF(Q11="Sim","BDI.DES =","BDI.PAD =")</f>
        <v>BDI.PAD =</v>
      </c>
      <c r="M32" s="343" t="str">
        <f>IF($I$11=$A$59,"(1+K1+K2)*(1+K3)","(1+AC + S + R + G)*(1 + DF)*(1+L)")</f>
        <v>(1+AC + S + R + G)*(1 + DF)*(1+L)</v>
      </c>
      <c r="N32" s="343"/>
      <c r="O32" s="343"/>
      <c r="P32" s="341" t="s">
        <v>108</v>
      </c>
      <c r="Q32" s="100"/>
      <c r="R32" s="100"/>
    </row>
    <row r="33" spans="1:18" ht="27" customHeight="1" x14ac:dyDescent="0.2">
      <c r="A33" s="52" t="str">
        <f>A32</f>
        <v>Obras Portuárias, Marítimas e Fluviais</v>
      </c>
      <c r="B33" s="54" t="s">
        <v>164</v>
      </c>
      <c r="C33" s="52" t="str">
        <f t="shared" si="0"/>
        <v>Obras Portuárias, Marítimas e Fluviais-L</v>
      </c>
      <c r="E33" s="55">
        <v>7.1399999999999991E-2</v>
      </c>
      <c r="F33" s="55">
        <v>8.4000000000000005E-2</v>
      </c>
      <c r="G33" s="55">
        <v>0.1043</v>
      </c>
      <c r="I33" s="100"/>
      <c r="J33" s="100"/>
      <c r="K33" s="100"/>
      <c r="L33" s="345"/>
      <c r="M33" s="344" t="str">
        <f>IF(Q11="Sim","(1-CP-ISS-CRPB)","(1-CP-ISS)")</f>
        <v>(1-CP-ISS)</v>
      </c>
      <c r="N33" s="344"/>
      <c r="O33" s="344"/>
      <c r="P33" s="342"/>
      <c r="Q33" s="100"/>
      <c r="R33" s="100"/>
    </row>
    <row r="34" spans="1:18" ht="7.5" customHeight="1" x14ac:dyDescent="0.2">
      <c r="A34" s="52" t="str">
        <f>A33</f>
        <v>Obras Portuárias, Marítimas e Fluviais</v>
      </c>
      <c r="B34" s="59" t="s">
        <v>33</v>
      </c>
      <c r="C34" s="52" t="str">
        <f t="shared" si="0"/>
        <v>Obras Portuárias, Marítimas e Fluviais-BDI PAD</v>
      </c>
      <c r="E34" s="55">
        <v>0.22800000000000001</v>
      </c>
      <c r="F34" s="55">
        <v>0.27479999999999999</v>
      </c>
      <c r="G34" s="55">
        <v>0.3095</v>
      </c>
      <c r="I34" s="73"/>
      <c r="J34" s="73"/>
      <c r="K34" s="73"/>
      <c r="L34" s="73"/>
      <c r="M34" s="73"/>
      <c r="N34" s="73"/>
      <c r="O34" s="73"/>
      <c r="P34" s="73"/>
      <c r="Q34" s="73"/>
      <c r="R34" s="73"/>
    </row>
    <row r="35" spans="1:18" ht="45" customHeight="1" x14ac:dyDescent="0.2">
      <c r="B35" s="59"/>
      <c r="E35" s="55"/>
      <c r="F35" s="55"/>
      <c r="G35" s="55"/>
      <c r="I35" s="340"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e Reforma de Edifícios, é de 100%, com a respectiva alíquota de 2,5%.</v>
      </c>
      <c r="J35" s="340"/>
      <c r="K35" s="340"/>
      <c r="L35" s="340"/>
      <c r="M35" s="340"/>
      <c r="N35" s="340"/>
      <c r="O35" s="340"/>
      <c r="P35" s="340"/>
      <c r="Q35" s="340"/>
      <c r="R35" s="340"/>
    </row>
    <row r="36" spans="1:18" ht="11.25" customHeight="1" x14ac:dyDescent="0.2">
      <c r="B36" s="59"/>
      <c r="E36" s="55"/>
      <c r="F36" s="55"/>
      <c r="G36" s="55"/>
    </row>
    <row r="37" spans="1:18" ht="52.5" customHeight="1" x14ac:dyDescent="0.2">
      <c r="B37" s="59"/>
      <c r="E37" s="55"/>
      <c r="F37" s="55"/>
      <c r="G37" s="55"/>
      <c r="I37" s="340"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40"/>
      <c r="K37" s="340"/>
      <c r="L37" s="340"/>
      <c r="M37" s="340"/>
      <c r="N37" s="340"/>
      <c r="O37" s="340"/>
      <c r="P37" s="340"/>
      <c r="Q37" s="340"/>
      <c r="R37" s="340"/>
    </row>
    <row r="38" spans="1:18" ht="18" customHeight="1" x14ac:dyDescent="0.2">
      <c r="A38" s="52" t="s">
        <v>137</v>
      </c>
      <c r="B38" s="54" t="s">
        <v>29</v>
      </c>
      <c r="C38" s="52" t="str">
        <f t="shared" si="0"/>
        <v>Fornecimento de Materiais e Equipamentos (aquisição indireta - em conjunto com licitação de obras)-AC</v>
      </c>
      <c r="E38" s="55">
        <v>1.4999999999999999E-2</v>
      </c>
      <c r="F38" s="55">
        <v>3.4500000000000003E-2</v>
      </c>
      <c r="G38" s="55">
        <v>4.4900000000000002E-2</v>
      </c>
    </row>
    <row r="39" spans="1:18" x14ac:dyDescent="0.2">
      <c r="A39" s="52" t="str">
        <f>A38</f>
        <v>Fornecimento de Materiais e Equipamentos (aquisição indireta - em conjunto com licitação de obras)</v>
      </c>
      <c r="B39" s="54" t="s">
        <v>30</v>
      </c>
      <c r="C39" s="52" t="str">
        <f t="shared" si="0"/>
        <v>Fornecimento de Materiais e Equipamentos (aquisição indireta - em conjunto com licitação de obras)-SG</v>
      </c>
      <c r="E39" s="55">
        <v>3.0000000000000001E-3</v>
      </c>
      <c r="F39" s="55">
        <v>4.7999999999999996E-3</v>
      </c>
      <c r="G39" s="55">
        <v>8.199999999999999E-3</v>
      </c>
      <c r="I39" s="52" t="s">
        <v>21</v>
      </c>
    </row>
    <row r="40" spans="1:18" ht="42.75" customHeight="1" x14ac:dyDescent="0.2">
      <c r="A40" s="52" t="str">
        <f>A39</f>
        <v>Fornecimento de Materiais e Equipamentos (aquisição indireta - em conjunto com licitação de obras)</v>
      </c>
      <c r="B40" s="54" t="s">
        <v>31</v>
      </c>
      <c r="C40" s="52" t="str">
        <f t="shared" si="0"/>
        <v>Fornecimento de Materiais e Equipamentos (aquisição indireta - em conjunto com licitação de obras)-R</v>
      </c>
      <c r="E40" s="55">
        <v>5.6000000000000008E-3</v>
      </c>
      <c r="F40" s="55">
        <v>8.5000000000000006E-3</v>
      </c>
      <c r="G40" s="55">
        <v>8.8999999999999999E-3</v>
      </c>
      <c r="I40" s="352"/>
      <c r="J40" s="353"/>
      <c r="K40" s="353"/>
      <c r="L40" s="353"/>
      <c r="M40" s="353"/>
      <c r="N40" s="353"/>
      <c r="O40" s="353"/>
      <c r="P40" s="353"/>
      <c r="Q40" s="353"/>
      <c r="R40" s="354"/>
    </row>
    <row r="41" spans="1:18" ht="16.5" customHeight="1" x14ac:dyDescent="0.2">
      <c r="A41" s="52" t="str">
        <f>A40</f>
        <v>Fornecimento de Materiais e Equipamentos (aquisição indireta - em conjunto com licitação de obras)</v>
      </c>
      <c r="B41" s="54" t="s">
        <v>32</v>
      </c>
      <c r="C41" s="52" t="str">
        <f t="shared" si="0"/>
        <v>Fornecimento de Materiais e Equipamentos (aquisição indireta - em conjunto com licitação de obras)-DF</v>
      </c>
      <c r="E41" s="55">
        <v>8.5000000000000006E-3</v>
      </c>
      <c r="F41" s="55">
        <v>8.5000000000000006E-3</v>
      </c>
      <c r="G41" s="55">
        <v>1.11E-2</v>
      </c>
    </row>
    <row r="42" spans="1:18" x14ac:dyDescent="0.2">
      <c r="A42" s="52" t="str">
        <f>A41</f>
        <v>Fornecimento de Materiais e Equipamentos (aquisição indireta - em conjunto com licitação de obras)</v>
      </c>
      <c r="B42" s="54" t="s">
        <v>164</v>
      </c>
      <c r="C42" s="52" t="str">
        <f t="shared" si="0"/>
        <v>Fornecimento de Materiais e Equipamentos (aquisição indireta - em conjunto com licitação de obras)-L</v>
      </c>
      <c r="E42" s="55">
        <v>3.5000000000000003E-2</v>
      </c>
      <c r="F42" s="55">
        <v>5.1100000000000007E-2</v>
      </c>
      <c r="G42" s="55">
        <v>6.2199999999999998E-2</v>
      </c>
      <c r="I42" s="336" t="str">
        <f>PO!K88</f>
        <v>SÃO CARLOS/SC</v>
      </c>
      <c r="J42" s="336"/>
      <c r="K42" s="336"/>
      <c r="L42" s="336"/>
      <c r="O42" s="351">
        <f ca="1">PO!K91</f>
        <v>45457</v>
      </c>
      <c r="P42" s="351"/>
      <c r="Q42" s="351"/>
      <c r="R42" s="351"/>
    </row>
    <row r="43" spans="1:18" ht="15" customHeight="1" x14ac:dyDescent="0.2">
      <c r="A43" s="52" t="str">
        <f>A42</f>
        <v>Fornecimento de Materiais e Equipamentos (aquisição indireta - em conjunto com licitação de obras)</v>
      </c>
      <c r="B43" s="59" t="s">
        <v>33</v>
      </c>
      <c r="C43" s="52" t="str">
        <f t="shared" si="0"/>
        <v>Fornecimento de Materiais e Equipamentos (aquisição indireta - em conjunto com licitação de obras)-BDI PAD</v>
      </c>
      <c r="E43" s="55">
        <v>0.111</v>
      </c>
      <c r="F43" s="55">
        <v>0.14019999999999999</v>
      </c>
      <c r="G43" s="55">
        <v>0.16800000000000001</v>
      </c>
      <c r="I43" s="317" t="s">
        <v>120</v>
      </c>
      <c r="J43" s="317"/>
      <c r="K43" s="317"/>
      <c r="L43" s="317"/>
      <c r="N43" s="68"/>
      <c r="O43" s="144" t="s">
        <v>121</v>
      </c>
      <c r="P43" s="145"/>
      <c r="Q43" s="145"/>
      <c r="R43" s="145"/>
    </row>
    <row r="44" spans="1:18" x14ac:dyDescent="0.2">
      <c r="A44" s="52" t="s">
        <v>59</v>
      </c>
      <c r="B44" s="54" t="s">
        <v>104</v>
      </c>
      <c r="C44" s="52" t="str">
        <f t="shared" si="0"/>
        <v>Estudos e Projetos, Planos e Gerenciamento e outros correlatos-K1</v>
      </c>
      <c r="E44" s="55" t="s">
        <v>46</v>
      </c>
      <c r="F44" s="55" t="s">
        <v>46</v>
      </c>
      <c r="G44" s="55" t="s">
        <v>46</v>
      </c>
    </row>
    <row r="45" spans="1:18" ht="30" customHeight="1" x14ac:dyDescent="0.2">
      <c r="A45" s="52" t="str">
        <f>A44</f>
        <v>Estudos e Projetos, Planos e Gerenciamento e outros correlatos</v>
      </c>
      <c r="B45" s="54" t="s">
        <v>105</v>
      </c>
      <c r="C45" s="52" t="str">
        <f t="shared" si="0"/>
        <v>Estudos e Projetos, Planos e Gerenciamento e outros correlatos-K2</v>
      </c>
      <c r="E45" s="55" t="s">
        <v>46</v>
      </c>
      <c r="F45" s="55">
        <v>0.2</v>
      </c>
      <c r="G45" s="55" t="s">
        <v>46</v>
      </c>
      <c r="I45" s="316"/>
      <c r="J45" s="316"/>
      <c r="K45" s="316"/>
      <c r="L45" s="316"/>
      <c r="M45" s="69"/>
      <c r="N45" s="69"/>
      <c r="O45" s="316"/>
      <c r="P45" s="316"/>
      <c r="Q45" s="316"/>
      <c r="R45" s="316"/>
    </row>
    <row r="46" spans="1:18" x14ac:dyDescent="0.2">
      <c r="A46" s="52" t="str">
        <f>A45</f>
        <v>Estudos e Projetos, Planos e Gerenciamento e outros correlatos</v>
      </c>
      <c r="B46" s="54" t="s">
        <v>106</v>
      </c>
      <c r="C46" s="52" t="str">
        <f t="shared" si="0"/>
        <v>Estudos e Projetos, Planos e Gerenciamento e outros correlatos-</v>
      </c>
      <c r="E46" s="55" t="s">
        <v>46</v>
      </c>
      <c r="F46" s="55" t="s">
        <v>46</v>
      </c>
      <c r="G46" s="55" t="s">
        <v>46</v>
      </c>
      <c r="I46" s="355" t="s">
        <v>57</v>
      </c>
      <c r="J46" s="355"/>
      <c r="K46" s="355"/>
      <c r="L46" s="355"/>
      <c r="M46" s="70"/>
      <c r="N46" s="70"/>
      <c r="O46" s="355" t="s">
        <v>58</v>
      </c>
      <c r="P46" s="355"/>
      <c r="Q46" s="355"/>
      <c r="R46" s="355"/>
    </row>
    <row r="47" spans="1:18" ht="14.25" x14ac:dyDescent="0.2">
      <c r="A47" s="52" t="str">
        <f>A46</f>
        <v>Estudos e Projetos, Planos e Gerenciamento e outros correlatos</v>
      </c>
      <c r="B47" s="54" t="s">
        <v>106</v>
      </c>
      <c r="C47" s="52" t="str">
        <f t="shared" si="0"/>
        <v>Estudos e Projetos, Planos e Gerenciamento e outros correlatos-</v>
      </c>
      <c r="E47" s="55" t="s">
        <v>46</v>
      </c>
      <c r="F47" s="55" t="s">
        <v>46</v>
      </c>
      <c r="G47" s="55" t="s">
        <v>46</v>
      </c>
      <c r="I47" s="29" t="s">
        <v>140</v>
      </c>
      <c r="J47" s="346">
        <f>DADOS!B54</f>
        <v>0</v>
      </c>
      <c r="K47" s="346"/>
      <c r="L47" s="346"/>
      <c r="M47" s="71"/>
      <c r="N47" s="71"/>
      <c r="O47" s="29" t="s">
        <v>140</v>
      </c>
      <c r="P47" s="315" t="s">
        <v>233</v>
      </c>
      <c r="Q47" s="315"/>
      <c r="R47" s="315"/>
    </row>
    <row r="48" spans="1:18" ht="14.25" x14ac:dyDescent="0.2">
      <c r="A48" s="52" t="str">
        <f>A47</f>
        <v>Estudos e Projetos, Planos e Gerenciamento e outros correlatos</v>
      </c>
      <c r="B48" s="54" t="s">
        <v>107</v>
      </c>
      <c r="C48" s="52" t="str">
        <f t="shared" si="0"/>
        <v>Estudos e Projetos, Planos e Gerenciamento e outros correlatos-K3</v>
      </c>
      <c r="E48" s="55" t="s">
        <v>46</v>
      </c>
      <c r="F48" s="55">
        <v>0.12</v>
      </c>
      <c r="G48" s="55" t="s">
        <v>46</v>
      </c>
      <c r="I48" s="29" t="s">
        <v>17</v>
      </c>
      <c r="J48" s="346">
        <f>DADOS!B55</f>
        <v>0</v>
      </c>
      <c r="K48" s="346"/>
      <c r="L48" s="346"/>
      <c r="M48" s="71"/>
      <c r="N48" s="71"/>
      <c r="O48" s="29" t="s">
        <v>60</v>
      </c>
      <c r="P48" s="315" t="s">
        <v>234</v>
      </c>
      <c r="Q48" s="315"/>
      <c r="R48" s="315"/>
    </row>
    <row r="49" spans="1:18" ht="14.25" x14ac:dyDescent="0.2">
      <c r="A49" s="52" t="str">
        <f>A48</f>
        <v>Estudos e Projetos, Planos e Gerenciamento e outros correlatos</v>
      </c>
      <c r="B49" s="59" t="s">
        <v>33</v>
      </c>
      <c r="C49" s="52" t="str">
        <f t="shared" si="0"/>
        <v>Estudos e Projetos, Planos e Gerenciamento e outros correlatos-BDI PAD</v>
      </c>
      <c r="E49" s="55" t="s">
        <v>46</v>
      </c>
      <c r="F49" s="55" t="s">
        <v>46</v>
      </c>
      <c r="G49" s="55" t="s">
        <v>46</v>
      </c>
      <c r="I49" s="29" t="str">
        <f>DADOS!A56</f>
        <v>Empresa:</v>
      </c>
      <c r="J49" s="346">
        <f>DADOS!B56</f>
        <v>0</v>
      </c>
      <c r="K49" s="346"/>
      <c r="L49" s="346"/>
      <c r="M49" s="71"/>
      <c r="N49" s="71"/>
      <c r="O49" s="71"/>
      <c r="P49" s="71"/>
      <c r="Q49" s="71"/>
      <c r="R49" s="71"/>
    </row>
    <row r="50" spans="1:18" x14ac:dyDescent="0.2">
      <c r="I50" s="29" t="str">
        <f>DADOS!A57</f>
        <v>CNPJ:</v>
      </c>
      <c r="J50" s="346">
        <f>DADOS!B57</f>
        <v>0</v>
      </c>
      <c r="K50" s="346"/>
      <c r="L50" s="346"/>
    </row>
    <row r="51" spans="1:18" x14ac:dyDescent="0.2"/>
    <row r="52" spans="1:18" hidden="1" x14ac:dyDescent="0.2">
      <c r="A52" s="52" t="s">
        <v>28</v>
      </c>
    </row>
    <row r="53" spans="1:18" hidden="1" x14ac:dyDescent="0.2">
      <c r="A53" s="52" t="s">
        <v>34</v>
      </c>
    </row>
    <row r="54" spans="1:18" hidden="1" x14ac:dyDescent="0.2">
      <c r="A54" s="52" t="s">
        <v>37</v>
      </c>
    </row>
    <row r="55" spans="1:18" hidden="1" x14ac:dyDescent="0.2">
      <c r="A55" s="52" t="s">
        <v>47</v>
      </c>
    </row>
    <row r="56" spans="1:18" hidden="1" x14ac:dyDescent="0.2">
      <c r="A56" s="52" t="s">
        <v>54</v>
      </c>
    </row>
    <row r="57" spans="1:18" hidden="1" x14ac:dyDescent="0.2">
      <c r="A57" s="52" t="s">
        <v>137</v>
      </c>
    </row>
    <row r="58" spans="1:18" hidden="1" x14ac:dyDescent="0.2">
      <c r="A58" s="52" t="s">
        <v>138</v>
      </c>
    </row>
    <row r="59" spans="1:18" hidden="1" x14ac:dyDescent="0.2">
      <c r="A59" s="52" t="s">
        <v>59</v>
      </c>
    </row>
    <row r="60" spans="1:18" ht="14.25" hidden="1" x14ac:dyDescent="0.2">
      <c r="A60" s="72"/>
      <c r="B60" s="71"/>
      <c r="C60" s="71"/>
      <c r="D60" s="71"/>
      <c r="E60" s="71"/>
      <c r="F60" s="71"/>
      <c r="G60" s="71"/>
    </row>
  </sheetData>
  <sheetProtection algorithmName="SHA-512" hashValue="UZPYg9uHSgcWj+JSUHRgY44SgUEV+YLwcUAWjc169N+VugFEIIQy68lYeYMWfB4WsM+Ywev4QwV5DllDhsTeqg==" saltValue="LI6sqfR9IzacMb4YFuxIPg==" spinCount="100000" sheet="1" objects="1" scenarios="1"/>
  <mergeCells count="55">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I11:P11"/>
    <mergeCell ref="Q11:R11"/>
    <mergeCell ref="I4:J4"/>
    <mergeCell ref="K4:R4"/>
    <mergeCell ref="I5:J5"/>
    <mergeCell ref="K5:R5"/>
    <mergeCell ref="I7:R7"/>
    <mergeCell ref="I8:R8"/>
    <mergeCell ref="I10:P10"/>
    <mergeCell ref="Q10:R10"/>
    <mergeCell ref="P48:R48"/>
    <mergeCell ref="I45:L45"/>
    <mergeCell ref="I43:L43"/>
    <mergeCell ref="Q13:R13"/>
    <mergeCell ref="I14:P14"/>
    <mergeCell ref="Q14:R14"/>
    <mergeCell ref="M16:M17"/>
    <mergeCell ref="I13:P13"/>
    <mergeCell ref="P16:P17"/>
    <mergeCell ref="Q16:Q17"/>
    <mergeCell ref="N16:N17"/>
    <mergeCell ref="I16:L17"/>
    <mergeCell ref="O16:O17"/>
  </mergeCells>
  <phoneticPr fontId="43" type="noConversion"/>
  <conditionalFormatting sqref="O42">
    <cfRule type="expression" dxfId="303" priority="6" stopIfTrue="1">
      <formula>$O$42=""</formula>
    </cfRule>
  </conditionalFormatting>
  <conditionalFormatting sqref="O18:O27">
    <cfRule type="expression" dxfId="302" priority="11" stopIfTrue="1">
      <formula>AND(O18&lt;&gt;"OK",O18&lt;&gt;"-",O18&lt;&gt;"")</formula>
    </cfRule>
    <cfRule type="cellIs" dxfId="301" priority="12" stopIfTrue="1" operator="equal">
      <formula>"OK"</formula>
    </cfRule>
  </conditionalFormatting>
  <conditionalFormatting sqref="I26:N26">
    <cfRule type="expression" dxfId="300" priority="10" stopIfTrue="1">
      <formula>$Q$11="Não"</formula>
    </cfRule>
  </conditionalFormatting>
  <conditionalFormatting sqref="I27:N27">
    <cfRule type="expression" dxfId="299" priority="9" stopIfTrue="1">
      <formula>$Q$11="sim"</formula>
    </cfRule>
  </conditionalFormatting>
  <conditionalFormatting sqref="P27:R27">
    <cfRule type="expression" dxfId="298" priority="8" stopIfTrue="1">
      <formula>$Q$11="sim"</formula>
    </cfRule>
  </conditionalFormatting>
  <conditionalFormatting sqref="P47:R48">
    <cfRule type="expression" dxfId="297" priority="7" stopIfTrue="1">
      <formula>P47=""</formula>
    </cfRule>
  </conditionalFormatting>
  <conditionalFormatting sqref="I29:R29">
    <cfRule type="expression" dxfId="296" priority="3" stopIfTrue="1">
      <formula>AND(NOT($V$27),NOT($V$29))</formula>
    </cfRule>
  </conditionalFormatting>
  <conditionalFormatting sqref="P18:R26">
    <cfRule type="expression" dxfId="295"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v007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5">
    <tabColor rgb="FFFFFF00"/>
    <pageSetUpPr fitToPage="1"/>
  </sheetPr>
  <dimension ref="A1:AE60"/>
  <sheetViews>
    <sheetView showGridLines="0" topLeftCell="I1" zoomScaleNormal="100" zoomScaleSheetLayoutView="100" zoomScalePageLayoutView="70" workbookViewId="0">
      <selection activeCell="Q13" sqref="Q13:R14"/>
    </sheetView>
  </sheetViews>
  <sheetFormatPr defaultColWidth="0" defaultRowHeight="12.75" customHeight="1" zeroHeight="1" x14ac:dyDescent="0.2"/>
  <cols>
    <col min="1" max="1" width="30.28515625" style="52" hidden="1" customWidth="1"/>
    <col min="2" max="3" width="9.140625" style="52" hidden="1" customWidth="1"/>
    <col min="4" max="4" width="23.5703125" style="52" hidden="1" customWidth="1"/>
    <col min="5" max="8" width="9.140625" style="52" hidden="1" customWidth="1"/>
    <col min="9" max="14" width="10.7109375" style="52" customWidth="1"/>
    <col min="15" max="15" width="12.85546875" style="52" customWidth="1"/>
    <col min="16" max="18" width="10.7109375" style="52" customWidth="1"/>
    <col min="19" max="19" width="3.7109375" style="52" customWidth="1"/>
    <col min="20" max="20" width="29.5703125" style="52" customWidth="1"/>
    <col min="21" max="21" width="13.7109375" style="52" customWidth="1"/>
    <col min="22" max="16384" width="9.140625" style="52" hidden="1"/>
  </cols>
  <sheetData>
    <row r="1" spans="1:29" ht="15" customHeight="1" x14ac:dyDescent="0.25">
      <c r="E1" s="53" t="s">
        <v>25</v>
      </c>
      <c r="F1" s="53" t="s">
        <v>26</v>
      </c>
      <c r="G1" s="53" t="s">
        <v>27</v>
      </c>
      <c r="N1" s="56" t="str">
        <f ca="1">"Quadro de Composição do BDI "&amp;MID(CELL("nome.arquivo",N1),5+FIND("BDI (",CELL("nome.arquivo",N1)),1)</f>
        <v>Quadro de Composição do BDI 2</v>
      </c>
      <c r="Q1"/>
      <c r="R1"/>
    </row>
    <row r="2" spans="1:29" x14ac:dyDescent="0.2">
      <c r="A2" s="52" t="s">
        <v>28</v>
      </c>
      <c r="B2" s="54" t="s">
        <v>29</v>
      </c>
      <c r="C2" s="52" t="str">
        <f t="shared" ref="C2:C49" si="0">CONCATENATE(A2,"-",B2)</f>
        <v>Construção e Reforma de Edifícios-AC</v>
      </c>
      <c r="E2" s="55">
        <v>0.03</v>
      </c>
      <c r="F2" s="55">
        <v>0.04</v>
      </c>
      <c r="G2" s="55">
        <v>5.5E-2</v>
      </c>
      <c r="Q2"/>
      <c r="R2"/>
    </row>
    <row r="3" spans="1:29" x14ac:dyDescent="0.2">
      <c r="A3" s="52" t="str">
        <f>A2</f>
        <v>Construção e Reforma de Edifícios</v>
      </c>
      <c r="B3" s="54" t="s">
        <v>30</v>
      </c>
      <c r="C3" s="52" t="str">
        <f t="shared" si="0"/>
        <v>Construção e Reforma de Edifícios-SG</v>
      </c>
      <c r="E3" s="55">
        <v>8.0000000000000002E-3</v>
      </c>
      <c r="F3" s="55">
        <v>8.0000000000000002E-3</v>
      </c>
      <c r="G3" s="55">
        <v>0.01</v>
      </c>
    </row>
    <row r="4" spans="1:29" x14ac:dyDescent="0.2">
      <c r="A4" s="52" t="str">
        <f>A3</f>
        <v>Construção e Reforma de Edifícios</v>
      </c>
      <c r="B4" s="54" t="s">
        <v>31</v>
      </c>
      <c r="C4" s="52" t="str">
        <f t="shared" si="0"/>
        <v>Construção e Reforma de Edifícios-R</v>
      </c>
      <c r="E4" s="55">
        <v>9.7000000000000003E-3</v>
      </c>
      <c r="F4" s="55">
        <v>1.2699999999999999E-2</v>
      </c>
      <c r="G4" s="55">
        <v>1.2699999999999999E-2</v>
      </c>
      <c r="I4" s="241" t="s">
        <v>150</v>
      </c>
      <c r="J4" s="243"/>
      <c r="K4" s="241" t="s">
        <v>173</v>
      </c>
      <c r="L4" s="242"/>
      <c r="M4" s="242"/>
      <c r="N4" s="242"/>
      <c r="O4" s="242"/>
      <c r="P4" s="242"/>
      <c r="Q4" s="242"/>
      <c r="R4" s="243"/>
    </row>
    <row r="5" spans="1:29" ht="12.75" customHeight="1" x14ac:dyDescent="0.3">
      <c r="A5" s="52" t="str">
        <f>A4</f>
        <v>Construção e Reforma de Edifícios</v>
      </c>
      <c r="B5" s="54" t="s">
        <v>32</v>
      </c>
      <c r="C5" s="52" t="str">
        <f t="shared" si="0"/>
        <v>Construção e Reforma de Edifícios-DF</v>
      </c>
      <c r="E5" s="55">
        <v>5.8999999999999999E-3</v>
      </c>
      <c r="F5" s="55">
        <v>1.23E-2</v>
      </c>
      <c r="G5" s="55">
        <v>1.3899999999999999E-2</v>
      </c>
      <c r="I5" s="329">
        <f>DADOS!A29</f>
        <v>0</v>
      </c>
      <c r="J5" s="330"/>
      <c r="K5" s="331" t="str">
        <f>DADOS!A32</f>
        <v>MUNICÍPIO DE SÃO CARLOS</v>
      </c>
      <c r="L5" s="332"/>
      <c r="M5" s="332"/>
      <c r="N5" s="332"/>
      <c r="O5" s="332"/>
      <c r="P5" s="332"/>
      <c r="Q5" s="332"/>
      <c r="R5" s="333"/>
      <c r="S5" s="57"/>
    </row>
    <row r="6" spans="1:29" ht="6" customHeight="1" x14ac:dyDescent="0.2">
      <c r="A6" s="52" t="str">
        <f>A5</f>
        <v>Construção e Reforma de Edifícios</v>
      </c>
      <c r="B6" s="54" t="s">
        <v>164</v>
      </c>
      <c r="C6" s="52" t="str">
        <f t="shared" si="0"/>
        <v>Construção e Reforma de Edifícios-L</v>
      </c>
      <c r="E6" s="55">
        <v>6.1600000000000002E-2</v>
      </c>
      <c r="F6" s="55">
        <v>7.400000000000001E-2</v>
      </c>
      <c r="G6" s="55">
        <v>8.9600000000000013E-2</v>
      </c>
      <c r="I6" s="58"/>
      <c r="J6" s="58"/>
      <c r="K6" s="58"/>
      <c r="L6" s="58"/>
      <c r="M6" s="58"/>
      <c r="N6" s="58"/>
      <c r="O6" s="58"/>
      <c r="P6" s="58"/>
      <c r="Q6" s="58"/>
      <c r="R6" s="58"/>
    </row>
    <row r="7" spans="1:29" ht="13.5" customHeight="1" x14ac:dyDescent="0.2">
      <c r="A7" s="52" t="str">
        <f>A6</f>
        <v>Construção e Reforma de Edifícios</v>
      </c>
      <c r="B7" s="59" t="s">
        <v>33</v>
      </c>
      <c r="C7" s="52" t="str">
        <f t="shared" si="0"/>
        <v>Construção e Reforma de Edifícios-BDI PAD</v>
      </c>
      <c r="E7" s="55">
        <v>0.2034</v>
      </c>
      <c r="F7" s="55">
        <v>0.22120000000000001</v>
      </c>
      <c r="G7" s="55">
        <v>0.25</v>
      </c>
      <c r="I7" s="241" t="s">
        <v>0</v>
      </c>
      <c r="J7" s="242"/>
      <c r="K7" s="242"/>
      <c r="L7" s="242"/>
      <c r="M7" s="242"/>
      <c r="N7" s="242"/>
      <c r="O7" s="242"/>
      <c r="P7" s="242"/>
      <c r="Q7" s="242"/>
      <c r="R7" s="243"/>
    </row>
    <row r="8" spans="1:29" ht="24.75" customHeight="1" x14ac:dyDescent="0.2">
      <c r="A8" s="52" t="s">
        <v>34</v>
      </c>
      <c r="B8" s="54" t="s">
        <v>29</v>
      </c>
      <c r="C8" s="52" t="str">
        <f t="shared" si="0"/>
        <v>Construção de Praças Urbanas, Rodovias, Ferrovias e recapeamento e pavimentação de vias urbanas-AC</v>
      </c>
      <c r="E8" s="55">
        <v>3.7999999999999999E-2</v>
      </c>
      <c r="F8" s="55">
        <v>4.0099999999999997E-2</v>
      </c>
      <c r="G8" s="55">
        <v>4.6699999999999998E-2</v>
      </c>
      <c r="I8" s="334" t="str">
        <f>DADOS!P29</f>
        <v>PAVILHÃO - ESTRUTURA METÁLICA</v>
      </c>
      <c r="J8" s="334"/>
      <c r="K8" s="334"/>
      <c r="L8" s="334"/>
      <c r="M8" s="334"/>
      <c r="N8" s="334"/>
      <c r="O8" s="334"/>
      <c r="P8" s="334"/>
      <c r="Q8" s="334"/>
      <c r="R8" s="334"/>
    </row>
    <row r="9" spans="1:29" ht="6" customHeight="1" x14ac:dyDescent="0.2">
      <c r="A9" s="52" t="s">
        <v>34</v>
      </c>
      <c r="B9" s="54" t="s">
        <v>30</v>
      </c>
      <c r="C9" s="52" t="str">
        <f t="shared" si="0"/>
        <v>Construção de Praças Urbanas, Rodovias, Ferrovias e recapeamento e pavimentação de vias urbanas-SG</v>
      </c>
      <c r="E9" s="55">
        <v>3.2000000000000002E-3</v>
      </c>
      <c r="F9" s="55">
        <v>4.0000000000000001E-3</v>
      </c>
      <c r="G9" s="55">
        <v>7.4000000000000003E-3</v>
      </c>
      <c r="I9" s="58"/>
      <c r="J9" s="58"/>
      <c r="K9" s="58"/>
      <c r="L9" s="58"/>
      <c r="M9" s="58"/>
      <c r="N9" s="58"/>
      <c r="O9" s="58"/>
      <c r="P9" s="58"/>
      <c r="Q9" s="58"/>
      <c r="R9" s="58"/>
    </row>
    <row r="10" spans="1:29" x14ac:dyDescent="0.2">
      <c r="A10" s="52" t="s">
        <v>34</v>
      </c>
      <c r="B10" s="54" t="s">
        <v>31</v>
      </c>
      <c r="C10" s="52" t="str">
        <f t="shared" si="0"/>
        <v>Construção de Praças Urbanas, Rodovias, Ferrovias e recapeamento e pavimentação de vias urbanas-R</v>
      </c>
      <c r="E10" s="55">
        <v>5.0000000000000001E-3</v>
      </c>
      <c r="F10" s="55">
        <v>5.6000000000000008E-3</v>
      </c>
      <c r="G10" s="55">
        <v>9.7000000000000003E-3</v>
      </c>
      <c r="I10" s="241" t="s">
        <v>35</v>
      </c>
      <c r="J10" s="242"/>
      <c r="K10" s="242"/>
      <c r="L10" s="242"/>
      <c r="M10" s="242"/>
      <c r="N10" s="242"/>
      <c r="O10" s="242"/>
      <c r="P10" s="242"/>
      <c r="Q10" s="241" t="s">
        <v>13</v>
      </c>
      <c r="R10" s="243"/>
    </row>
    <row r="11" spans="1:29" x14ac:dyDescent="0.2">
      <c r="A11" s="52" t="s">
        <v>34</v>
      </c>
      <c r="B11" s="54" t="s">
        <v>32</v>
      </c>
      <c r="C11" s="52" t="str">
        <f t="shared" si="0"/>
        <v>Construção de Praças Urbanas, Rodovias, Ferrovias e recapeamento e pavimentação de vias urbanas-DF</v>
      </c>
      <c r="E11" s="55">
        <v>1.0200000000000001E-2</v>
      </c>
      <c r="F11" s="55">
        <v>1.11E-2</v>
      </c>
      <c r="G11" s="55">
        <v>1.21E-2</v>
      </c>
      <c r="I11" s="324" t="s">
        <v>28</v>
      </c>
      <c r="J11" s="325"/>
      <c r="K11" s="325"/>
      <c r="L11" s="325"/>
      <c r="M11" s="325"/>
      <c r="N11" s="325"/>
      <c r="O11" s="325"/>
      <c r="P11" s="326"/>
      <c r="Q11" s="327" t="str">
        <f>DADOS!$C$38</f>
        <v>Não</v>
      </c>
      <c r="R11" s="328"/>
    </row>
    <row r="12" spans="1:29" x14ac:dyDescent="0.2">
      <c r="A12" s="52" t="s">
        <v>34</v>
      </c>
      <c r="B12" s="54" t="s">
        <v>164</v>
      </c>
      <c r="C12" s="52" t="str">
        <f t="shared" si="0"/>
        <v>Construção de Praças Urbanas, Rodovias, Ferrovias e recapeamento e pavimentação de vias urbanas-L</v>
      </c>
      <c r="E12" s="55">
        <v>6.6400000000000001E-2</v>
      </c>
      <c r="F12" s="55">
        <v>7.2999999999999995E-2</v>
      </c>
      <c r="G12" s="55">
        <v>8.6899999999999991E-2</v>
      </c>
    </row>
    <row r="13" spans="1:29" ht="15" customHeight="1" x14ac:dyDescent="0.2">
      <c r="A13" s="52" t="s">
        <v>34</v>
      </c>
      <c r="B13" s="59" t="s">
        <v>33</v>
      </c>
      <c r="C13" s="52" t="str">
        <f t="shared" si="0"/>
        <v>Construção de Praças Urbanas, Rodovias, Ferrovias e recapeamento e pavimentação de vias urbanas-BDI PAD</v>
      </c>
      <c r="E13" s="55">
        <v>0.19600000000000001</v>
      </c>
      <c r="F13" s="55">
        <v>0.2097</v>
      </c>
      <c r="G13" s="55">
        <v>0.24230000000000002</v>
      </c>
      <c r="I13" s="321" t="s">
        <v>36</v>
      </c>
      <c r="J13" s="321"/>
      <c r="K13" s="321"/>
      <c r="L13" s="321"/>
      <c r="M13" s="321"/>
      <c r="N13" s="321"/>
      <c r="O13" s="321"/>
      <c r="P13" s="321"/>
      <c r="Q13" s="318"/>
      <c r="R13" s="318"/>
    </row>
    <row r="14" spans="1:29" ht="15" customHeight="1" x14ac:dyDescent="0.2">
      <c r="A14" s="52" t="s">
        <v>37</v>
      </c>
      <c r="B14" s="54" t="s">
        <v>29</v>
      </c>
      <c r="C14" s="52" t="str">
        <f t="shared" si="0"/>
        <v>Construção de Redes de Abastecimento de Água, Coleta de Esgoto-AC</v>
      </c>
      <c r="E14" s="55">
        <v>3.4300000000000004E-2</v>
      </c>
      <c r="F14" s="55">
        <v>4.9299999999999997E-2</v>
      </c>
      <c r="G14" s="55">
        <v>6.7099999999999993E-2</v>
      </c>
      <c r="I14" s="319" t="s">
        <v>38</v>
      </c>
      <c r="J14" s="319"/>
      <c r="K14" s="319"/>
      <c r="L14" s="319"/>
      <c r="M14" s="319"/>
      <c r="N14" s="319"/>
      <c r="O14" s="319"/>
      <c r="P14" s="319"/>
      <c r="Q14" s="318"/>
      <c r="R14" s="318"/>
    </row>
    <row r="15" spans="1:29" x14ac:dyDescent="0.2">
      <c r="A15" s="52" t="str">
        <f>A14</f>
        <v>Construção de Redes de Abastecimento de Água, Coleta de Esgoto</v>
      </c>
      <c r="B15" s="54" t="s">
        <v>30</v>
      </c>
      <c r="C15" s="52" t="str">
        <f t="shared" si="0"/>
        <v>Construção de Redes de Abastecimento de Água, Coleta de Esgoto-SG</v>
      </c>
      <c r="E15" s="55">
        <v>2.8000000000000004E-3</v>
      </c>
      <c r="F15" s="55">
        <v>4.8999999999999998E-3</v>
      </c>
      <c r="G15" s="55">
        <v>7.4999999999999997E-3</v>
      </c>
    </row>
    <row r="16" spans="1:29" ht="12.75" customHeight="1" x14ac:dyDescent="0.2">
      <c r="B16" s="54"/>
      <c r="E16" s="55"/>
      <c r="F16" s="55"/>
      <c r="G16" s="55"/>
      <c r="I16" s="320" t="s">
        <v>39</v>
      </c>
      <c r="J16" s="320"/>
      <c r="K16" s="320"/>
      <c r="L16" s="320"/>
      <c r="M16" s="320" t="s">
        <v>40</v>
      </c>
      <c r="N16" s="323" t="s">
        <v>41</v>
      </c>
      <c r="O16" s="323" t="s">
        <v>42</v>
      </c>
      <c r="P16" s="322" t="s">
        <v>43</v>
      </c>
      <c r="Q16" s="322" t="s">
        <v>44</v>
      </c>
      <c r="R16" s="339" t="s">
        <v>45</v>
      </c>
      <c r="T16" s="335" t="str">
        <f>IF(V27,"Para BDI fora do intervalo estatístico, deve ser apresentado Relatório Técnico Circunstanciado justificando a adoção do percentual de cada parcela do BDI.","")</f>
        <v/>
      </c>
      <c r="U16" s="335"/>
      <c r="V16" s="108"/>
      <c r="W16" s="108"/>
      <c r="X16" s="108"/>
      <c r="Y16" s="108"/>
      <c r="Z16" s="108"/>
      <c r="AA16" s="108"/>
      <c r="AB16" s="108"/>
      <c r="AC16" s="108"/>
    </row>
    <row r="17" spans="1:31" ht="15.75" customHeight="1" x14ac:dyDescent="0.2">
      <c r="A17" s="52" t="str">
        <f>A15</f>
        <v>Construção de Redes de Abastecimento de Água, Coleta de Esgoto</v>
      </c>
      <c r="B17" s="54" t="s">
        <v>31</v>
      </c>
      <c r="C17" s="52" t="str">
        <f t="shared" si="0"/>
        <v>Construção de Redes de Abastecimento de Água, Coleta de Esgoto-R</v>
      </c>
      <c r="E17" s="55">
        <v>0.01</v>
      </c>
      <c r="F17" s="55">
        <v>1.3899999999999999E-2</v>
      </c>
      <c r="G17" s="55">
        <v>1.7399999999999999E-2</v>
      </c>
      <c r="I17" s="320"/>
      <c r="J17" s="320"/>
      <c r="K17" s="320"/>
      <c r="L17" s="320"/>
      <c r="M17" s="320"/>
      <c r="N17" s="323"/>
      <c r="O17" s="323"/>
      <c r="P17" s="322"/>
      <c r="Q17" s="322"/>
      <c r="R17" s="339"/>
      <c r="T17" s="335"/>
      <c r="U17" s="335"/>
      <c r="V17" s="108"/>
      <c r="W17" s="108"/>
      <c r="X17" s="108"/>
      <c r="Y17" s="108"/>
      <c r="Z17" s="108"/>
      <c r="AA17" s="108"/>
      <c r="AB17" s="108"/>
      <c r="AC17" s="108"/>
    </row>
    <row r="18" spans="1:31" ht="26.25" customHeight="1" x14ac:dyDescent="0.2">
      <c r="A18" s="52" t="str">
        <f>A17</f>
        <v>Construção de Redes de Abastecimento de Água, Coleta de Esgoto</v>
      </c>
      <c r="B18" s="54" t="s">
        <v>32</v>
      </c>
      <c r="C18" s="52" t="str">
        <f t="shared" si="0"/>
        <v>Construção de Redes de Abastecimento de Água, Coleta de Esgoto-DF</v>
      </c>
      <c r="E18" s="55">
        <v>9.3999999999999986E-3</v>
      </c>
      <c r="F18" s="55">
        <v>9.8999999999999991E-3</v>
      </c>
      <c r="G18" s="55">
        <v>1.1699999999999999E-2</v>
      </c>
      <c r="I18" s="337" t="str">
        <f>IF($I$11=$A$59,"Encargos Sociais incidentes sobre a mão de obra","Administração Central")</f>
        <v>Administração Central</v>
      </c>
      <c r="J18" s="337"/>
      <c r="K18" s="337"/>
      <c r="L18" s="337"/>
      <c r="M18" s="60" t="str">
        <f>IF($I$11=$A$59,"K1","AC")</f>
        <v>AC</v>
      </c>
      <c r="N18" s="61"/>
      <c r="O18" s="62" t="s">
        <v>46</v>
      </c>
      <c r="P18" s="63">
        <f>VLOOKUP(CONCATENATE(I$11,"-",M18),$C$2:$G$49,3,FALSE)</f>
        <v>0.03</v>
      </c>
      <c r="Q18" s="63">
        <f>VLOOKUP(CONCATENATE(I$11,"-",M18),$C$2:$G$49,4,FALSE)</f>
        <v>0.04</v>
      </c>
      <c r="R18" s="63">
        <f>VLOOKUP(CONCATENATE(I$11,"-",M18),$C$2:$G$49,5,FALSE)</f>
        <v>5.5E-2</v>
      </c>
      <c r="T18" s="335"/>
      <c r="U18" s="335"/>
      <c r="V18" s="108"/>
      <c r="W18" s="108"/>
      <c r="X18" s="108"/>
      <c r="Y18" s="108"/>
      <c r="Z18" s="108"/>
      <c r="AA18" s="108"/>
      <c r="AB18" s="108"/>
      <c r="AC18" s="108"/>
    </row>
    <row r="19" spans="1:31" ht="26.25" customHeight="1" x14ac:dyDescent="0.2">
      <c r="A19" s="52" t="str">
        <f>A18</f>
        <v>Construção de Redes de Abastecimento de Água, Coleta de Esgoto</v>
      </c>
      <c r="B19" s="54" t="s">
        <v>164</v>
      </c>
      <c r="C19" s="52" t="str">
        <f t="shared" si="0"/>
        <v>Construção de Redes de Abastecimento de Água, Coleta de Esgoto-L</v>
      </c>
      <c r="E19" s="55">
        <v>6.7400000000000002E-2</v>
      </c>
      <c r="F19" s="55">
        <v>8.0399999999999985E-2</v>
      </c>
      <c r="G19" s="55">
        <v>9.4E-2</v>
      </c>
      <c r="I19" s="337" t="str">
        <f>IF($I$11=$A$59,"Administração Central da empresa ou consultoria - overhead","Seguro e Garantia")</f>
        <v>Seguro e Garantia</v>
      </c>
      <c r="J19" s="337"/>
      <c r="K19" s="337"/>
      <c r="L19" s="337"/>
      <c r="M19" s="60" t="str">
        <f>IF($I$11=$A$59,"K2","SG")</f>
        <v>SG</v>
      </c>
      <c r="N19" s="61"/>
      <c r="O19" s="62" t="s">
        <v>46</v>
      </c>
      <c r="P19" s="63">
        <f>VLOOKUP(CONCATENATE(I$11,"-",M19),$C$2:$G$49,3,FALSE)</f>
        <v>8.0000000000000002E-3</v>
      </c>
      <c r="Q19" s="63">
        <f>VLOOKUP(CONCATENATE(I$11,"-",M19),$C$2:$G$49,4,FALSE)</f>
        <v>8.0000000000000002E-3</v>
      </c>
      <c r="R19" s="63">
        <f>VLOOKUP(CONCATENATE(I$11,"-",M19),$C$2:$G$49,5,FALSE)</f>
        <v>0.01</v>
      </c>
      <c r="T19" s="335"/>
      <c r="U19" s="335"/>
      <c r="V19" s="108"/>
      <c r="W19" s="108"/>
      <c r="X19" s="108"/>
      <c r="Y19" s="108"/>
      <c r="Z19" s="108"/>
      <c r="AA19" s="108"/>
      <c r="AB19" s="108"/>
      <c r="AC19" s="108"/>
    </row>
    <row r="20" spans="1:31" ht="26.25" customHeight="1" x14ac:dyDescent="0.2">
      <c r="A20" s="52" t="str">
        <f>A19</f>
        <v>Construção de Redes de Abastecimento de Água, Coleta de Esgoto</v>
      </c>
      <c r="B20" s="59" t="s">
        <v>33</v>
      </c>
      <c r="C20" s="52" t="str">
        <f t="shared" si="0"/>
        <v>Construção de Redes de Abastecimento de Água, Coleta de Esgoto-BDI PAD</v>
      </c>
      <c r="E20" s="55">
        <v>0.20760000000000001</v>
      </c>
      <c r="F20" s="55">
        <v>0.24179999999999999</v>
      </c>
      <c r="G20" s="55">
        <v>0.26440000000000002</v>
      </c>
      <c r="I20" s="337" t="str">
        <f>IF($I$11=$A$59,"","Risco")</f>
        <v>Risco</v>
      </c>
      <c r="J20" s="337"/>
      <c r="K20" s="337"/>
      <c r="L20" s="337"/>
      <c r="M20" s="60" t="str">
        <f>IF($I$11=$A$59,"","R")</f>
        <v>R</v>
      </c>
      <c r="N20" s="61"/>
      <c r="O20" s="62" t="s">
        <v>46</v>
      </c>
      <c r="P20" s="63">
        <f>VLOOKUP(CONCATENATE(I$11,"-",M20),$C$2:$G$49,3,FALSE)</f>
        <v>9.7000000000000003E-3</v>
      </c>
      <c r="Q20" s="63">
        <f>VLOOKUP(CONCATENATE(I$11,"-",M20),$C$2:$G$49,4,FALSE)</f>
        <v>1.2699999999999999E-2</v>
      </c>
      <c r="R20" s="63">
        <f>VLOOKUP(CONCATENATE(I$11,"-",M20),$C$2:$G$49,5,FALSE)</f>
        <v>1.2699999999999999E-2</v>
      </c>
      <c r="T20" s="335"/>
      <c r="U20" s="335"/>
      <c r="V20" s="108"/>
      <c r="W20" s="108"/>
      <c r="X20" s="108"/>
      <c r="Y20" s="108"/>
      <c r="Z20" s="108"/>
      <c r="AA20" s="108"/>
      <c r="AB20" s="108"/>
      <c r="AC20" s="108"/>
    </row>
    <row r="21" spans="1:31" ht="26.25" customHeight="1" x14ac:dyDescent="0.2">
      <c r="A21" s="52" t="s">
        <v>47</v>
      </c>
      <c r="B21" s="54" t="s">
        <v>29</v>
      </c>
      <c r="C21" s="52" t="str">
        <f t="shared" si="0"/>
        <v>Construção e Manutenção de Estações e Redes de Distribuição de Energia Elétrica-AC</v>
      </c>
      <c r="E21" s="55">
        <v>5.2900000000000003E-2</v>
      </c>
      <c r="F21" s="55">
        <v>5.9200000000000003E-2</v>
      </c>
      <c r="G21" s="55">
        <v>7.9299999999999995E-2</v>
      </c>
      <c r="I21" s="337" t="str">
        <f>IF($I$11=$A$59,"","Despesas Financeiras")</f>
        <v>Despesas Financeiras</v>
      </c>
      <c r="J21" s="337"/>
      <c r="K21" s="337"/>
      <c r="L21" s="337"/>
      <c r="M21" s="60" t="str">
        <f>IF($I$11=$A$59,"","DF")</f>
        <v>DF</v>
      </c>
      <c r="N21" s="61"/>
      <c r="O21" s="62" t="s">
        <v>46</v>
      </c>
      <c r="P21" s="63">
        <f>VLOOKUP(CONCATENATE(I$11,"-",M21),$C$2:$G$49,3,FALSE)</f>
        <v>5.8999999999999999E-3</v>
      </c>
      <c r="Q21" s="63">
        <f>VLOOKUP(CONCATENATE(I$11,"-",M21),$C$2:$G$49,4,FALSE)</f>
        <v>1.23E-2</v>
      </c>
      <c r="R21" s="63">
        <f>VLOOKUP(CONCATENATE(I$11,"-",M21),$C$2:$G$49,5,FALSE)</f>
        <v>1.3899999999999999E-2</v>
      </c>
      <c r="T21" s="335"/>
      <c r="U21" s="335"/>
    </row>
    <row r="22" spans="1:31" ht="26.25" customHeight="1" x14ac:dyDescent="0.2">
      <c r="A22" s="52" t="str">
        <f>A21</f>
        <v>Construção e Manutenção de Estações e Redes de Distribuição de Energia Elétrica</v>
      </c>
      <c r="B22" s="54" t="s">
        <v>30</v>
      </c>
      <c r="C22" s="52" t="str">
        <f t="shared" si="0"/>
        <v>Construção e Manutenção de Estações e Redes de Distribuição de Energia Elétrica-SG</v>
      </c>
      <c r="E22" s="55">
        <v>2.5000000000000001E-3</v>
      </c>
      <c r="F22" s="55">
        <v>5.1000000000000004E-3</v>
      </c>
      <c r="G22" s="55">
        <v>5.6000000000000008E-3</v>
      </c>
      <c r="I22" s="337" t="str">
        <f>IF($I$11=$A$59,"Margem bruta da empresa de consultoria","Lucro")</f>
        <v>Lucro</v>
      </c>
      <c r="J22" s="337"/>
      <c r="K22" s="337"/>
      <c r="L22" s="337"/>
      <c r="M22" s="60" t="str">
        <f>IF($I$11=$A$59,"K3","L")</f>
        <v>L</v>
      </c>
      <c r="N22" s="61"/>
      <c r="O22" s="62" t="s">
        <v>46</v>
      </c>
      <c r="P22" s="63">
        <f>VLOOKUP(CONCATENATE(I$11,"-",M22),$C$2:$G$49,3,FALSE)</f>
        <v>6.1600000000000002E-2</v>
      </c>
      <c r="Q22" s="63">
        <f>VLOOKUP(CONCATENATE(I$11,"-",M22),$C$2:$G$49,4,FALSE)</f>
        <v>7.400000000000001E-2</v>
      </c>
      <c r="R22" s="63">
        <f>VLOOKUP(CONCATENATE(I$11,"-",M22),$C$2:$G$49,5,FALSE)</f>
        <v>8.9600000000000013E-2</v>
      </c>
      <c r="T22" s="335"/>
      <c r="U22" s="335"/>
    </row>
    <row r="23" spans="1:31" ht="26.25" customHeight="1" x14ac:dyDescent="0.2">
      <c r="A23" s="52" t="str">
        <f>A22</f>
        <v>Construção e Manutenção de Estações e Redes de Distribuição de Energia Elétrica</v>
      </c>
      <c r="B23" s="54" t="s">
        <v>31</v>
      </c>
      <c r="C23" s="52" t="str">
        <f t="shared" si="0"/>
        <v>Construção e Manutenção de Estações e Redes de Distribuição de Energia Elétrica-R</v>
      </c>
      <c r="E23" s="55">
        <v>0.01</v>
      </c>
      <c r="F23" s="55">
        <v>1.4800000000000001E-2</v>
      </c>
      <c r="G23" s="55">
        <v>1.9699999999999999E-2</v>
      </c>
      <c r="I23" s="338" t="s">
        <v>48</v>
      </c>
      <c r="J23" s="338"/>
      <c r="K23" s="338"/>
      <c r="L23" s="338"/>
      <c r="M23" s="60" t="s">
        <v>49</v>
      </c>
      <c r="N23" s="61"/>
      <c r="O23" s="62" t="s">
        <v>46</v>
      </c>
      <c r="P23" s="63">
        <v>3.6499999999999998E-2</v>
      </c>
      <c r="Q23" s="63">
        <v>3.6499999999999998E-2</v>
      </c>
      <c r="R23" s="63">
        <v>3.6499999999999998E-2</v>
      </c>
      <c r="T23" s="335"/>
      <c r="U23" s="335"/>
    </row>
    <row r="24" spans="1:31" ht="26.25" customHeight="1" x14ac:dyDescent="0.2">
      <c r="A24" s="52" t="str">
        <f>A23</f>
        <v>Construção e Manutenção de Estações e Redes de Distribuição de Energia Elétrica</v>
      </c>
      <c r="B24" s="54" t="s">
        <v>32</v>
      </c>
      <c r="C24" s="52" t="str">
        <f t="shared" si="0"/>
        <v>Construção e Manutenção de Estações e Redes de Distribuição de Energia Elétrica-DF</v>
      </c>
      <c r="E24" s="55">
        <v>1.01E-2</v>
      </c>
      <c r="F24" s="55">
        <v>1.0700000000000001E-2</v>
      </c>
      <c r="G24" s="55">
        <v>1.11E-2</v>
      </c>
      <c r="I24" s="337" t="s">
        <v>50</v>
      </c>
      <c r="J24" s="337"/>
      <c r="K24" s="337"/>
      <c r="L24" s="337"/>
      <c r="M24" s="60" t="s">
        <v>51</v>
      </c>
      <c r="N24" s="63">
        <f>IF($I$11&lt;&gt;$A$58,Q14*Q13,0)</f>
        <v>0</v>
      </c>
      <c r="O24" s="62" t="s">
        <v>46</v>
      </c>
      <c r="P24" s="63">
        <v>0</v>
      </c>
      <c r="Q24" s="63">
        <v>2.5000000000000001E-2</v>
      </c>
      <c r="R24" s="63">
        <v>0.05</v>
      </c>
      <c r="T24" s="335"/>
      <c r="U24" s="335"/>
    </row>
    <row r="25" spans="1:31" ht="26.25" customHeight="1" x14ac:dyDescent="0.2">
      <c r="A25" s="52" t="str">
        <f>A24</f>
        <v>Construção e Manutenção de Estações e Redes de Distribuição de Energia Elétrica</v>
      </c>
      <c r="B25" s="54" t="s">
        <v>164</v>
      </c>
      <c r="C25" s="52" t="str">
        <f t="shared" si="0"/>
        <v>Construção e Manutenção de Estações e Redes de Distribuição de Energia Elétrica-L</v>
      </c>
      <c r="E25" s="55">
        <v>0.08</v>
      </c>
      <c r="F25" s="55">
        <v>8.3100000000000007E-2</v>
      </c>
      <c r="G25" s="55">
        <v>9.5100000000000004E-2</v>
      </c>
      <c r="I25" s="337" t="s">
        <v>116</v>
      </c>
      <c r="J25" s="337"/>
      <c r="K25" s="337"/>
      <c r="L25" s="337"/>
      <c r="M25" s="60" t="s">
        <v>52</v>
      </c>
      <c r="N25" s="63">
        <f>IF(AND($I$11&lt;&gt;$A$58,Q11="Sim"),4.5%,0%)</f>
        <v>0</v>
      </c>
      <c r="O25" s="62" t="str">
        <f>IF(AND(N25&gt;=P25, N25&lt;=R25), "OK", "Não OK")</f>
        <v>OK</v>
      </c>
      <c r="P25" s="64">
        <v>0</v>
      </c>
      <c r="Q25" s="64">
        <v>4.4999999999999998E-2</v>
      </c>
      <c r="R25" s="64">
        <v>4.4999999999999998E-2</v>
      </c>
    </row>
    <row r="26" spans="1:31" ht="30.75" customHeight="1" x14ac:dyDescent="0.25">
      <c r="A26" s="52" t="str">
        <f>A25</f>
        <v>Construção e Manutenção de Estações e Redes de Distribuição de Energia Elétrica</v>
      </c>
      <c r="B26" s="59" t="s">
        <v>33</v>
      </c>
      <c r="C26" s="52" t="str">
        <f t="shared" si="0"/>
        <v>Construção e Manutenção de Estações e Redes de Distribuição de Energia Elétrica-BDI PAD</v>
      </c>
      <c r="E26" s="55">
        <v>0.24</v>
      </c>
      <c r="F26" s="55">
        <v>0.25840000000000002</v>
      </c>
      <c r="G26" s="55">
        <v>0.27860000000000001</v>
      </c>
      <c r="I26" s="337" t="s">
        <v>53</v>
      </c>
      <c r="J26" s="337"/>
      <c r="K26" s="337"/>
      <c r="L26" s="337"/>
      <c r="M26" s="65" t="s">
        <v>33</v>
      </c>
      <c r="N26" s="63">
        <f>IF($I$11=$A$58,0,ROUND((((1+N18+N19+N20)*(1+N21)*(1+N22)/(1-(N23+N24)))-1),4))</f>
        <v>0</v>
      </c>
      <c r="O26" s="234" t="str">
        <f>IF(OR($I$11=$A$59,$I$11=$A$58,AND(N26&gt;=P26, N26&lt;=R26)), "OK", "FORA DO INTERVALO")</f>
        <v>FORA DO INTERVALO</v>
      </c>
      <c r="P26" s="63">
        <f>IF($I$11=$A$58,0,VLOOKUP(CONCATENATE($I$11,"-",$M26),$C$2:$G$49,3,FALSE))</f>
        <v>0.2034</v>
      </c>
      <c r="Q26" s="63">
        <f>IF($I$11=$A$58,0,VLOOKUP(CONCATENATE($I$11,"-",$M26),$C$2:$G$49,4,FALSE))</f>
        <v>0.22120000000000001</v>
      </c>
      <c r="R26" s="63">
        <f>IF($I$11=$A$58,0,VLOOKUP(CONCATENATE($I$11,"-",$M26),$C$2:$G$49,5,FALSE))</f>
        <v>0.25</v>
      </c>
      <c r="T26" s="107"/>
      <c r="V26" s="108"/>
      <c r="W26" s="108"/>
      <c r="X26" s="108"/>
      <c r="Y26" s="108"/>
      <c r="Z26" s="108"/>
      <c r="AA26" s="108"/>
      <c r="AB26" s="108"/>
      <c r="AC26" s="108"/>
      <c r="AD26" s="108"/>
      <c r="AE26" s="108"/>
    </row>
    <row r="27" spans="1:31" ht="30" customHeight="1" x14ac:dyDescent="0.25">
      <c r="A27" s="52" t="s">
        <v>54</v>
      </c>
      <c r="B27" s="54" t="s">
        <v>29</v>
      </c>
      <c r="C27" s="52" t="str">
        <f t="shared" si="0"/>
        <v>Obras Portuárias, Marítimas e Fluviais-AC</v>
      </c>
      <c r="E27" s="55">
        <v>0.04</v>
      </c>
      <c r="F27" s="55">
        <v>5.5199999999999999E-2</v>
      </c>
      <c r="G27" s="55">
        <v>7.85E-2</v>
      </c>
      <c r="I27" s="348" t="s">
        <v>55</v>
      </c>
      <c r="J27" s="348"/>
      <c r="K27" s="348"/>
      <c r="L27" s="348"/>
      <c r="M27" s="66" t="s">
        <v>56</v>
      </c>
      <c r="N27" s="67">
        <f>IF($I$11=$A$58,0,ROUND((((1+N18+N19+N20)*(1+N21)*(1+N22)/(1-(N23+N24+N25)))-1),4))</f>
        <v>0</v>
      </c>
      <c r="O27" s="110" t="str">
        <f>IF(Q11&lt;&gt;"Sim","",O26)</f>
        <v/>
      </c>
      <c r="P27" s="349"/>
      <c r="Q27" s="349"/>
      <c r="R27" s="349"/>
      <c r="T27" s="107"/>
      <c r="V27" s="111" t="b">
        <f>AND(COUNTA(N18:N23)=6,O26&lt;&gt;"ok",NOT(V29))</f>
        <v>0</v>
      </c>
      <c r="W27" s="52" t="s">
        <v>118</v>
      </c>
    </row>
    <row r="28" spans="1:31" ht="7.5" customHeight="1" x14ac:dyDescent="0.2">
      <c r="A28" s="52" t="str">
        <f>A27</f>
        <v>Obras Portuárias, Marítimas e Fluviais</v>
      </c>
      <c r="B28" s="54" t="s">
        <v>30</v>
      </c>
      <c r="C28" s="52" t="str">
        <f t="shared" si="0"/>
        <v>Obras Portuárias, Marítimas e Fluviais-SG</v>
      </c>
      <c r="E28" s="55">
        <v>8.1000000000000013E-3</v>
      </c>
      <c r="F28" s="55">
        <v>1.2199999999999999E-2</v>
      </c>
      <c r="G28" s="55">
        <v>1.9900000000000001E-2</v>
      </c>
      <c r="V28" s="111"/>
    </row>
    <row r="29" spans="1:31" ht="21.75" customHeight="1" x14ac:dyDescent="0.2">
      <c r="A29" s="52" t="str">
        <f>A28</f>
        <v>Obras Portuárias, Marítimas e Fluviais</v>
      </c>
      <c r="B29" s="54" t="s">
        <v>31</v>
      </c>
      <c r="C29" s="52" t="str">
        <f t="shared" si="0"/>
        <v>Obras Portuárias, Marítimas e Fluviais-R</v>
      </c>
      <c r="E29" s="55">
        <v>1.46E-2</v>
      </c>
      <c r="F29" s="55">
        <v>2.3199999999999998E-2</v>
      </c>
      <c r="G29" s="55">
        <v>3.1600000000000003E-2</v>
      </c>
      <c r="I29" s="109" t="str">
        <f>IF(V29,"X","")</f>
        <v/>
      </c>
      <c r="J29" s="347" t="s">
        <v>117</v>
      </c>
      <c r="K29" s="347"/>
      <c r="L29" s="347"/>
      <c r="M29" s="347"/>
      <c r="N29" s="347"/>
      <c r="O29" s="347"/>
      <c r="P29" s="347"/>
      <c r="Q29" s="347"/>
      <c r="R29" s="347"/>
      <c r="V29" s="111" t="b">
        <v>0</v>
      </c>
      <c r="W29" s="52" t="s">
        <v>119</v>
      </c>
    </row>
    <row r="30" spans="1:31" ht="7.5" customHeight="1" x14ac:dyDescent="0.2">
      <c r="B30" s="54"/>
      <c r="E30" s="55"/>
      <c r="F30" s="55"/>
      <c r="G30" s="55"/>
      <c r="V30" s="111"/>
    </row>
    <row r="31" spans="1:31" ht="18.75" customHeight="1" x14ac:dyDescent="0.2">
      <c r="B31" s="54"/>
      <c r="E31" s="55"/>
      <c r="F31" s="55"/>
      <c r="G31" s="55"/>
      <c r="I31" s="350" t="s">
        <v>61</v>
      </c>
      <c r="J31" s="350"/>
      <c r="K31" s="350"/>
      <c r="L31" s="350"/>
      <c r="M31" s="350"/>
      <c r="N31" s="350"/>
      <c r="O31" s="350"/>
      <c r="P31" s="350"/>
      <c r="Q31" s="350"/>
      <c r="R31" s="350"/>
    </row>
    <row r="32" spans="1:31" ht="30" customHeight="1" x14ac:dyDescent="0.25">
      <c r="A32" s="52" t="str">
        <f>A29</f>
        <v>Obras Portuárias, Marítimas e Fluviais</v>
      </c>
      <c r="B32" s="54" t="s">
        <v>32</v>
      </c>
      <c r="C32" s="52" t="str">
        <f t="shared" si="0"/>
        <v>Obras Portuárias, Marítimas e Fluviais-DF</v>
      </c>
      <c r="E32" s="55">
        <v>9.3999999999999986E-3</v>
      </c>
      <c r="F32" s="55">
        <v>1.0200000000000001E-2</v>
      </c>
      <c r="G32" s="55">
        <v>1.3300000000000001E-2</v>
      </c>
      <c r="I32" s="100"/>
      <c r="J32" s="100"/>
      <c r="K32" s="100"/>
      <c r="L32" s="345" t="str">
        <f>IF(Q11="Sim","BDI.DES =","BDI.PAD =")</f>
        <v>BDI.PAD =</v>
      </c>
      <c r="M32" s="343" t="str">
        <f>IF($I$11=$A$59,"(1+K1+K2)*(1+K3)","(1+AC + S + R + G)*(1 + DF)*(1+L)")</f>
        <v>(1+AC + S + R + G)*(1 + DF)*(1+L)</v>
      </c>
      <c r="N32" s="343"/>
      <c r="O32" s="343"/>
      <c r="P32" s="341" t="s">
        <v>108</v>
      </c>
      <c r="Q32" s="100"/>
      <c r="R32" s="100"/>
    </row>
    <row r="33" spans="1:18" ht="27" customHeight="1" x14ac:dyDescent="0.2">
      <c r="A33" s="52" t="str">
        <f>A32</f>
        <v>Obras Portuárias, Marítimas e Fluviais</v>
      </c>
      <c r="B33" s="54" t="s">
        <v>164</v>
      </c>
      <c r="C33" s="52" t="str">
        <f t="shared" si="0"/>
        <v>Obras Portuárias, Marítimas e Fluviais-L</v>
      </c>
      <c r="E33" s="55">
        <v>7.1399999999999991E-2</v>
      </c>
      <c r="F33" s="55">
        <v>8.4000000000000005E-2</v>
      </c>
      <c r="G33" s="55">
        <v>0.1043</v>
      </c>
      <c r="I33" s="100"/>
      <c r="J33" s="100"/>
      <c r="K33" s="100"/>
      <c r="L33" s="345"/>
      <c r="M33" s="344" t="str">
        <f>IF(Q11="Sim","(1-CP-ISS-CRPB)","(1-CP-ISS)")</f>
        <v>(1-CP-ISS)</v>
      </c>
      <c r="N33" s="344"/>
      <c r="O33" s="344"/>
      <c r="P33" s="342"/>
      <c r="Q33" s="100"/>
      <c r="R33" s="100"/>
    </row>
    <row r="34" spans="1:18" ht="7.5" customHeight="1" x14ac:dyDescent="0.2">
      <c r="A34" s="52" t="str">
        <f>A33</f>
        <v>Obras Portuárias, Marítimas e Fluviais</v>
      </c>
      <c r="B34" s="59" t="s">
        <v>33</v>
      </c>
      <c r="C34" s="52" t="str">
        <f t="shared" si="0"/>
        <v>Obras Portuárias, Marítimas e Fluviais-BDI PAD</v>
      </c>
      <c r="E34" s="55">
        <v>0.22800000000000001</v>
      </c>
      <c r="F34" s="55">
        <v>0.27479999999999999</v>
      </c>
      <c r="G34" s="55">
        <v>0.3095</v>
      </c>
      <c r="I34" s="73"/>
      <c r="J34" s="73"/>
      <c r="K34" s="73"/>
      <c r="L34" s="73"/>
      <c r="M34" s="73"/>
      <c r="N34" s="73"/>
      <c r="O34" s="73"/>
      <c r="P34" s="73"/>
      <c r="Q34" s="73"/>
      <c r="R34" s="73"/>
    </row>
    <row r="35" spans="1:18" ht="45" customHeight="1" x14ac:dyDescent="0.2">
      <c r="B35" s="59"/>
      <c r="E35" s="55"/>
      <c r="F35" s="55"/>
      <c r="G35" s="55"/>
      <c r="I35" s="340"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e Reforma de Edifícios, é de 0%, com a respectiva alíquota de 0%.</v>
      </c>
      <c r="J35" s="340"/>
      <c r="K35" s="340"/>
      <c r="L35" s="340"/>
      <c r="M35" s="340"/>
      <c r="N35" s="340"/>
      <c r="O35" s="340"/>
      <c r="P35" s="340"/>
      <c r="Q35" s="340"/>
      <c r="R35" s="340"/>
    </row>
    <row r="36" spans="1:18" ht="11.25" customHeight="1" x14ac:dyDescent="0.2">
      <c r="B36" s="59"/>
      <c r="E36" s="55"/>
      <c r="F36" s="55"/>
      <c r="G36" s="55"/>
    </row>
    <row r="37" spans="1:18" ht="52.5" customHeight="1" x14ac:dyDescent="0.2">
      <c r="B37" s="59"/>
      <c r="E37" s="55"/>
      <c r="F37" s="55"/>
      <c r="G37" s="55"/>
      <c r="I37" s="340"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40"/>
      <c r="K37" s="340"/>
      <c r="L37" s="340"/>
      <c r="M37" s="340"/>
      <c r="N37" s="340"/>
      <c r="O37" s="340"/>
      <c r="P37" s="340"/>
      <c r="Q37" s="340"/>
      <c r="R37" s="340"/>
    </row>
    <row r="38" spans="1:18" ht="18" customHeight="1" x14ac:dyDescent="0.2">
      <c r="A38" s="52" t="s">
        <v>137</v>
      </c>
      <c r="B38" s="54" t="s">
        <v>29</v>
      </c>
      <c r="C38" s="52" t="str">
        <f t="shared" si="0"/>
        <v>Fornecimento de Materiais e Equipamentos (aquisição indireta - em conjunto com licitação de obras)-AC</v>
      </c>
      <c r="E38" s="55">
        <v>1.4999999999999999E-2</v>
      </c>
      <c r="F38" s="55">
        <v>3.4500000000000003E-2</v>
      </c>
      <c r="G38" s="55">
        <v>4.4900000000000002E-2</v>
      </c>
    </row>
    <row r="39" spans="1:18" x14ac:dyDescent="0.2">
      <c r="A39" s="52" t="str">
        <f>A38</f>
        <v>Fornecimento de Materiais e Equipamentos (aquisição indireta - em conjunto com licitação de obras)</v>
      </c>
      <c r="B39" s="54" t="s">
        <v>30</v>
      </c>
      <c r="C39" s="52" t="str">
        <f t="shared" si="0"/>
        <v>Fornecimento de Materiais e Equipamentos (aquisição indireta - em conjunto com licitação de obras)-SG</v>
      </c>
      <c r="E39" s="55">
        <v>3.0000000000000001E-3</v>
      </c>
      <c r="F39" s="55">
        <v>4.7999999999999996E-3</v>
      </c>
      <c r="G39" s="55">
        <v>8.199999999999999E-3</v>
      </c>
      <c r="I39" s="52" t="s">
        <v>21</v>
      </c>
    </row>
    <row r="40" spans="1:18" ht="42.75" customHeight="1" x14ac:dyDescent="0.2">
      <c r="A40" s="52" t="str">
        <f>A39</f>
        <v>Fornecimento de Materiais e Equipamentos (aquisição indireta - em conjunto com licitação de obras)</v>
      </c>
      <c r="B40" s="54" t="s">
        <v>31</v>
      </c>
      <c r="C40" s="52" t="str">
        <f t="shared" si="0"/>
        <v>Fornecimento de Materiais e Equipamentos (aquisição indireta - em conjunto com licitação de obras)-R</v>
      </c>
      <c r="E40" s="55">
        <v>5.6000000000000008E-3</v>
      </c>
      <c r="F40" s="55">
        <v>8.5000000000000006E-3</v>
      </c>
      <c r="G40" s="55">
        <v>8.8999999999999999E-3</v>
      </c>
      <c r="I40" s="352"/>
      <c r="J40" s="353"/>
      <c r="K40" s="353"/>
      <c r="L40" s="353"/>
      <c r="M40" s="353"/>
      <c r="N40" s="353"/>
      <c r="O40" s="353"/>
      <c r="P40" s="353"/>
      <c r="Q40" s="353"/>
      <c r="R40" s="354"/>
    </row>
    <row r="41" spans="1:18" ht="16.5" customHeight="1" x14ac:dyDescent="0.2">
      <c r="A41" s="52" t="str">
        <f>A40</f>
        <v>Fornecimento de Materiais e Equipamentos (aquisição indireta - em conjunto com licitação de obras)</v>
      </c>
      <c r="B41" s="54" t="s">
        <v>32</v>
      </c>
      <c r="C41" s="52" t="str">
        <f t="shared" si="0"/>
        <v>Fornecimento de Materiais e Equipamentos (aquisição indireta - em conjunto com licitação de obras)-DF</v>
      </c>
      <c r="E41" s="55">
        <v>8.5000000000000006E-3</v>
      </c>
      <c r="F41" s="55">
        <v>8.5000000000000006E-3</v>
      </c>
      <c r="G41" s="55">
        <v>1.11E-2</v>
      </c>
    </row>
    <row r="42" spans="1:18" x14ac:dyDescent="0.2">
      <c r="A42" s="52" t="str">
        <f>A41</f>
        <v>Fornecimento de Materiais e Equipamentos (aquisição indireta - em conjunto com licitação de obras)</v>
      </c>
      <c r="B42" s="54" t="s">
        <v>164</v>
      </c>
      <c r="C42" s="52" t="str">
        <f t="shared" si="0"/>
        <v>Fornecimento de Materiais e Equipamentos (aquisição indireta - em conjunto com licitação de obras)-L</v>
      </c>
      <c r="E42" s="55">
        <v>3.5000000000000003E-2</v>
      </c>
      <c r="F42" s="55">
        <v>5.1100000000000007E-2</v>
      </c>
      <c r="G42" s="55">
        <v>6.2199999999999998E-2</v>
      </c>
      <c r="I42" s="336" t="str">
        <f>PO!K88</f>
        <v>SÃO CARLOS/SC</v>
      </c>
      <c r="J42" s="336"/>
      <c r="K42" s="336"/>
      <c r="L42" s="336"/>
      <c r="O42" s="351">
        <f ca="1">PO!K91</f>
        <v>45457</v>
      </c>
      <c r="P42" s="351"/>
      <c r="Q42" s="351"/>
      <c r="R42" s="351"/>
    </row>
    <row r="43" spans="1:18" ht="15" customHeight="1" x14ac:dyDescent="0.2">
      <c r="A43" s="52" t="str">
        <f>A42</f>
        <v>Fornecimento de Materiais e Equipamentos (aquisição indireta - em conjunto com licitação de obras)</v>
      </c>
      <c r="B43" s="59" t="s">
        <v>33</v>
      </c>
      <c r="C43" s="52" t="str">
        <f t="shared" si="0"/>
        <v>Fornecimento de Materiais e Equipamentos (aquisição indireta - em conjunto com licitação de obras)-BDI PAD</v>
      </c>
      <c r="E43" s="55">
        <v>0.111</v>
      </c>
      <c r="F43" s="55">
        <v>0.14019999999999999</v>
      </c>
      <c r="G43" s="55">
        <v>0.16800000000000001</v>
      </c>
      <c r="I43" s="317" t="s">
        <v>120</v>
      </c>
      <c r="J43" s="317"/>
      <c r="K43" s="317"/>
      <c r="L43" s="317"/>
      <c r="N43" s="68"/>
      <c r="O43" s="144" t="s">
        <v>121</v>
      </c>
      <c r="P43" s="145"/>
      <c r="Q43" s="145"/>
      <c r="R43" s="145"/>
    </row>
    <row r="44" spans="1:18" x14ac:dyDescent="0.2">
      <c r="A44" s="52" t="s">
        <v>59</v>
      </c>
      <c r="B44" s="54" t="s">
        <v>104</v>
      </c>
      <c r="C44" s="52" t="str">
        <f t="shared" si="0"/>
        <v>Estudos e Projetos, Planos e Gerenciamento e outros correlatos-K1</v>
      </c>
      <c r="E44" s="55" t="s">
        <v>46</v>
      </c>
      <c r="F44" s="55" t="s">
        <v>46</v>
      </c>
      <c r="G44" s="55" t="s">
        <v>46</v>
      </c>
    </row>
    <row r="45" spans="1:18" ht="30" customHeight="1" x14ac:dyDescent="0.2">
      <c r="A45" s="52" t="str">
        <f>A44</f>
        <v>Estudos e Projetos, Planos e Gerenciamento e outros correlatos</v>
      </c>
      <c r="B45" s="54" t="s">
        <v>105</v>
      </c>
      <c r="C45" s="52" t="str">
        <f t="shared" si="0"/>
        <v>Estudos e Projetos, Planos e Gerenciamento e outros correlatos-K2</v>
      </c>
      <c r="E45" s="55" t="s">
        <v>46</v>
      </c>
      <c r="F45" s="55">
        <v>0.2</v>
      </c>
      <c r="G45" s="55" t="s">
        <v>46</v>
      </c>
      <c r="I45" s="316"/>
      <c r="J45" s="316"/>
      <c r="K45" s="316"/>
      <c r="L45" s="316"/>
      <c r="M45" s="69"/>
      <c r="N45" s="69"/>
      <c r="O45" s="316"/>
      <c r="P45" s="316"/>
      <c r="Q45" s="316"/>
      <c r="R45" s="316"/>
    </row>
    <row r="46" spans="1:18" x14ac:dyDescent="0.2">
      <c r="A46" s="52" t="str">
        <f>A45</f>
        <v>Estudos e Projetos, Planos e Gerenciamento e outros correlatos</v>
      </c>
      <c r="B46" s="54" t="s">
        <v>106</v>
      </c>
      <c r="C46" s="52" t="str">
        <f t="shared" si="0"/>
        <v>Estudos e Projetos, Planos e Gerenciamento e outros correlatos-</v>
      </c>
      <c r="E46" s="55" t="s">
        <v>46</v>
      </c>
      <c r="F46" s="55" t="s">
        <v>46</v>
      </c>
      <c r="G46" s="55" t="s">
        <v>46</v>
      </c>
      <c r="I46" s="355" t="s">
        <v>57</v>
      </c>
      <c r="J46" s="355"/>
      <c r="K46" s="355"/>
      <c r="L46" s="355"/>
      <c r="M46" s="70"/>
      <c r="N46" s="70"/>
      <c r="O46" s="355" t="s">
        <v>58</v>
      </c>
      <c r="P46" s="355"/>
      <c r="Q46" s="355"/>
      <c r="R46" s="355"/>
    </row>
    <row r="47" spans="1:18" ht="14.25" x14ac:dyDescent="0.2">
      <c r="A47" s="52" t="str">
        <f>A46</f>
        <v>Estudos e Projetos, Planos e Gerenciamento e outros correlatos</v>
      </c>
      <c r="B47" s="54" t="s">
        <v>106</v>
      </c>
      <c r="C47" s="52" t="str">
        <f t="shared" si="0"/>
        <v>Estudos e Projetos, Planos e Gerenciamento e outros correlatos-</v>
      </c>
      <c r="E47" s="55" t="s">
        <v>46</v>
      </c>
      <c r="F47" s="55" t="s">
        <v>46</v>
      </c>
      <c r="G47" s="55" t="s">
        <v>46</v>
      </c>
      <c r="I47" s="233" t="s">
        <v>140</v>
      </c>
      <c r="J47" s="346">
        <f>DADOS!B54</f>
        <v>0</v>
      </c>
      <c r="K47" s="346"/>
      <c r="L47" s="346"/>
      <c r="M47" s="71"/>
      <c r="N47" s="71"/>
      <c r="O47" s="233" t="s">
        <v>140</v>
      </c>
      <c r="P47" s="315" t="s">
        <v>233</v>
      </c>
      <c r="Q47" s="315"/>
      <c r="R47" s="315"/>
    </row>
    <row r="48" spans="1:18" ht="14.25" x14ac:dyDescent="0.2">
      <c r="A48" s="52" t="str">
        <f>A47</f>
        <v>Estudos e Projetos, Planos e Gerenciamento e outros correlatos</v>
      </c>
      <c r="B48" s="54" t="s">
        <v>107</v>
      </c>
      <c r="C48" s="52" t="str">
        <f t="shared" si="0"/>
        <v>Estudos e Projetos, Planos e Gerenciamento e outros correlatos-K3</v>
      </c>
      <c r="E48" s="55" t="s">
        <v>46</v>
      </c>
      <c r="F48" s="55">
        <v>0.12</v>
      </c>
      <c r="G48" s="55" t="s">
        <v>46</v>
      </c>
      <c r="I48" s="233" t="s">
        <v>17</v>
      </c>
      <c r="J48" s="346">
        <f>DADOS!B55</f>
        <v>0</v>
      </c>
      <c r="K48" s="346"/>
      <c r="L48" s="346"/>
      <c r="M48" s="71"/>
      <c r="N48" s="71"/>
      <c r="O48" s="233" t="s">
        <v>60</v>
      </c>
      <c r="P48" s="315" t="s">
        <v>234</v>
      </c>
      <c r="Q48" s="315"/>
      <c r="R48" s="315"/>
    </row>
    <row r="49" spans="1:18" ht="14.25" x14ac:dyDescent="0.2">
      <c r="A49" s="52" t="str">
        <f>A48</f>
        <v>Estudos e Projetos, Planos e Gerenciamento e outros correlatos</v>
      </c>
      <c r="B49" s="59" t="s">
        <v>33</v>
      </c>
      <c r="C49" s="52" t="str">
        <f t="shared" si="0"/>
        <v>Estudos e Projetos, Planos e Gerenciamento e outros correlatos-BDI PAD</v>
      </c>
      <c r="E49" s="55" t="s">
        <v>46</v>
      </c>
      <c r="F49" s="55" t="s">
        <v>46</v>
      </c>
      <c r="G49" s="55" t="s">
        <v>46</v>
      </c>
      <c r="I49" s="233" t="str">
        <f>DADOS!A56</f>
        <v>Empresa:</v>
      </c>
      <c r="J49" s="346">
        <f>DADOS!B56</f>
        <v>0</v>
      </c>
      <c r="K49" s="346"/>
      <c r="L49" s="346"/>
      <c r="M49" s="71"/>
      <c r="N49" s="71"/>
      <c r="O49" s="71"/>
      <c r="P49" s="71"/>
      <c r="Q49" s="71"/>
      <c r="R49" s="71"/>
    </row>
    <row r="50" spans="1:18" x14ac:dyDescent="0.2">
      <c r="I50" s="233" t="str">
        <f>DADOS!A57</f>
        <v>CNPJ:</v>
      </c>
      <c r="J50" s="346">
        <f>DADOS!B57</f>
        <v>0</v>
      </c>
      <c r="K50" s="346"/>
      <c r="L50" s="346"/>
    </row>
    <row r="51" spans="1:18" x14ac:dyDescent="0.2"/>
    <row r="52" spans="1:18" hidden="1" x14ac:dyDescent="0.2">
      <c r="A52" s="52" t="s">
        <v>28</v>
      </c>
    </row>
    <row r="53" spans="1:18" hidden="1" x14ac:dyDescent="0.2">
      <c r="A53" s="52" t="s">
        <v>34</v>
      </c>
    </row>
    <row r="54" spans="1:18" hidden="1" x14ac:dyDescent="0.2">
      <c r="A54" s="52" t="s">
        <v>37</v>
      </c>
    </row>
    <row r="55" spans="1:18" hidden="1" x14ac:dyDescent="0.2">
      <c r="A55" s="52" t="s">
        <v>47</v>
      </c>
    </row>
    <row r="56" spans="1:18" hidden="1" x14ac:dyDescent="0.2">
      <c r="A56" s="52" t="s">
        <v>54</v>
      </c>
    </row>
    <row r="57" spans="1:18" hidden="1" x14ac:dyDescent="0.2">
      <c r="A57" s="52" t="s">
        <v>137</v>
      </c>
    </row>
    <row r="58" spans="1:18" hidden="1" x14ac:dyDescent="0.2">
      <c r="A58" s="52" t="s">
        <v>138</v>
      </c>
    </row>
    <row r="59" spans="1:18" hidden="1" x14ac:dyDescent="0.2">
      <c r="A59" s="52" t="s">
        <v>59</v>
      </c>
    </row>
    <row r="60" spans="1:18" ht="14.25" hidden="1" x14ac:dyDescent="0.2">
      <c r="A60" s="72"/>
      <c r="B60" s="71"/>
      <c r="C60" s="71"/>
      <c r="D60" s="71"/>
      <c r="E60" s="71"/>
      <c r="F60" s="71"/>
      <c r="G60" s="71"/>
    </row>
  </sheetData>
  <sheetProtection algorithmName="SHA-512" hashValue="AoE189rT06cJqEsbM8sUtiFYYhTiNBj1wgreEQn6IPl/Jz6PwY+onXQXeGdrianCOG3/g5y+e7LV5aojEyLc+A==" saltValue="J+t0cD67RFN/8FYYuZC9eg==" spinCount="100000" sheet="1" objects="1" scenarios="1"/>
  <mergeCells count="55">
    <mergeCell ref="I8:R8"/>
    <mergeCell ref="I4:J4"/>
    <mergeCell ref="K4:R4"/>
    <mergeCell ref="I5:J5"/>
    <mergeCell ref="K5:R5"/>
    <mergeCell ref="I7:R7"/>
    <mergeCell ref="I10:P10"/>
    <mergeCell ref="Q10:R10"/>
    <mergeCell ref="I11:P11"/>
    <mergeCell ref="Q11:R11"/>
    <mergeCell ref="I13:P13"/>
    <mergeCell ref="Q13:R13"/>
    <mergeCell ref="I14:P14"/>
    <mergeCell ref="Q14:R14"/>
    <mergeCell ref="I16:L17"/>
    <mergeCell ref="M16:M17"/>
    <mergeCell ref="N16:N17"/>
    <mergeCell ref="O16:O17"/>
    <mergeCell ref="P16:P17"/>
    <mergeCell ref="Q16:Q17"/>
    <mergeCell ref="R16:R17"/>
    <mergeCell ref="T16:U24"/>
    <mergeCell ref="I18:L18"/>
    <mergeCell ref="I19:L19"/>
    <mergeCell ref="I20:L20"/>
    <mergeCell ref="I21:L21"/>
    <mergeCell ref="I22:L22"/>
    <mergeCell ref="I23:L23"/>
    <mergeCell ref="I24:L24"/>
    <mergeCell ref="I37:R37"/>
    <mergeCell ref="I25:L25"/>
    <mergeCell ref="I26:L26"/>
    <mergeCell ref="I27:L27"/>
    <mergeCell ref="P27:R27"/>
    <mergeCell ref="J29:R29"/>
    <mergeCell ref="I31:R31"/>
    <mergeCell ref="L32:L33"/>
    <mergeCell ref="M32:O32"/>
    <mergeCell ref="P32:P33"/>
    <mergeCell ref="M33:O33"/>
    <mergeCell ref="I35:R35"/>
    <mergeCell ref="I40:R40"/>
    <mergeCell ref="I42:L42"/>
    <mergeCell ref="O42:R42"/>
    <mergeCell ref="I43:L43"/>
    <mergeCell ref="I45:L45"/>
    <mergeCell ref="O45:R45"/>
    <mergeCell ref="J49:L49"/>
    <mergeCell ref="J50:L50"/>
    <mergeCell ref="I46:L46"/>
    <mergeCell ref="O46:R46"/>
    <mergeCell ref="J47:L47"/>
    <mergeCell ref="P47:R47"/>
    <mergeCell ref="J48:L48"/>
    <mergeCell ref="P48:R48"/>
  </mergeCells>
  <conditionalFormatting sqref="O42">
    <cfRule type="expression" dxfId="294" priority="4" stopIfTrue="1">
      <formula>$O$42=""</formula>
    </cfRule>
  </conditionalFormatting>
  <conditionalFormatting sqref="O18:O27">
    <cfRule type="expression" dxfId="293" priority="9" stopIfTrue="1">
      <formula>AND(O18&lt;&gt;"OK",O18&lt;&gt;"-",O18&lt;&gt;"")</formula>
    </cfRule>
    <cfRule type="cellIs" dxfId="292" priority="10" stopIfTrue="1" operator="equal">
      <formula>"OK"</formula>
    </cfRule>
  </conditionalFormatting>
  <conditionalFormatting sqref="I26:N26">
    <cfRule type="expression" dxfId="291" priority="8" stopIfTrue="1">
      <formula>$Q$11="Não"</formula>
    </cfRule>
  </conditionalFormatting>
  <conditionalFormatting sqref="I27:N27">
    <cfRule type="expression" dxfId="290" priority="7" stopIfTrue="1">
      <formula>$Q$11="sim"</formula>
    </cfRule>
  </conditionalFormatting>
  <conditionalFormatting sqref="P27:R27">
    <cfRule type="expression" dxfId="289" priority="6" stopIfTrue="1">
      <formula>$Q$11="sim"</formula>
    </cfRule>
  </conditionalFormatting>
  <conditionalFormatting sqref="I29:R29">
    <cfRule type="expression" dxfId="288" priority="3" stopIfTrue="1">
      <formula>AND(NOT($V$27),NOT($V$29))</formula>
    </cfRule>
  </conditionalFormatting>
  <conditionalFormatting sqref="P18:R26">
    <cfRule type="expression" dxfId="287" priority="2" stopIfTrue="1">
      <formula>$I$11=$A$58</formula>
    </cfRule>
  </conditionalFormatting>
  <conditionalFormatting sqref="P47:R48">
    <cfRule type="expression" dxfId="286" priority="1" stopIfTrue="1">
      <formula>P47=""</formula>
    </cfRule>
  </conditionalFormatting>
  <dataValidations count="6">
    <dataValidation type="decimal" allowBlank="1" showInputMessage="1" showErrorMessage="1" errorTitle="Erro de valores" error="Digite um valor entre 0% e 100%" sqref="N18:N2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allowBlank="1" showInputMessage="1" showErrorMessage="1" errorTitle="Erro de valores" error="Digite um valor maior do que 0." sqref="N24">
      <formula1>0</formula1>
      <formula2>1</formula2>
    </dataValidation>
    <dataValidation operator="greaterThanOrEqual" allowBlank="1" showInputMessage="1" showErrorMessage="1" errorTitle="Erro de valores" error="Digite um valor igual a 0% ou 2%." sqref="N25"/>
    <dataValidation type="list" allowBlank="1" showInputMessage="1" showErrorMessage="1" sqref="I11:P11">
      <formula1>$A$52:$A$59</formula1>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v007   micro</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pageSetUpPr fitToPage="1"/>
  </sheetPr>
  <dimension ref="A1:AA92"/>
  <sheetViews>
    <sheetView showGridLines="0" tabSelected="1" topLeftCell="J1" zoomScaleNormal="100" zoomScaleSheetLayoutView="100" workbookViewId="0">
      <pane ySplit="12" topLeftCell="A13" activePane="bottomLeft" state="frozen"/>
      <selection pane="bottomLeft" activeCell="Y13" sqref="Y13:Y76"/>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79"/>
      <c r="B1" s="79"/>
      <c r="D1" s="117"/>
      <c r="E1" s="118"/>
      <c r="F1" s="79"/>
      <c r="G1" s="79"/>
      <c r="H1" s="79"/>
      <c r="I1" s="79"/>
      <c r="J1" s="80"/>
      <c r="K1" s="79"/>
      <c r="L1" s="79"/>
      <c r="M1" s="79"/>
      <c r="N1" s="99" t="s">
        <v>167</v>
      </c>
      <c r="O1" s="79"/>
      <c r="P1" s="81"/>
      <c r="Q1" s="79"/>
      <c r="R1" s="79"/>
      <c r="S1" s="79"/>
      <c r="T1" s="77" t="s">
        <v>165</v>
      </c>
      <c r="U1" s="4"/>
      <c r="V1" s="4"/>
      <c r="W1" s="4"/>
      <c r="X1" s="4"/>
      <c r="Y1" s="4"/>
      <c r="Z1" s="4"/>
      <c r="AA1" s="4"/>
    </row>
    <row r="2" spans="1:27" ht="12.75" customHeight="1" x14ac:dyDescent="0.2">
      <c r="A2" s="4"/>
      <c r="B2" s="20" t="s">
        <v>157</v>
      </c>
      <c r="C2" s="20" t="s">
        <v>99</v>
      </c>
      <c r="D2" s="20" t="s">
        <v>100</v>
      </c>
      <c r="E2" s="20" t="s">
        <v>101</v>
      </c>
      <c r="F2" s="20" t="s">
        <v>102</v>
      </c>
      <c r="G2" s="20" t="s">
        <v>103</v>
      </c>
      <c r="H2" s="4"/>
      <c r="I2" s="4"/>
      <c r="J2" s="4"/>
      <c r="K2" s="4"/>
      <c r="L2" s="4"/>
      <c r="M2" s="4"/>
      <c r="N2" s="102"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4"/>
      <c r="P2" s="4"/>
      <c r="Q2" s="4"/>
      <c r="R2" s="4"/>
      <c r="S2" s="4"/>
      <c r="T2" s="78" t="s">
        <v>166</v>
      </c>
      <c r="U2" s="4"/>
      <c r="V2" s="4"/>
      <c r="W2" s="356" t="s">
        <v>181</v>
      </c>
      <c r="X2" s="356"/>
      <c r="Y2" s="4"/>
      <c r="Z2" s="4"/>
      <c r="AA2" s="4"/>
    </row>
    <row r="3" spans="1:27" ht="12.75" customHeight="1" x14ac:dyDescent="0.2">
      <c r="A3" s="4"/>
      <c r="B3" s="4"/>
      <c r="D3" s="117"/>
      <c r="F3" s="5"/>
      <c r="G3" s="4"/>
      <c r="H3" s="4"/>
      <c r="I3" s="4"/>
      <c r="J3" s="4"/>
      <c r="K3" s="4"/>
      <c r="L3" s="4"/>
      <c r="M3" s="4"/>
      <c r="N3" s="131"/>
      <c r="O3" s="4"/>
      <c r="P3" s="4"/>
      <c r="Q3" s="4"/>
      <c r="R3" s="4"/>
      <c r="S3" s="4"/>
      <c r="T3" s="4"/>
      <c r="U3" s="4"/>
      <c r="V3" s="4"/>
      <c r="W3" s="211" t="s">
        <v>148</v>
      </c>
      <c r="X3" s="214" t="b">
        <v>0</v>
      </c>
      <c r="Y3" s="4"/>
      <c r="Z3" s="4"/>
      <c r="AA3" s="4"/>
    </row>
    <row r="4" spans="1:27" ht="24.95" customHeight="1" x14ac:dyDescent="0.2">
      <c r="A4" s="4" t="s">
        <v>126</v>
      </c>
      <c r="B4" s="4"/>
      <c r="D4" s="117"/>
      <c r="F4" s="5"/>
      <c r="G4" s="4"/>
      <c r="H4" s="4"/>
      <c r="I4" s="4"/>
      <c r="J4" s="4"/>
      <c r="K4" s="4"/>
      <c r="L4" s="4"/>
      <c r="M4" s="4"/>
      <c r="N4" s="4"/>
      <c r="O4" s="4"/>
      <c r="P4" s="4"/>
      <c r="Q4" s="4"/>
      <c r="R4" s="4"/>
      <c r="S4" s="4"/>
      <c r="T4" s="4"/>
      <c r="U4" s="153" t="s">
        <v>188</v>
      </c>
      <c r="W4" s="211" t="s">
        <v>182</v>
      </c>
      <c r="X4" s="214" t="b">
        <v>0</v>
      </c>
      <c r="Y4" s="4"/>
      <c r="Z4" s="4"/>
      <c r="AA4" s="4"/>
    </row>
    <row r="5" spans="1:27" ht="24.95" customHeight="1" x14ac:dyDescent="0.2">
      <c r="A5" s="9">
        <f>MAX($A$12:$A$77)</f>
        <v>2</v>
      </c>
      <c r="B5" s="4"/>
      <c r="D5" s="117"/>
      <c r="F5" s="5"/>
      <c r="G5" s="4"/>
      <c r="H5" s="4"/>
      <c r="I5" s="4"/>
      <c r="J5" s="4"/>
      <c r="K5" s="4"/>
      <c r="L5" s="4"/>
      <c r="M5" s="4"/>
      <c r="N5" s="4"/>
      <c r="O5" s="4"/>
      <c r="P5" s="4"/>
      <c r="Q5" s="4"/>
      <c r="R5" s="4"/>
      <c r="S5" s="4"/>
      <c r="T5" s="4"/>
      <c r="U5" s="119" t="str">
        <f ca="1">IF(COUNTIF($U$12:OFFSET($U$77,-1,0),"DESCRIÇÃO")+COUNTIF($U$12:OFFSET($U$77,-1,0),"UNIDADE")+COUNTIF($U$12:OFFSET($U$77,-1,0),"SEM VALOR")&gt;0,"NÃO OK","OK")</f>
        <v>NÃO OK</v>
      </c>
      <c r="V5" s="212" t="s">
        <v>106</v>
      </c>
      <c r="W5" s="211" t="s">
        <v>183</v>
      </c>
      <c r="X5" s="214" t="b">
        <v>0</v>
      </c>
      <c r="Y5" s="4"/>
      <c r="Z5" s="4"/>
      <c r="AA5" s="4"/>
    </row>
    <row r="6" spans="1:27" ht="24.95" customHeight="1" x14ac:dyDescent="0.2">
      <c r="A6" s="4"/>
      <c r="B6" s="4"/>
      <c r="D6" s="117"/>
      <c r="F6" s="5"/>
      <c r="G6" s="4"/>
      <c r="H6" s="4"/>
      <c r="I6" s="4"/>
      <c r="J6" s="4"/>
      <c r="K6" s="82"/>
      <c r="L6" s="4"/>
      <c r="M6" s="4"/>
      <c r="N6" s="4"/>
      <c r="O6" s="4"/>
      <c r="P6" s="4"/>
      <c r="Q6" s="4"/>
      <c r="R6" s="4"/>
      <c r="S6" s="4"/>
      <c r="T6" s="4"/>
      <c r="U6" s="4"/>
      <c r="V6" s="4"/>
      <c r="W6" s="211" t="s">
        <v>184</v>
      </c>
      <c r="X6" s="214" t="b">
        <v>0</v>
      </c>
      <c r="Y6" s="4"/>
      <c r="Z6" s="4"/>
      <c r="AA6" s="4"/>
    </row>
    <row r="7" spans="1:27" ht="24.95" customHeight="1" x14ac:dyDescent="0.2">
      <c r="A7" s="4"/>
      <c r="B7" s="4"/>
      <c r="C7" s="20"/>
      <c r="D7" s="117"/>
      <c r="E7" s="5"/>
      <c r="F7" s="5"/>
      <c r="G7" s="4"/>
      <c r="H7" s="4"/>
      <c r="I7" s="4"/>
      <c r="J7" s="4"/>
      <c r="K7" s="82"/>
      <c r="L7" s="4"/>
      <c r="M7" s="4"/>
      <c r="N7" s="4"/>
      <c r="O7" s="4"/>
      <c r="P7" s="4"/>
      <c r="Q7" s="4"/>
      <c r="R7" s="4"/>
      <c r="S7" s="4"/>
      <c r="T7" s="4"/>
      <c r="U7" s="4"/>
      <c r="V7" s="4"/>
      <c r="W7" s="211" t="s">
        <v>185</v>
      </c>
      <c r="X7" s="214" t="b">
        <v>0</v>
      </c>
      <c r="Y7" s="4"/>
      <c r="Z7" s="4"/>
      <c r="AA7" s="4"/>
    </row>
    <row r="8" spans="1:27" ht="30" customHeight="1" x14ac:dyDescent="0.2">
      <c r="A8" s="4"/>
      <c r="B8" s="4"/>
      <c r="C8" s="20"/>
      <c r="D8" s="20"/>
      <c r="E8" s="5"/>
      <c r="F8" s="5"/>
      <c r="G8" s="4"/>
      <c r="H8" s="4"/>
      <c r="I8" s="4"/>
      <c r="J8" s="4"/>
      <c r="K8" s="4"/>
      <c r="L8" s="4"/>
      <c r="M8" s="4"/>
      <c r="N8" s="4"/>
      <c r="O8" s="4"/>
      <c r="P8" s="4"/>
      <c r="Q8" s="4"/>
      <c r="R8" s="4"/>
      <c r="S8" s="4"/>
      <c r="T8" s="4"/>
      <c r="U8" s="4"/>
      <c r="V8" s="4"/>
      <c r="W8" s="4"/>
      <c r="X8" s="4"/>
      <c r="Y8" s="4"/>
      <c r="Z8" s="4"/>
      <c r="AA8" s="4"/>
    </row>
    <row r="9" spans="1:27" ht="12.75" hidden="1" customHeight="1" x14ac:dyDescent="0.2">
      <c r="A9" s="4"/>
      <c r="B9" s="4"/>
      <c r="C9" s="20"/>
      <c r="D9" s="20"/>
      <c r="E9" s="5"/>
      <c r="F9" s="5"/>
      <c r="G9" s="4"/>
      <c r="H9" s="4"/>
      <c r="I9" s="4"/>
      <c r="J9" s="4"/>
      <c r="K9" s="4"/>
      <c r="L9" s="4"/>
      <c r="M9" s="4"/>
      <c r="N9" s="4"/>
      <c r="O9" s="4"/>
      <c r="P9" s="224" t="str">
        <f ca="1">OFFSET(PLQ!$E$12,ROW($P9)-ROW(P$12),0)</f>
        <v>-</v>
      </c>
      <c r="Q9" s="4"/>
      <c r="R9" s="4"/>
      <c r="S9" s="4"/>
      <c r="T9" s="4"/>
      <c r="U9" s="4"/>
      <c r="V9" s="4"/>
      <c r="W9" s="4"/>
      <c r="X9" s="4"/>
      <c r="Y9" s="4"/>
      <c r="Z9" s="4"/>
      <c r="AA9" s="4"/>
    </row>
    <row r="10" spans="1:27" ht="30" customHeight="1" x14ac:dyDescent="0.2">
      <c r="A10" s="74" t="s">
        <v>3</v>
      </c>
      <c r="B10" s="74" t="s">
        <v>123</v>
      </c>
      <c r="C10" s="74" t="s">
        <v>152</v>
      </c>
      <c r="D10" s="74" t="s">
        <v>153</v>
      </c>
      <c r="E10" s="74" t="s">
        <v>154</v>
      </c>
      <c r="F10" s="74" t="s">
        <v>155</v>
      </c>
      <c r="G10" s="74" t="s">
        <v>156</v>
      </c>
      <c r="H10" s="74" t="s">
        <v>124</v>
      </c>
      <c r="I10" s="74" t="s">
        <v>125</v>
      </c>
      <c r="J10" s="74" t="s">
        <v>3</v>
      </c>
      <c r="K10" s="74" t="s">
        <v>147</v>
      </c>
      <c r="L10" s="74" t="s">
        <v>146</v>
      </c>
      <c r="M10" s="74" t="s">
        <v>4</v>
      </c>
      <c r="N10" s="74" t="s">
        <v>142</v>
      </c>
      <c r="O10" s="75" t="s">
        <v>149</v>
      </c>
      <c r="P10" s="74" t="s">
        <v>148</v>
      </c>
      <c r="Q10" s="74" t="str">
        <f>IF(OR(TipoOrçamento="LICITADO",TipoOrçamento="REPROGRAMADOAC"),"Preço Unitário (R$)","Custo Unitário (R$)")</f>
        <v>Preço Unitário (R$)</v>
      </c>
      <c r="R10" s="74" t="s">
        <v>5</v>
      </c>
      <c r="S10" s="74" t="s">
        <v>151</v>
      </c>
      <c r="T10" s="74" t="s">
        <v>6</v>
      </c>
      <c r="U10" s="74" t="s">
        <v>159</v>
      </c>
      <c r="V10" s="116" t="s">
        <v>161</v>
      </c>
      <c r="W10" s="116" t="s">
        <v>122</v>
      </c>
      <c r="X10" s="116" t="s">
        <v>130</v>
      </c>
      <c r="Y10" s="115" t="str">
        <f>IF(TipoOrçamento="LICITADO","Preço Unitário Edital (R$)","Custo Unitário Referência (R$)")</f>
        <v>Preço Unitário Edital (R$)</v>
      </c>
      <c r="Z10" s="147" t="str">
        <f>IF(TipoOrçamento="LICITADO","Valor BDI Edital","Valor BDI")</f>
        <v>Valor BDI Edital</v>
      </c>
      <c r="AA10" s="4"/>
    </row>
    <row r="11" spans="1:27" ht="12.75" hidden="1" customHeight="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IF(OR($A11="S",$A11=0),0,MATCH(0,OFFSET($B11,1,$A11,ROW($A$77)-ROW($A11)),0))</f>
        <v>0</v>
      </c>
      <c r="I11">
        <f ca="1">IF(OR($A11="S",$A11=0),0,MATCH(OFFSET($B11,0,$A11)+1,OFFSET($B11,1,$A11,ROW($A$77)-ROW($A11)),0))</f>
        <v>0</v>
      </c>
      <c r="J11" s="120" t="s">
        <v>103</v>
      </c>
      <c r="K11" s="162" t="e">
        <f ca="1">IF($A11=0,"-",CONCATENATE(C11&amp;".",IF(AND($A$5&gt;=2,$A11&gt;=2),D11&amp;".",""),IF(AND($A$5&gt;=3,$A11&gt;=3),E11&amp;".",""),IF(AND($A$5&gt;=4,$A11&gt;=4),F11&amp;".",""),IF($A11="S",G11&amp;".","")))</f>
        <v>#VALUE!</v>
      </c>
      <c r="L11" s="209"/>
      <c r="M11" s="209"/>
      <c r="N11" s="231" t="str">
        <f ca="1">IF($A11="S",Referencia.Descricao,"(digite a descrição aqui)")</f>
        <v/>
      </c>
      <c r="O11" s="230" t="str">
        <f ca="1">Referencia.Unidade</f>
        <v/>
      </c>
      <c r="P11" s="225">
        <f ca="1">OFFSET(PLQ!$E$12,ROW($P11)-ROW(P$12),0)</f>
        <v>0</v>
      </c>
      <c r="Q11" s="229"/>
      <c r="R11" s="232" t="s">
        <v>7</v>
      </c>
      <c r="S11" s="121">
        <f>IF($A11="S",IF($Q$10="Preço Unitário (R$)",PO.CustoUnitario,ROUND(PO.CustoUnitario*(1+$Z11),15-13*$X$6)),0)</f>
        <v>0</v>
      </c>
      <c r="T11" s="98">
        <f ca="1">IF($A11="S",VTOTAL1,IF($A11=0,0,ROUND(SomaAgrup,15-13*$X$7)))</f>
        <v>0</v>
      </c>
      <c r="U11" s="13" t="str">
        <f ca="1">IF($J11="","",IF($N11="","DESCRIÇÃO",IF(AND($J11="Serviço",$O11=""),"UNIDADE",IF($T11&lt;=0,"SEM VALOR",IF(AND($Y11&lt;&gt;"",$Q11&gt;$Y11),"ACIMA REF.","")))))</f>
        <v>DESCRIÇÃO</v>
      </c>
      <c r="V11" s="4" t="str">
        <f ca="1">IF(OR($A11=0,$A11="S",$A11&gt;CFF!$A$9),"",MAX(V$12:OFFSET(V11,-1,0))+1)</f>
        <v/>
      </c>
      <c r="W11" s="9" t="b">
        <f>IF(AND($J11="Serviço",$M11&lt;&gt;""),IF($L11="",$M11,CONCATENATE($L11,"-",$M11)))</f>
        <v>0</v>
      </c>
      <c r="X11" s="4" t="str">
        <f ca="1">IF(AND(Fonte&lt;&gt;"",Código&lt;&gt;""),MATCH(Fonte&amp;" "&amp;IF(Fonte="sinapi",SUBSTITUTE(SUBSTITUTE(Código,"/00","/"),"/0","/"),Código),INDIRECT("'[Referência "&amp;_xlnm.Database&amp;".xls]Banco'!$a:$a"),0),"X")</f>
        <v>X</v>
      </c>
      <c r="Y11" s="121">
        <f ca="1">IF(Import.Desoneracao="sim",Referencia.Desonerado,Referencia.NaoDesonerado)</f>
        <v>0</v>
      </c>
      <c r="Z11" s="132">
        <f ca="1">ROUND(IF(ISNUMBER(R11),R11,IF(LEFT(R11,3)="BDI",HLOOKUP(R11,DADOS!$T$37:$X$38,2,FALSE),0)),15-11*$X$5)</f>
        <v>0.21</v>
      </c>
      <c r="AA11" s="4"/>
    </row>
    <row r="12" spans="1:27" x14ac:dyDescent="0.2">
      <c r="A12">
        <v>0</v>
      </c>
      <c r="B12">
        <f ca="1">COUNTA(OFFSET(B12,1,0):B$77)</f>
        <v>64</v>
      </c>
      <c r="J12" s="76" t="str">
        <f>IF(OR(TipoOrçamento="LICITADO",TipoOrçamento="REPROGRAMADOAC"),"CTEF","LOTE")</f>
        <v>CTEF</v>
      </c>
      <c r="K12" s="163">
        <v>0</v>
      </c>
      <c r="L12" s="10"/>
      <c r="M12" s="10"/>
      <c r="N12" s="87">
        <f>IF(TipoOrçamento="LICITADO",DADOS!O43,DADOS!G38)</f>
        <v>0</v>
      </c>
      <c r="O12" s="10"/>
      <c r="P12" s="11"/>
      <c r="Q12" s="11"/>
      <c r="R12" s="12"/>
      <c r="S12" s="11"/>
      <c r="T12" s="97">
        <f ca="1">SUMIF(OFFSET($J12,1,0,ROW(T77)-ROW(T12)-1),"Serviço",OFFSET(T12,1,0,ROW(T77)-ROW(T12)-1))</f>
        <v>0</v>
      </c>
      <c r="U12" s="13" t="str">
        <f>IF($N12=0,"DESCRIÇÃO","")</f>
        <v>DESCRIÇÃO</v>
      </c>
      <c r="V12" s="4">
        <v>0</v>
      </c>
      <c r="W12" s="4"/>
      <c r="X12" s="4"/>
      <c r="Y12" s="11"/>
      <c r="Z12" s="133"/>
      <c r="AA12" s="4"/>
    </row>
    <row r="13" spans="1:27" x14ac:dyDescent="0.2">
      <c r="A13">
        <f t="shared" ref="A13:A76" si="0">CHOOSE(1+LOG(1+2*(J13="Meta")+4*(J13="Nível 2")+8*(J13="Nível 3")+16*(J13="Nível 4")+32*(J13="Serviço"),2),0,1,2,3,4,"S")</f>
        <v>1</v>
      </c>
      <c r="B13">
        <f t="shared" ref="B13:B76" ca="1" si="1">IF(OR(A13="S",A13=0),0,IF(ISERROR(I13),H13,SMALL(H13:I13,1)))</f>
        <v>64</v>
      </c>
      <c r="C13">
        <f t="shared" ref="C13:C76" ca="1" si="2">IF($A13=1,OFFSET(C13,-1,0)+1,OFFSET(C13,-1,0))</f>
        <v>1</v>
      </c>
      <c r="D13">
        <f t="shared" ref="D13:D76" ca="1" si="3">IF($A13=1,0,IF($A13=2,OFFSET(D13,-1,0)+1,OFFSET(D13,-1,0)))</f>
        <v>0</v>
      </c>
      <c r="E13">
        <f t="shared" ref="E13:E76" ca="1" si="4">IF(AND($A13&lt;=2,$A13&lt;&gt;0),0,IF($A13=3,OFFSET(E13,-1,0)+1,OFFSET(E13,-1,0)))</f>
        <v>0</v>
      </c>
      <c r="F13">
        <f t="shared" ref="F13:F76" ca="1" si="5">IF(AND($A13&lt;=3,$A13&lt;&gt;0),0,IF($A13=4,OFFSET(F13,-1,0)+1,OFFSET(F13,-1,0)))</f>
        <v>0</v>
      </c>
      <c r="G13">
        <f t="shared" ref="G13:G76" ca="1" si="6">IF(AND($A13&lt;=4,$A13&lt;&gt;0),0,IF($A13="S",OFFSET(G13,-1,0)+1,OFFSET(G13,-1,0)))</f>
        <v>0</v>
      </c>
      <c r="H13">
        <f t="shared" ref="H13:H32" ca="1" si="7">IF(OR($A13="S",$A13=0),0,MATCH(0,OFFSET($B13,1,$A13,ROW($A$77)-ROW($A13)),0))</f>
        <v>64</v>
      </c>
      <c r="I13" t="e">
        <f t="shared" ref="I13:I32" ca="1" si="8">IF(OR($A13="S",$A13=0),0,MATCH(OFFSET($B13,0,$A13)+1,OFFSET($B13,1,$A13,ROW($A$77)-ROW($A13)),0))</f>
        <v>#N/A</v>
      </c>
      <c r="J13" s="164" t="s">
        <v>99</v>
      </c>
      <c r="K13" s="162" t="str">
        <f t="shared" ref="K13:K76" ca="1" si="9">IF($A13=0,"-",CONCATENATE(C13&amp;".",IF(AND($A$5&gt;=2,$A13&gt;=2),D13&amp;".",""),IF(AND($A$5&gt;=3,$A13&gt;=3),E13&amp;".",""),IF(AND($A$5&gt;=4,$A13&gt;=4),F13&amp;".",""),IF($A13="S",G13&amp;".","")))</f>
        <v>1.</v>
      </c>
      <c r="L13" s="395"/>
      <c r="M13" s="395"/>
      <c r="N13" s="396" t="s">
        <v>240</v>
      </c>
      <c r="O13" s="397" t="s">
        <v>106</v>
      </c>
      <c r="P13" s="225">
        <f ca="1">OFFSET(PLQ!$E$12,ROW($P13)-ROW(P$12),0)</f>
        <v>0</v>
      </c>
      <c r="Q13" s="229"/>
      <c r="R13" s="232" t="s">
        <v>7</v>
      </c>
      <c r="S13" s="121">
        <f t="shared" ref="S13:S76" si="10">IF($A13="S",IF($Q$10="Preço Unitário (R$)",PO.CustoUnitario,ROUND(PO.CustoUnitario*(1+$Z13),15-13*$X$6)),0)</f>
        <v>0</v>
      </c>
      <c r="T13" s="98">
        <f t="shared" ref="T13:T76" ca="1" si="11">IF($A13="S",VTOTAL1,IF($A13=0,0,ROUND(SomaAgrup,15-13*$X$7)))</f>
        <v>0</v>
      </c>
      <c r="U13" s="13" t="str">
        <f t="shared" ref="U13:U76" ca="1" si="12">IF($J13="","",IF($N13="","DESCRIÇÃO",IF(AND($J13="Serviço",$O13=""),"UNIDADE",IF($T13&lt;=0,"SEM VALOR",IF(AND($Y13&lt;&gt;"",$Q13&gt;$Y13),"ACIMA REF.","")))))</f>
        <v>SEM VALOR</v>
      </c>
      <c r="V13" s="4">
        <f ca="1">IF(OR($A13=0,$A13="S",$A13&gt;CFF!$A$9),"",MAX(V$12:OFFSET(V13,-1,0))+1)</f>
        <v>1</v>
      </c>
      <c r="W13" s="9" t="b">
        <f t="shared" ref="W13:W76" si="13">IF(AND($J13="Serviço",$M13&lt;&gt;""),IF($L13="",$M13,CONCATENATE($L13,"-",$M13)))</f>
        <v>0</v>
      </c>
      <c r="X13" s="4" t="str">
        <f t="shared" ref="X13:X76" ca="1" si="14">IF(AND(Fonte&lt;&gt;"",Código&lt;&gt;""),MATCH(Fonte&amp;" "&amp;IF(Fonte="sinapi",SUBSTITUTE(SUBSTITUTE(Código,"/00","/"),"/0","/"),Código),INDIRECT("'[Referência "&amp;_xlnm.Database&amp;".xls]Banco'!$a:$a"),0),"X")</f>
        <v>X</v>
      </c>
      <c r="Y13" s="121">
        <v>0</v>
      </c>
      <c r="Z13" s="132">
        <f ca="1">ROUND(IF(ISNUMBER(R13),R13,IF(LEFT(R13,3)="BDI",HLOOKUP(R13,DADOS!$T$37:$X$38,2,FALSE),0)),15-11*$X$5)</f>
        <v>0.21</v>
      </c>
      <c r="AA13" s="4"/>
    </row>
    <row r="14" spans="1:27" x14ac:dyDescent="0.2">
      <c r="A14">
        <f t="shared" si="0"/>
        <v>2</v>
      </c>
      <c r="B14">
        <f t="shared" ca="1" si="1"/>
        <v>5</v>
      </c>
      <c r="C14">
        <f t="shared" ca="1" si="2"/>
        <v>1</v>
      </c>
      <c r="D14">
        <f t="shared" ca="1" si="3"/>
        <v>1</v>
      </c>
      <c r="E14">
        <f t="shared" ca="1" si="4"/>
        <v>0</v>
      </c>
      <c r="F14">
        <f t="shared" ca="1" si="5"/>
        <v>0</v>
      </c>
      <c r="G14">
        <f t="shared" ca="1" si="6"/>
        <v>0</v>
      </c>
      <c r="H14">
        <f t="shared" ca="1" si="7"/>
        <v>63</v>
      </c>
      <c r="I14">
        <f t="shared" ca="1" si="8"/>
        <v>5</v>
      </c>
      <c r="J14" s="394" t="s">
        <v>100</v>
      </c>
      <c r="K14" s="162" t="str">
        <f t="shared" ca="1" si="9"/>
        <v>1.1.</v>
      </c>
      <c r="L14" s="395"/>
      <c r="M14" s="395"/>
      <c r="N14" s="396" t="s">
        <v>241</v>
      </c>
      <c r="O14" s="397" t="s">
        <v>106</v>
      </c>
      <c r="P14" s="225">
        <f ca="1">OFFSET(PLQ!$E$12,ROW($P14)-ROW(P$12),0)</f>
        <v>0</v>
      </c>
      <c r="Q14" s="229"/>
      <c r="R14" s="232" t="s">
        <v>7</v>
      </c>
      <c r="S14" s="121">
        <f t="shared" si="10"/>
        <v>0</v>
      </c>
      <c r="T14" s="98">
        <f t="shared" ca="1" si="11"/>
        <v>0</v>
      </c>
      <c r="U14" s="13" t="str">
        <f t="shared" ca="1" si="12"/>
        <v>SEM VALOR</v>
      </c>
      <c r="V14" s="4">
        <f ca="1">IF(OR($A14=0,$A14="S",$A14&gt;CFF!$A$9),"",MAX(V$12:OFFSET(V14,-1,0))+1)</f>
        <v>2</v>
      </c>
      <c r="W14" s="9" t="b">
        <f t="shared" si="13"/>
        <v>0</v>
      </c>
      <c r="X14" s="4" t="str">
        <f t="shared" ca="1" si="14"/>
        <v>X</v>
      </c>
      <c r="Y14" s="121">
        <v>0</v>
      </c>
      <c r="Z14" s="132">
        <f ca="1">ROUND(IF(ISNUMBER(R14),R14,IF(LEFT(R14,3)="BDI",HLOOKUP(R14,DADOS!$T$37:$X$38,2,FALSE),0)),15-11*$X$5)</f>
        <v>0.21</v>
      </c>
      <c r="AA14" s="4"/>
    </row>
    <row r="15" spans="1:27" ht="25.5" x14ac:dyDescent="0.2">
      <c r="A15" t="str">
        <f t="shared" si="0"/>
        <v>S</v>
      </c>
      <c r="B15">
        <f t="shared" si="1"/>
        <v>0</v>
      </c>
      <c r="C15">
        <f t="shared" ca="1" si="2"/>
        <v>1</v>
      </c>
      <c r="D15">
        <f t="shared" ca="1" si="3"/>
        <v>1</v>
      </c>
      <c r="E15">
        <f t="shared" ca="1" si="4"/>
        <v>0</v>
      </c>
      <c r="F15">
        <f t="shared" ca="1" si="5"/>
        <v>0</v>
      </c>
      <c r="G15">
        <f t="shared" ca="1" si="6"/>
        <v>1</v>
      </c>
      <c r="H15">
        <f t="shared" ca="1" si="7"/>
        <v>0</v>
      </c>
      <c r="I15">
        <f t="shared" ca="1" si="8"/>
        <v>0</v>
      </c>
      <c r="J15" s="394" t="s">
        <v>103</v>
      </c>
      <c r="K15" s="162" t="str">
        <f t="shared" ca="1" si="9"/>
        <v>1.1.1.</v>
      </c>
      <c r="L15" s="395" t="s">
        <v>232</v>
      </c>
      <c r="M15" s="395">
        <v>92620</v>
      </c>
      <c r="N15" s="396" t="s">
        <v>285</v>
      </c>
      <c r="O15" s="397" t="s">
        <v>242</v>
      </c>
      <c r="P15" s="225">
        <f ca="1">OFFSET(PLQ!$E$12,ROW($P15)-ROW(P$12),0)</f>
        <v>5</v>
      </c>
      <c r="Q15" s="229"/>
      <c r="R15" s="232" t="s">
        <v>7</v>
      </c>
      <c r="S15" s="121">
        <f t="shared" si="10"/>
        <v>0</v>
      </c>
      <c r="T15" s="98">
        <f t="shared" ca="1" si="11"/>
        <v>0</v>
      </c>
      <c r="U15" s="13" t="str">
        <f t="shared" ca="1" si="12"/>
        <v>SEM VALOR</v>
      </c>
      <c r="V15" s="4" t="str">
        <f ca="1">IF(OR($A15=0,$A15="S",$A15&gt;CFF!$A$9),"",MAX(V$12:OFFSET(V15,-1,0))+1)</f>
        <v/>
      </c>
      <c r="W15" s="9" t="str">
        <f t="shared" si="13"/>
        <v>SINAPI-92620</v>
      </c>
      <c r="X15" s="4" t="e">
        <f t="shared" ca="1" si="14"/>
        <v>#REF!</v>
      </c>
      <c r="Y15" s="121">
        <v>2904</v>
      </c>
      <c r="Z15" s="132">
        <f ca="1">ROUND(IF(ISNUMBER(R15),R15,IF(LEFT(R15,3)="BDI",HLOOKUP(R15,DADOS!$T$37:$X$38,2,FALSE),0)),15-11*$X$5)</f>
        <v>0.21</v>
      </c>
      <c r="AA15" s="4"/>
    </row>
    <row r="16" spans="1:27" ht="25.5" x14ac:dyDescent="0.2">
      <c r="A16" t="str">
        <f t="shared" si="0"/>
        <v>S</v>
      </c>
      <c r="B16">
        <f t="shared" si="1"/>
        <v>0</v>
      </c>
      <c r="C16">
        <f t="shared" ca="1" si="2"/>
        <v>1</v>
      </c>
      <c r="D16">
        <f t="shared" ca="1" si="3"/>
        <v>1</v>
      </c>
      <c r="E16">
        <f t="shared" ca="1" si="4"/>
        <v>0</v>
      </c>
      <c r="F16">
        <f t="shared" ca="1" si="5"/>
        <v>0</v>
      </c>
      <c r="G16">
        <f t="shared" ca="1" si="6"/>
        <v>2</v>
      </c>
      <c r="H16">
        <f t="shared" ca="1" si="7"/>
        <v>0</v>
      </c>
      <c r="I16">
        <f t="shared" ca="1" si="8"/>
        <v>0</v>
      </c>
      <c r="J16" s="394" t="s">
        <v>103</v>
      </c>
      <c r="K16" s="162" t="str">
        <f t="shared" ca="1" si="9"/>
        <v>1.1.2.</v>
      </c>
      <c r="L16" s="395" t="s">
        <v>232</v>
      </c>
      <c r="M16" s="395">
        <v>92580</v>
      </c>
      <c r="N16" s="396" t="s">
        <v>274</v>
      </c>
      <c r="O16" s="397" t="s">
        <v>236</v>
      </c>
      <c r="P16" s="225">
        <f ca="1">OFFSET(PLQ!$E$12,ROW($P16)-ROW(P$12),0)</f>
        <v>375</v>
      </c>
      <c r="Q16" s="229"/>
      <c r="R16" s="232" t="s">
        <v>7</v>
      </c>
      <c r="S16" s="121">
        <f t="shared" si="10"/>
        <v>0</v>
      </c>
      <c r="T16" s="98">
        <f t="shared" ca="1" si="11"/>
        <v>0</v>
      </c>
      <c r="U16" s="13" t="str">
        <f t="shared" ca="1" si="12"/>
        <v>SEM VALOR</v>
      </c>
      <c r="V16" s="4" t="str">
        <f ca="1">IF(OR($A16=0,$A16="S",$A16&gt;CFF!$A$9),"",MAX(V$12:OFFSET(V16,-1,0))+1)</f>
        <v/>
      </c>
      <c r="W16" s="9" t="str">
        <f t="shared" si="13"/>
        <v>SINAPI-92580</v>
      </c>
      <c r="X16" s="4" t="e">
        <f t="shared" ca="1" si="14"/>
        <v>#REF!</v>
      </c>
      <c r="Y16" s="121">
        <v>72.599999999999994</v>
      </c>
      <c r="Z16" s="132">
        <f ca="1">ROUND(IF(ISNUMBER(R16),R16,IF(LEFT(R16,3)="BDI",HLOOKUP(R16,DADOS!$T$37:$X$38,2,FALSE),0)),15-11*$X$5)</f>
        <v>0.21</v>
      </c>
      <c r="AA16" s="4"/>
    </row>
    <row r="17" spans="1:27" x14ac:dyDescent="0.2">
      <c r="A17" t="str">
        <f t="shared" si="0"/>
        <v>S</v>
      </c>
      <c r="B17">
        <f t="shared" si="1"/>
        <v>0</v>
      </c>
      <c r="C17">
        <f t="shared" ca="1" si="2"/>
        <v>1</v>
      </c>
      <c r="D17">
        <f t="shared" ca="1" si="3"/>
        <v>1</v>
      </c>
      <c r="E17">
        <f t="shared" ca="1" si="4"/>
        <v>0</v>
      </c>
      <c r="F17">
        <f t="shared" ca="1" si="5"/>
        <v>0</v>
      </c>
      <c r="G17">
        <f t="shared" ca="1" si="6"/>
        <v>3</v>
      </c>
      <c r="H17">
        <f t="shared" ca="1" si="7"/>
        <v>0</v>
      </c>
      <c r="I17">
        <f t="shared" ca="1" si="8"/>
        <v>0</v>
      </c>
      <c r="J17" s="394" t="s">
        <v>103</v>
      </c>
      <c r="K17" s="162" t="str">
        <f t="shared" ca="1" si="9"/>
        <v>1.1.3.</v>
      </c>
      <c r="L17" s="395" t="s">
        <v>232</v>
      </c>
      <c r="M17" s="395">
        <v>94213</v>
      </c>
      <c r="N17" s="396" t="s">
        <v>286</v>
      </c>
      <c r="O17" s="397" t="s">
        <v>236</v>
      </c>
      <c r="P17" s="225">
        <f ca="1">OFFSET(PLQ!$E$12,ROW($P17)-ROW(P$12),0)</f>
        <v>375</v>
      </c>
      <c r="Q17" s="229"/>
      <c r="R17" s="232" t="s">
        <v>7</v>
      </c>
      <c r="S17" s="121">
        <f t="shared" si="10"/>
        <v>0</v>
      </c>
      <c r="T17" s="98">
        <f t="shared" ca="1" si="11"/>
        <v>0</v>
      </c>
      <c r="U17" s="13" t="str">
        <f t="shared" ca="1" si="12"/>
        <v>SEM VALOR</v>
      </c>
      <c r="V17" s="4" t="str">
        <f ca="1">IF(OR($A17=0,$A17="S",$A17&gt;CFF!$A$9),"",MAX(V$12:OFFSET(V17,-1,0))+1)</f>
        <v/>
      </c>
      <c r="W17" s="9" t="str">
        <f t="shared" si="13"/>
        <v>SINAPI-94213</v>
      </c>
      <c r="X17" s="4" t="e">
        <f t="shared" ca="1" si="14"/>
        <v>#REF!</v>
      </c>
      <c r="Y17" s="121">
        <v>78.650000000000006</v>
      </c>
      <c r="Z17" s="132">
        <f ca="1">ROUND(IF(ISNUMBER(R17),R17,IF(LEFT(R17,3)="BDI",HLOOKUP(R17,DADOS!$T$37:$X$38,2,FALSE),0)),15-11*$X$5)</f>
        <v>0.21</v>
      </c>
      <c r="AA17" s="4"/>
    </row>
    <row r="18" spans="1:27" ht="25.5" x14ac:dyDescent="0.2">
      <c r="A18" t="str">
        <f t="shared" si="0"/>
        <v>S</v>
      </c>
      <c r="B18">
        <f t="shared" si="1"/>
        <v>0</v>
      </c>
      <c r="C18">
        <f t="shared" ca="1" si="2"/>
        <v>1</v>
      </c>
      <c r="D18">
        <f t="shared" ca="1" si="3"/>
        <v>1</v>
      </c>
      <c r="E18">
        <f t="shared" ca="1" si="4"/>
        <v>0</v>
      </c>
      <c r="F18">
        <f t="shared" ca="1" si="5"/>
        <v>0</v>
      </c>
      <c r="G18">
        <f t="shared" ca="1" si="6"/>
        <v>4</v>
      </c>
      <c r="H18">
        <f t="shared" ca="1" si="7"/>
        <v>0</v>
      </c>
      <c r="I18">
        <f t="shared" ca="1" si="8"/>
        <v>0</v>
      </c>
      <c r="J18" s="394" t="s">
        <v>103</v>
      </c>
      <c r="K18" s="162" t="str">
        <f t="shared" ca="1" si="9"/>
        <v>1.1.4.</v>
      </c>
      <c r="L18" s="395" t="s">
        <v>232</v>
      </c>
      <c r="M18" s="395">
        <v>94228</v>
      </c>
      <c r="N18" s="396" t="s">
        <v>287</v>
      </c>
      <c r="O18" s="397" t="s">
        <v>243</v>
      </c>
      <c r="P18" s="225">
        <f ca="1">OFFSET(PLQ!$E$12,ROW($P18)-ROW(P$12),0)</f>
        <v>42</v>
      </c>
      <c r="Q18" s="229"/>
      <c r="R18" s="232" t="s">
        <v>7</v>
      </c>
      <c r="S18" s="121">
        <f t="shared" si="10"/>
        <v>0</v>
      </c>
      <c r="T18" s="98">
        <f t="shared" ca="1" si="11"/>
        <v>0</v>
      </c>
      <c r="U18" s="13" t="str">
        <f t="shared" ca="1" si="12"/>
        <v>SEM VALOR</v>
      </c>
      <c r="V18" s="4" t="str">
        <f ca="1">IF(OR($A18=0,$A18="S",$A18&gt;CFF!$A$9),"",MAX(V$12:OFFSET(V18,-1,0))+1)</f>
        <v/>
      </c>
      <c r="W18" s="9" t="str">
        <f t="shared" si="13"/>
        <v>SINAPI-94228</v>
      </c>
      <c r="X18" s="4" t="e">
        <f t="shared" ca="1" si="14"/>
        <v>#REF!</v>
      </c>
      <c r="Y18" s="121">
        <v>102.85</v>
      </c>
      <c r="Z18" s="132">
        <f ca="1">ROUND(IF(ISNUMBER(R18),R18,IF(LEFT(R18,3)="BDI",HLOOKUP(R18,DADOS!$T$37:$X$38,2,FALSE),0)),15-11*$X$5)</f>
        <v>0.21</v>
      </c>
      <c r="AA18" s="4"/>
    </row>
    <row r="19" spans="1:27" x14ac:dyDescent="0.2">
      <c r="A19">
        <f t="shared" si="0"/>
        <v>2</v>
      </c>
      <c r="B19">
        <f t="shared" ca="1" si="1"/>
        <v>7</v>
      </c>
      <c r="C19">
        <f t="shared" ca="1" si="2"/>
        <v>1</v>
      </c>
      <c r="D19">
        <f t="shared" ca="1" si="3"/>
        <v>2</v>
      </c>
      <c r="E19">
        <f t="shared" ca="1" si="4"/>
        <v>0</v>
      </c>
      <c r="F19">
        <f t="shared" ca="1" si="5"/>
        <v>0</v>
      </c>
      <c r="G19">
        <f t="shared" ca="1" si="6"/>
        <v>0</v>
      </c>
      <c r="H19">
        <f t="shared" ca="1" si="7"/>
        <v>58</v>
      </c>
      <c r="I19">
        <f t="shared" ca="1" si="8"/>
        <v>7</v>
      </c>
      <c r="J19" s="394" t="s">
        <v>100</v>
      </c>
      <c r="K19" s="162" t="str">
        <f t="shared" ca="1" si="9"/>
        <v>1.2.</v>
      </c>
      <c r="L19" s="395"/>
      <c r="M19" s="395"/>
      <c r="N19" s="396" t="s">
        <v>280</v>
      </c>
      <c r="O19" s="397"/>
      <c r="P19" s="225">
        <f ca="1">OFFSET(PLQ!$E$12,ROW($P19)-ROW(P$12),0)</f>
        <v>0</v>
      </c>
      <c r="Q19" s="229"/>
      <c r="R19" s="232" t="s">
        <v>7</v>
      </c>
      <c r="S19" s="121">
        <f t="shared" si="10"/>
        <v>0</v>
      </c>
      <c r="T19" s="98">
        <f t="shared" ca="1" si="11"/>
        <v>0</v>
      </c>
      <c r="U19" s="13" t="str">
        <f t="shared" ca="1" si="12"/>
        <v>SEM VALOR</v>
      </c>
      <c r="V19" s="4">
        <f ca="1">IF(OR($A19=0,$A19="S",$A19&gt;CFF!$A$9),"",MAX(V$12:OFFSET(V19,-1,0))+1)</f>
        <v>3</v>
      </c>
      <c r="W19" s="9" t="b">
        <f t="shared" si="13"/>
        <v>0</v>
      </c>
      <c r="X19" s="4" t="str">
        <f t="shared" ca="1" si="14"/>
        <v>X</v>
      </c>
      <c r="Y19" s="121">
        <v>0</v>
      </c>
      <c r="Z19" s="132">
        <f ca="1">ROUND(IF(ISNUMBER(R19),R19,IF(LEFT(R19,3)="BDI",HLOOKUP(R19,DADOS!$T$37:$X$38,2,FALSE),0)),15-11*$X$5)</f>
        <v>0.21</v>
      </c>
      <c r="AA19" s="4"/>
    </row>
    <row r="20" spans="1:27" ht="25.5" x14ac:dyDescent="0.2">
      <c r="A20" t="str">
        <f>CHOOSE(1+LOG(1+2*(J20="Meta")+4*(J20="Nível 2")+8*(J20="Nível 3")+16*(J20="Nível 4")+32*(J20="Serviço"),2),0,1,2,3,4,"S")</f>
        <v>S</v>
      </c>
      <c r="B20">
        <f>IF(OR(A20="S",A20=0),0,IF(ISERROR(I20),H20,SMALL(H20:I20,1)))</f>
        <v>0</v>
      </c>
      <c r="C20">
        <f ca="1">IF($A20=1,OFFSET(C20,-1,0)+1,OFFSET(C20,-1,0))</f>
        <v>1</v>
      </c>
      <c r="D20">
        <f ca="1">IF($A20=1,0,IF($A20=2,OFFSET(D20,-1,0)+1,OFFSET(D20,-1,0)))</f>
        <v>2</v>
      </c>
      <c r="E20">
        <f ca="1">IF(AND($A20&lt;=2,$A20&lt;&gt;0),0,IF($A20=3,OFFSET(E20,-1,0)+1,OFFSET(E20,-1,0)))</f>
        <v>0</v>
      </c>
      <c r="F20">
        <f ca="1">IF(AND($A20&lt;=3,$A20&lt;&gt;0),0,IF($A20=4,OFFSET(F20,-1,0)+1,OFFSET(F20,-1,0)))</f>
        <v>0</v>
      </c>
      <c r="G20">
        <f ca="1">IF(AND($A20&lt;=4,$A20&lt;&gt;0),0,IF($A20="S",OFFSET(G20,-1,0)+1,OFFSET(G20,-1,0)))</f>
        <v>1</v>
      </c>
      <c r="H20">
        <f t="shared" ca="1" si="7"/>
        <v>0</v>
      </c>
      <c r="I20">
        <f t="shared" ca="1" si="8"/>
        <v>0</v>
      </c>
      <c r="J20" s="394" t="s">
        <v>103</v>
      </c>
      <c r="K20" s="162" t="str">
        <f ca="1">IF($A20=0,"-",CONCATENATE(C20&amp;".",IF(AND($A$5&gt;=2,$A20&gt;=2),D20&amp;".",""),IF(AND($A$5&gt;=3,$A20&gt;=3),E20&amp;".",""),IF(AND($A$5&gt;=4,$A20&gt;=4),F20&amp;".",""),IF($A20="S",G20&amp;".","")))</f>
        <v>1.2.1.</v>
      </c>
      <c r="L20" s="395" t="s">
        <v>232</v>
      </c>
      <c r="M20" s="395">
        <v>103316</v>
      </c>
      <c r="N20" s="396" t="s">
        <v>307</v>
      </c>
      <c r="O20" s="397" t="s">
        <v>236</v>
      </c>
      <c r="P20" s="225">
        <f ca="1">OFFSET(PLQ!$E$12,ROW($P20)-ROW(P$12),0)</f>
        <v>54</v>
      </c>
      <c r="Q20" s="229"/>
      <c r="R20" s="232" t="s">
        <v>7</v>
      </c>
      <c r="S20" s="121">
        <f>IF($A20="S",IF($Q$10="Preço Unitário (R$)",PO.CustoUnitario,ROUND(PO.CustoUnitario*(1+$Z20),15-13*$X$6)),0)</f>
        <v>0</v>
      </c>
      <c r="T20" s="98">
        <f ca="1">IF($A20="S",VTOTAL1,IF($A20=0,0,ROUND(SomaAgrup,15-13*$X$7)))</f>
        <v>0</v>
      </c>
      <c r="U20" s="13" t="str">
        <f ca="1">IF($J20="","",IF($N20="","DESCRIÇÃO",IF(AND($J20="Serviço",$O20=""),"UNIDADE",IF($T20&lt;=0,"SEM VALOR",IF(AND($Y20&lt;&gt;"",$Q20&gt;$Y20),"ACIMA REF.","")))))</f>
        <v>SEM VALOR</v>
      </c>
      <c r="V20" s="4" t="str">
        <f ca="1">IF(OR($A20=0,$A20="S",$A20&gt;CFF!$A$9),"",MAX(V$12:OFFSET(V20,-1,0))+1)</f>
        <v/>
      </c>
      <c r="W20" s="9" t="str">
        <f>IF(AND($J20="Serviço",$M20&lt;&gt;""),IF($L20="",$M20,CONCATENATE($L20,"-",$M20)))</f>
        <v>SINAPI-103316</v>
      </c>
      <c r="X20" s="4" t="e">
        <f ca="1">IF(AND(Fonte&lt;&gt;"",Código&lt;&gt;""),MATCH(Fonte&amp;" "&amp;IF(Fonte="sinapi",SUBSTITUTE(SUBSTITUTE(Código,"/00","/"),"/0","/"),Código),INDIRECT("'[Referência "&amp;_xlnm.Database&amp;".xls]Banco'!$a:$a"),0),"X")</f>
        <v>#REF!</v>
      </c>
      <c r="Y20" s="121">
        <v>99.316800000000001</v>
      </c>
      <c r="Z20" s="132">
        <f ca="1">ROUND(IF(ISNUMBER(R20),R20,IF(LEFT(R20,3)="BDI",HLOOKUP(R20,DADOS!$T$37:$X$38,2,FALSE),0)),15-11*$X$5)</f>
        <v>0.21</v>
      </c>
      <c r="AA20" s="4"/>
    </row>
    <row r="21" spans="1:27" ht="25.5" x14ac:dyDescent="0.2">
      <c r="A21" t="str">
        <f t="shared" si="0"/>
        <v>S</v>
      </c>
      <c r="B21">
        <f t="shared" si="1"/>
        <v>0</v>
      </c>
      <c r="C21">
        <f t="shared" ca="1" si="2"/>
        <v>1</v>
      </c>
      <c r="D21">
        <f t="shared" ca="1" si="3"/>
        <v>2</v>
      </c>
      <c r="E21">
        <f t="shared" ca="1" si="4"/>
        <v>0</v>
      </c>
      <c r="F21">
        <f t="shared" ca="1" si="5"/>
        <v>0</v>
      </c>
      <c r="G21">
        <f t="shared" ca="1" si="6"/>
        <v>2</v>
      </c>
      <c r="H21">
        <f t="shared" ca="1" si="7"/>
        <v>0</v>
      </c>
      <c r="I21">
        <f t="shared" ca="1" si="8"/>
        <v>0</v>
      </c>
      <c r="J21" s="394" t="s">
        <v>103</v>
      </c>
      <c r="K21" s="162" t="str">
        <f t="shared" ca="1" si="9"/>
        <v>1.2.2.</v>
      </c>
      <c r="L21" s="395" t="s">
        <v>232</v>
      </c>
      <c r="M21" s="395">
        <v>103338</v>
      </c>
      <c r="N21" s="396" t="s">
        <v>308</v>
      </c>
      <c r="O21" s="397" t="s">
        <v>236</v>
      </c>
      <c r="P21" s="225">
        <f ca="1">OFFSET(PLQ!$E$12,ROW($P21)-ROW(P$12),0)</f>
        <v>90</v>
      </c>
      <c r="Q21" s="229"/>
      <c r="R21" s="232" t="s">
        <v>7</v>
      </c>
      <c r="S21" s="121">
        <f t="shared" si="10"/>
        <v>0</v>
      </c>
      <c r="T21" s="98">
        <f t="shared" ca="1" si="11"/>
        <v>0</v>
      </c>
      <c r="U21" s="13" t="str">
        <f t="shared" ca="1" si="12"/>
        <v>SEM VALOR</v>
      </c>
      <c r="V21" s="4" t="str">
        <f ca="1">IF(OR($A21=0,$A21="S",$A21&gt;CFF!$A$9),"",MAX(V$12:OFFSET(V21,-1,0))+1)</f>
        <v/>
      </c>
      <c r="W21" s="9" t="str">
        <f t="shared" si="13"/>
        <v>SINAPI-103338</v>
      </c>
      <c r="X21" s="4" t="e">
        <f t="shared" ca="1" si="14"/>
        <v>#REF!</v>
      </c>
      <c r="Y21" s="121">
        <v>146.55520000000001</v>
      </c>
      <c r="Z21" s="132">
        <f ca="1">ROUND(IF(ISNUMBER(R21),R21,IF(LEFT(R21,3)="BDI",HLOOKUP(R21,DADOS!$T$37:$X$38,2,FALSE),0)),15-11*$X$5)</f>
        <v>0.21</v>
      </c>
      <c r="AA21" s="4"/>
    </row>
    <row r="22" spans="1:27" ht="25.5" x14ac:dyDescent="0.2">
      <c r="A22" t="str">
        <f t="shared" si="0"/>
        <v>S</v>
      </c>
      <c r="B22">
        <f t="shared" si="1"/>
        <v>0</v>
      </c>
      <c r="C22">
        <f t="shared" ca="1" si="2"/>
        <v>1</v>
      </c>
      <c r="D22">
        <f t="shared" ca="1" si="3"/>
        <v>2</v>
      </c>
      <c r="E22">
        <f t="shared" ca="1" si="4"/>
        <v>0</v>
      </c>
      <c r="F22">
        <f t="shared" ca="1" si="5"/>
        <v>0</v>
      </c>
      <c r="G22">
        <f t="shared" ca="1" si="6"/>
        <v>3</v>
      </c>
      <c r="H22">
        <f t="shared" ca="1" si="7"/>
        <v>0</v>
      </c>
      <c r="I22">
        <f t="shared" ca="1" si="8"/>
        <v>0</v>
      </c>
      <c r="J22" s="394" t="s">
        <v>103</v>
      </c>
      <c r="K22" s="162" t="str">
        <f t="shared" ca="1" si="9"/>
        <v>1.2.3.</v>
      </c>
      <c r="L22" s="395" t="s">
        <v>232</v>
      </c>
      <c r="M22" s="395">
        <v>87905</v>
      </c>
      <c r="N22" s="396" t="s">
        <v>246</v>
      </c>
      <c r="O22" s="397" t="s">
        <v>236</v>
      </c>
      <c r="P22" s="225">
        <f ca="1">OFFSET(PLQ!$E$12,ROW($P22)-ROW(P$12),0)</f>
        <v>180</v>
      </c>
      <c r="Q22" s="229"/>
      <c r="R22" s="232" t="s">
        <v>7</v>
      </c>
      <c r="S22" s="121">
        <f t="shared" si="10"/>
        <v>0</v>
      </c>
      <c r="T22" s="98">
        <f t="shared" ca="1" si="11"/>
        <v>0</v>
      </c>
      <c r="U22" s="13" t="str">
        <f t="shared" ca="1" si="12"/>
        <v>SEM VALOR</v>
      </c>
      <c r="V22" s="4" t="str">
        <f ca="1">IF(OR($A22=0,$A22="S",$A22&gt;CFF!$A$9),"",MAX(V$12:OFFSET(V22,-1,0))+1)</f>
        <v/>
      </c>
      <c r="W22" s="9" t="str">
        <f t="shared" si="13"/>
        <v>SINAPI-87905</v>
      </c>
      <c r="X22" s="4" t="e">
        <f t="shared" ca="1" si="14"/>
        <v>#REF!</v>
      </c>
      <c r="Y22" s="121">
        <v>10.6658475</v>
      </c>
      <c r="Z22" s="132">
        <f ca="1">ROUND(IF(ISNUMBER(R22),R22,IF(LEFT(R22,3)="BDI",HLOOKUP(R22,DADOS!$T$37:$X$38,2,FALSE),0)),15-11*$X$5)</f>
        <v>0.21</v>
      </c>
      <c r="AA22" s="4"/>
    </row>
    <row r="23" spans="1:27" ht="25.5" x14ac:dyDescent="0.2">
      <c r="A23" t="str">
        <f t="shared" si="0"/>
        <v>S</v>
      </c>
      <c r="B23">
        <f t="shared" si="1"/>
        <v>0</v>
      </c>
      <c r="C23">
        <f t="shared" ca="1" si="2"/>
        <v>1</v>
      </c>
      <c r="D23">
        <f t="shared" ca="1" si="3"/>
        <v>2</v>
      </c>
      <c r="E23">
        <f t="shared" ca="1" si="4"/>
        <v>0</v>
      </c>
      <c r="F23">
        <f t="shared" ca="1" si="5"/>
        <v>0</v>
      </c>
      <c r="G23">
        <f t="shared" ca="1" si="6"/>
        <v>4</v>
      </c>
      <c r="H23">
        <f t="shared" ca="1" si="7"/>
        <v>0</v>
      </c>
      <c r="I23">
        <f t="shared" ca="1" si="8"/>
        <v>0</v>
      </c>
      <c r="J23" s="394" t="s">
        <v>103</v>
      </c>
      <c r="K23" s="162" t="str">
        <f t="shared" ca="1" si="9"/>
        <v>1.2.4.</v>
      </c>
      <c r="L23" s="395" t="s">
        <v>232</v>
      </c>
      <c r="M23" s="395">
        <v>94438</v>
      </c>
      <c r="N23" s="396" t="s">
        <v>247</v>
      </c>
      <c r="O23" s="397" t="s">
        <v>236</v>
      </c>
      <c r="P23" s="225">
        <f ca="1">OFFSET(PLQ!$E$12,ROW($P23)-ROW(P$12),0)</f>
        <v>31.6</v>
      </c>
      <c r="Q23" s="229"/>
      <c r="R23" s="232" t="s">
        <v>7</v>
      </c>
      <c r="S23" s="121">
        <f t="shared" si="10"/>
        <v>0</v>
      </c>
      <c r="T23" s="98">
        <f t="shared" ca="1" si="11"/>
        <v>0</v>
      </c>
      <c r="U23" s="13" t="str">
        <f t="shared" ca="1" si="12"/>
        <v>SEM VALOR</v>
      </c>
      <c r="V23" s="4" t="str">
        <f ca="1">IF(OR($A23=0,$A23="S",$A23&gt;CFF!$A$9),"",MAX(V$12:OFFSET(V23,-1,0))+1)</f>
        <v/>
      </c>
      <c r="W23" s="9" t="str">
        <f t="shared" si="13"/>
        <v>SINAPI-94438</v>
      </c>
      <c r="X23" s="4" t="e">
        <f t="shared" ca="1" si="14"/>
        <v>#REF!</v>
      </c>
      <c r="Y23" s="121">
        <v>54.570999999999998</v>
      </c>
      <c r="Z23" s="132">
        <f ca="1">ROUND(IF(ISNUMBER(R23),R23,IF(LEFT(R23,3)="BDI",HLOOKUP(R23,DADOS!$T$37:$X$38,2,FALSE),0)),15-11*$X$5)</f>
        <v>0.21</v>
      </c>
      <c r="AA23" s="4"/>
    </row>
    <row r="24" spans="1:27" ht="25.5" x14ac:dyDescent="0.2">
      <c r="A24" t="str">
        <f t="shared" si="0"/>
        <v>S</v>
      </c>
      <c r="B24">
        <f t="shared" si="1"/>
        <v>0</v>
      </c>
      <c r="C24">
        <f t="shared" ca="1" si="2"/>
        <v>1</v>
      </c>
      <c r="D24">
        <f t="shared" ca="1" si="3"/>
        <v>2</v>
      </c>
      <c r="E24">
        <f t="shared" ca="1" si="4"/>
        <v>0</v>
      </c>
      <c r="F24">
        <f t="shared" ca="1" si="5"/>
        <v>0</v>
      </c>
      <c r="G24">
        <f t="shared" ca="1" si="6"/>
        <v>5</v>
      </c>
      <c r="H24">
        <f t="shared" ca="1" si="7"/>
        <v>0</v>
      </c>
      <c r="I24">
        <f t="shared" ca="1" si="8"/>
        <v>0</v>
      </c>
      <c r="J24" s="394" t="s">
        <v>103</v>
      </c>
      <c r="K24" s="162" t="str">
        <f t="shared" ca="1" si="9"/>
        <v>1.2.5.</v>
      </c>
      <c r="L24" s="395" t="s">
        <v>232</v>
      </c>
      <c r="M24" s="395">
        <v>87260</v>
      </c>
      <c r="N24" s="396" t="s">
        <v>248</v>
      </c>
      <c r="O24" s="397" t="s">
        <v>236</v>
      </c>
      <c r="P24" s="225">
        <f ca="1">OFFSET(PLQ!$E$12,ROW($P24)-ROW(P$12),0)</f>
        <v>31.6</v>
      </c>
      <c r="Q24" s="229"/>
      <c r="R24" s="232" t="s">
        <v>7</v>
      </c>
      <c r="S24" s="121">
        <f t="shared" si="10"/>
        <v>0</v>
      </c>
      <c r="T24" s="98">
        <f t="shared" ca="1" si="11"/>
        <v>0</v>
      </c>
      <c r="U24" s="13" t="str">
        <f t="shared" ca="1" si="12"/>
        <v>SEM VALOR</v>
      </c>
      <c r="V24" s="4" t="str">
        <f ca="1">IF(OR($A24=0,$A24="S",$A24&gt;CFF!$A$9),"",MAX(V$12:OFFSET(V24,-1,0))+1)</f>
        <v/>
      </c>
      <c r="W24" s="9" t="str">
        <f t="shared" si="13"/>
        <v>SINAPI-87260</v>
      </c>
      <c r="X24" s="4" t="e">
        <f t="shared" ca="1" si="14"/>
        <v>#REF!</v>
      </c>
      <c r="Y24" s="121">
        <v>143.73589999999999</v>
      </c>
      <c r="Z24" s="132">
        <f ca="1">ROUND(IF(ISNUMBER(R24),R24,IF(LEFT(R24,3)="BDI",HLOOKUP(R24,DADOS!$T$37:$X$38,2,FALSE),0)),15-11*$X$5)</f>
        <v>0.21</v>
      </c>
      <c r="AA24" s="4"/>
    </row>
    <row r="25" spans="1:27" ht="25.5" x14ac:dyDescent="0.2">
      <c r="A25" t="str">
        <f t="shared" si="0"/>
        <v>S</v>
      </c>
      <c r="B25">
        <f t="shared" si="1"/>
        <v>0</v>
      </c>
      <c r="C25">
        <f t="shared" ca="1" si="2"/>
        <v>1</v>
      </c>
      <c r="D25">
        <f t="shared" ca="1" si="3"/>
        <v>2</v>
      </c>
      <c r="E25">
        <f t="shared" ca="1" si="4"/>
        <v>0</v>
      </c>
      <c r="F25">
        <f t="shared" ca="1" si="5"/>
        <v>0</v>
      </c>
      <c r="G25">
        <f t="shared" ca="1" si="6"/>
        <v>6</v>
      </c>
      <c r="H25">
        <f t="shared" ca="1" si="7"/>
        <v>0</v>
      </c>
      <c r="I25">
        <f t="shared" ca="1" si="8"/>
        <v>0</v>
      </c>
      <c r="J25" s="394" t="s">
        <v>103</v>
      </c>
      <c r="K25" s="162" t="str">
        <f t="shared" ca="1" si="9"/>
        <v>1.2.6.</v>
      </c>
      <c r="L25" s="395" t="s">
        <v>232</v>
      </c>
      <c r="M25" s="395">
        <v>89045</v>
      </c>
      <c r="N25" s="396" t="s">
        <v>249</v>
      </c>
      <c r="O25" s="397" t="s">
        <v>236</v>
      </c>
      <c r="P25" s="225">
        <f ca="1">OFFSET(PLQ!$E$12,ROW($P25)-ROW(P$12),0)</f>
        <v>280</v>
      </c>
      <c r="Q25" s="229"/>
      <c r="R25" s="232" t="s">
        <v>7</v>
      </c>
      <c r="S25" s="121">
        <f t="shared" si="10"/>
        <v>0</v>
      </c>
      <c r="T25" s="98">
        <f t="shared" ca="1" si="11"/>
        <v>0</v>
      </c>
      <c r="U25" s="13" t="str">
        <f t="shared" ca="1" si="12"/>
        <v>SEM VALOR</v>
      </c>
      <c r="V25" s="4" t="str">
        <f ca="1">IF(OR($A25=0,$A25="S",$A25&gt;CFF!$A$9),"",MAX(V$12:OFFSET(V25,-1,0))+1)</f>
        <v/>
      </c>
      <c r="W25" s="9" t="str">
        <f t="shared" si="13"/>
        <v>SINAPI-89045</v>
      </c>
      <c r="X25" s="4" t="e">
        <f t="shared" ca="1" si="14"/>
        <v>#REF!</v>
      </c>
      <c r="Y25" s="121">
        <v>72.624200000000002</v>
      </c>
      <c r="Z25" s="132">
        <f ca="1">ROUND(IF(ISNUMBER(R25),R25,IF(LEFT(R25,3)="BDI",HLOOKUP(R25,DADOS!$T$37:$X$38,2,FALSE),0)),15-11*$X$5)</f>
        <v>0.21</v>
      </c>
      <c r="AA25" s="4"/>
    </row>
    <row r="26" spans="1:27" x14ac:dyDescent="0.2">
      <c r="A26">
        <f t="shared" si="0"/>
        <v>2</v>
      </c>
      <c r="B26">
        <f t="shared" ca="1" si="1"/>
        <v>9</v>
      </c>
      <c r="C26">
        <f t="shared" ca="1" si="2"/>
        <v>1</v>
      </c>
      <c r="D26">
        <f t="shared" ca="1" si="3"/>
        <v>3</v>
      </c>
      <c r="E26">
        <f t="shared" ca="1" si="4"/>
        <v>0</v>
      </c>
      <c r="F26">
        <f t="shared" ca="1" si="5"/>
        <v>0</v>
      </c>
      <c r="G26">
        <f t="shared" ca="1" si="6"/>
        <v>0</v>
      </c>
      <c r="H26">
        <f t="shared" ca="1" si="7"/>
        <v>51</v>
      </c>
      <c r="I26">
        <f t="shared" ca="1" si="8"/>
        <v>9</v>
      </c>
      <c r="J26" s="394" t="s">
        <v>100</v>
      </c>
      <c r="K26" s="162" t="str">
        <f t="shared" ca="1" si="9"/>
        <v>1.3.</v>
      </c>
      <c r="L26" s="395"/>
      <c r="M26" s="395"/>
      <c r="N26" s="396" t="s">
        <v>282</v>
      </c>
      <c r="O26" s="397" t="s">
        <v>106</v>
      </c>
      <c r="P26" s="225">
        <f ca="1">OFFSET(PLQ!$E$12,ROW($P26)-ROW(P$12),0)</f>
        <v>0</v>
      </c>
      <c r="Q26" s="229"/>
      <c r="R26" s="232" t="s">
        <v>7</v>
      </c>
      <c r="S26" s="121">
        <f t="shared" si="10"/>
        <v>0</v>
      </c>
      <c r="T26" s="98">
        <f t="shared" ca="1" si="11"/>
        <v>0</v>
      </c>
      <c r="U26" s="13" t="str">
        <f t="shared" ca="1" si="12"/>
        <v>SEM VALOR</v>
      </c>
      <c r="V26" s="4">
        <f ca="1">IF(OR($A26=0,$A26="S",$A26&gt;CFF!$A$9),"",MAX(V$12:OFFSET(V26,-1,0))+1)</f>
        <v>4</v>
      </c>
      <c r="W26" s="9" t="b">
        <f t="shared" si="13"/>
        <v>0</v>
      </c>
      <c r="X26" s="4" t="str">
        <f t="shared" ca="1" si="14"/>
        <v>X</v>
      </c>
      <c r="Y26" s="121">
        <v>0</v>
      </c>
      <c r="Z26" s="132">
        <f ca="1">ROUND(IF(ISNUMBER(R26),R26,IF(LEFT(R26,3)="BDI",HLOOKUP(R26,DADOS!$T$37:$X$38,2,FALSE),0)),15-11*$X$5)</f>
        <v>0.21</v>
      </c>
      <c r="AA26" s="4"/>
    </row>
    <row r="27" spans="1:27" ht="25.5" x14ac:dyDescent="0.2">
      <c r="A27" t="str">
        <f t="shared" si="0"/>
        <v>S</v>
      </c>
      <c r="B27">
        <f t="shared" si="1"/>
        <v>0</v>
      </c>
      <c r="C27">
        <f t="shared" ca="1" si="2"/>
        <v>1</v>
      </c>
      <c r="D27">
        <f t="shared" ca="1" si="3"/>
        <v>3</v>
      </c>
      <c r="E27">
        <f t="shared" ca="1" si="4"/>
        <v>0</v>
      </c>
      <c r="F27">
        <f t="shared" ca="1" si="5"/>
        <v>0</v>
      </c>
      <c r="G27">
        <f t="shared" ca="1" si="6"/>
        <v>1</v>
      </c>
      <c r="H27">
        <f t="shared" ca="1" si="7"/>
        <v>0</v>
      </c>
      <c r="I27">
        <f t="shared" ca="1" si="8"/>
        <v>0</v>
      </c>
      <c r="J27" s="394" t="s">
        <v>103</v>
      </c>
      <c r="K27" s="162" t="str">
        <f t="shared" ca="1" si="9"/>
        <v>1.3.1.</v>
      </c>
      <c r="L27" s="395" t="s">
        <v>232</v>
      </c>
      <c r="M27" s="395">
        <v>91341</v>
      </c>
      <c r="N27" s="396" t="s">
        <v>288</v>
      </c>
      <c r="O27" s="397" t="s">
        <v>236</v>
      </c>
      <c r="P27" s="225">
        <f ca="1">OFFSET(PLQ!$E$12,ROW($P27)-ROW(P$12),0)</f>
        <v>20</v>
      </c>
      <c r="Q27" s="229"/>
      <c r="R27" s="232" t="s">
        <v>7</v>
      </c>
      <c r="S27" s="121">
        <f t="shared" si="10"/>
        <v>0</v>
      </c>
      <c r="T27" s="98">
        <f t="shared" ca="1" si="11"/>
        <v>0</v>
      </c>
      <c r="U27" s="13" t="str">
        <f t="shared" ca="1" si="12"/>
        <v>SEM VALOR</v>
      </c>
      <c r="V27" s="4" t="str">
        <f ca="1">IF(OR($A27=0,$A27="S",$A27&gt;CFF!$A$9),"",MAX(V$12:OFFSET(V27,-1,0))+1)</f>
        <v/>
      </c>
      <c r="W27" s="9" t="str">
        <f t="shared" si="13"/>
        <v>SINAPI-91341</v>
      </c>
      <c r="X27" s="4" t="e">
        <f t="shared" ca="1" si="14"/>
        <v>#REF!</v>
      </c>
      <c r="Y27" s="121">
        <v>1157.365</v>
      </c>
      <c r="Z27" s="132">
        <f ca="1">ROUND(IF(ISNUMBER(R27),R27,IF(LEFT(R27,3)="BDI",HLOOKUP(R27,DADOS!$T$37:$X$38,2,FALSE),0)),15-11*$X$5)</f>
        <v>0.21</v>
      </c>
      <c r="AA27" s="4"/>
    </row>
    <row r="28" spans="1:27" ht="25.5" x14ac:dyDescent="0.2">
      <c r="A28" t="str">
        <f t="shared" si="0"/>
        <v>S</v>
      </c>
      <c r="B28">
        <f t="shared" si="1"/>
        <v>0</v>
      </c>
      <c r="C28">
        <f t="shared" ca="1" si="2"/>
        <v>1</v>
      </c>
      <c r="D28">
        <f t="shared" ca="1" si="3"/>
        <v>3</v>
      </c>
      <c r="E28">
        <f t="shared" ca="1" si="4"/>
        <v>0</v>
      </c>
      <c r="F28">
        <f t="shared" ca="1" si="5"/>
        <v>0</v>
      </c>
      <c r="G28">
        <f t="shared" ca="1" si="6"/>
        <v>2</v>
      </c>
      <c r="H28">
        <f t="shared" ca="1" si="7"/>
        <v>0</v>
      </c>
      <c r="I28">
        <f t="shared" ca="1" si="8"/>
        <v>0</v>
      </c>
      <c r="J28" s="394" t="s">
        <v>103</v>
      </c>
      <c r="K28" s="162" t="str">
        <f t="shared" ca="1" si="9"/>
        <v>1.3.2.</v>
      </c>
      <c r="L28" s="395" t="s">
        <v>232</v>
      </c>
      <c r="M28" s="395">
        <v>94559</v>
      </c>
      <c r="N28" s="396" t="s">
        <v>289</v>
      </c>
      <c r="O28" s="397" t="s">
        <v>236</v>
      </c>
      <c r="P28" s="225">
        <f ca="1">OFFSET(PLQ!$E$12,ROW($P28)-ROW(P$12),0)</f>
        <v>6</v>
      </c>
      <c r="Q28" s="229"/>
      <c r="R28" s="232" t="s">
        <v>7</v>
      </c>
      <c r="S28" s="121">
        <f t="shared" si="10"/>
        <v>0</v>
      </c>
      <c r="T28" s="98">
        <f t="shared" ca="1" si="11"/>
        <v>0</v>
      </c>
      <c r="U28" s="13" t="str">
        <f t="shared" ca="1" si="12"/>
        <v>SEM VALOR</v>
      </c>
      <c r="V28" s="4" t="str">
        <f ca="1">IF(OR($A28=0,$A28="S",$A28&gt;CFF!$A$9),"",MAX(V$12:OFFSET(V28,-1,0))+1)</f>
        <v/>
      </c>
      <c r="W28" s="9" t="str">
        <f t="shared" si="13"/>
        <v>SINAPI-94559</v>
      </c>
      <c r="X28" s="4" t="e">
        <f t="shared" ca="1" si="14"/>
        <v>#REF!</v>
      </c>
      <c r="Y28" s="121">
        <v>806.50130000000001</v>
      </c>
      <c r="Z28" s="132">
        <f ca="1">ROUND(IF(ISNUMBER(R28),R28,IF(LEFT(R28,3)="BDI",HLOOKUP(R28,DADOS!$T$37:$X$38,2,FALSE),0)),15-11*$X$5)</f>
        <v>0.21</v>
      </c>
      <c r="AA28" s="4"/>
    </row>
    <row r="29" spans="1:27" ht="25.5" x14ac:dyDescent="0.2">
      <c r="A29" t="str">
        <f>CHOOSE(1+LOG(1+2*(J29="Meta")+4*(J29="Nível 2")+8*(J29="Nível 3")+16*(J29="Nível 4")+32*(J29="Serviço"),2),0,1,2,3,4,"S")</f>
        <v>S</v>
      </c>
      <c r="B29">
        <f>IF(OR(A29="S",A29=0),0,IF(ISERROR(I29),H29,SMALL(H29:I29,1)))</f>
        <v>0</v>
      </c>
      <c r="C29">
        <f ca="1">IF($A29=1,OFFSET(C29,-1,0)+1,OFFSET(C29,-1,0))</f>
        <v>1</v>
      </c>
      <c r="D29">
        <f ca="1">IF($A29=1,0,IF($A29=2,OFFSET(D29,-1,0)+1,OFFSET(D29,-1,0)))</f>
        <v>3</v>
      </c>
      <c r="E29">
        <f ca="1">IF(AND($A29&lt;=2,$A29&lt;&gt;0),0,IF($A29=3,OFFSET(E29,-1,0)+1,OFFSET(E29,-1,0)))</f>
        <v>0</v>
      </c>
      <c r="F29">
        <f ca="1">IF(AND($A29&lt;=3,$A29&lt;&gt;0),0,IF($A29=4,OFFSET(F29,-1,0)+1,OFFSET(F29,-1,0)))</f>
        <v>0</v>
      </c>
      <c r="G29">
        <f ca="1">IF(AND($A29&lt;=4,$A29&lt;&gt;0),0,IF($A29="S",OFFSET(G29,-1,0)+1,OFFSET(G29,-1,0)))</f>
        <v>3</v>
      </c>
      <c r="H29">
        <f t="shared" ca="1" si="7"/>
        <v>0</v>
      </c>
      <c r="I29">
        <f t="shared" ca="1" si="8"/>
        <v>0</v>
      </c>
      <c r="J29" s="394" t="s">
        <v>103</v>
      </c>
      <c r="K29" s="162" t="str">
        <f ca="1">IF($A29=0,"-",CONCATENATE(C29&amp;".",IF(AND($A$5&gt;=2,$A29&gt;=2),D29&amp;".",""),IF(AND($A$5&gt;=3,$A29&gt;=3),E29&amp;".",""),IF(AND($A$5&gt;=4,$A29&gt;=4),F29&amp;".",""),IF($A29="S",G29&amp;".","")))</f>
        <v>1.3.3.</v>
      </c>
      <c r="L29" s="395" t="s">
        <v>232</v>
      </c>
      <c r="M29" s="395">
        <v>94570</v>
      </c>
      <c r="N29" s="396" t="s">
        <v>306</v>
      </c>
      <c r="O29" s="397" t="s">
        <v>236</v>
      </c>
      <c r="P29" s="225">
        <f ca="1">OFFSET(PLQ!$E$12,ROW($P29)-ROW(P$12),0)</f>
        <v>10</v>
      </c>
      <c r="Q29" s="229"/>
      <c r="R29" s="232" t="s">
        <v>7</v>
      </c>
      <c r="S29" s="121">
        <f>IF($A29="S",IF($Q$10="Preço Unitário (R$)",PO.CustoUnitario,ROUND(PO.CustoUnitario*(1+$Z29),15-13*$X$6)),0)</f>
        <v>0</v>
      </c>
      <c r="T29" s="98">
        <f ca="1">IF($A29="S",VTOTAL1,IF($A29=0,0,ROUND(SomaAgrup,15-13*$X$7)))</f>
        <v>0</v>
      </c>
      <c r="U29" s="13" t="str">
        <f ca="1">IF($J29="","",IF($N29="","DESCRIÇÃO",IF(AND($J29="Serviço",$O29=""),"UNIDADE",IF($T29&lt;=0,"SEM VALOR",IF(AND($Y29&lt;&gt;"",$Q29&gt;$Y29),"ACIMA REF.","")))))</f>
        <v>SEM VALOR</v>
      </c>
      <c r="V29" s="4" t="str">
        <f ca="1">IF(OR($A29=0,$A29="S",$A29&gt;CFF!$A$9),"",MAX(V$12:OFFSET(V29,-1,0))+1)</f>
        <v/>
      </c>
      <c r="W29" s="9" t="str">
        <f>IF(AND($J29="Serviço",$M29&lt;&gt;""),IF($L29="",$M29,CONCATENATE($L29,"-",$M29)))</f>
        <v>SINAPI-94570</v>
      </c>
      <c r="X29" s="4" t="e">
        <f ca="1">IF(AND(Fonte&lt;&gt;"",Código&lt;&gt;""),MATCH(Fonte&amp;" "&amp;IF(Fonte="sinapi",SUBSTITUTE(SUBSTITUTE(Código,"/00","/"),"/0","/"),Código),INDIRECT("'[Referência "&amp;_xlnm.Database&amp;".xls]Banco'!$a:$a"),0),"X")</f>
        <v>#REF!</v>
      </c>
      <c r="Y29" s="121">
        <v>520.29999999999995</v>
      </c>
      <c r="Z29" s="132">
        <f ca="1">ROUND(IF(ISNUMBER(R29),R29,IF(LEFT(R29,3)="BDI",HLOOKUP(R29,DADOS!$T$37:$X$38,2,FALSE),0)),15-11*$X$5)</f>
        <v>0.21</v>
      </c>
      <c r="AA29" s="4"/>
    </row>
    <row r="30" spans="1:27" x14ac:dyDescent="0.2">
      <c r="A30" t="str">
        <f t="shared" si="0"/>
        <v>S</v>
      </c>
      <c r="B30">
        <f t="shared" si="1"/>
        <v>0</v>
      </c>
      <c r="C30">
        <f t="shared" ca="1" si="2"/>
        <v>1</v>
      </c>
      <c r="D30">
        <f t="shared" ca="1" si="3"/>
        <v>3</v>
      </c>
      <c r="E30">
        <f t="shared" ca="1" si="4"/>
        <v>0</v>
      </c>
      <c r="F30">
        <f t="shared" ca="1" si="5"/>
        <v>0</v>
      </c>
      <c r="G30">
        <f t="shared" ca="1" si="6"/>
        <v>4</v>
      </c>
      <c r="H30">
        <f t="shared" ca="1" si="7"/>
        <v>0</v>
      </c>
      <c r="I30">
        <f t="shared" ca="1" si="8"/>
        <v>0</v>
      </c>
      <c r="J30" s="394" t="s">
        <v>103</v>
      </c>
      <c r="K30" s="162" t="str">
        <f t="shared" ca="1" si="9"/>
        <v>1.3.4.</v>
      </c>
      <c r="L30" s="395" t="s">
        <v>244</v>
      </c>
      <c r="M30" s="395">
        <v>10499</v>
      </c>
      <c r="N30" s="396" t="s">
        <v>284</v>
      </c>
      <c r="O30" s="397" t="s">
        <v>245</v>
      </c>
      <c r="P30" s="225">
        <f ca="1">OFFSET(PLQ!$E$12,ROW($P30)-ROW(P$12),0)</f>
        <v>6</v>
      </c>
      <c r="Q30" s="229"/>
      <c r="R30" s="232" t="s">
        <v>7</v>
      </c>
      <c r="S30" s="121">
        <f t="shared" si="10"/>
        <v>0</v>
      </c>
      <c r="T30" s="98">
        <f t="shared" ca="1" si="11"/>
        <v>0</v>
      </c>
      <c r="U30" s="13" t="str">
        <f t="shared" ca="1" si="12"/>
        <v>SEM VALOR</v>
      </c>
      <c r="V30" s="4" t="str">
        <f ca="1">IF(OR($A30=0,$A30="S",$A30&gt;CFF!$A$9),"",MAX(V$12:OFFSET(V30,-1,0))+1)</f>
        <v/>
      </c>
      <c r="W30" s="9" t="str">
        <f t="shared" si="13"/>
        <v>SINAPI-I-10499</v>
      </c>
      <c r="X30" s="4" t="e">
        <f t="shared" ca="1" si="14"/>
        <v>#REF!</v>
      </c>
      <c r="Y30" s="121">
        <v>120.9879</v>
      </c>
      <c r="Z30" s="132">
        <f ca="1">ROUND(IF(ISNUMBER(R30),R30,IF(LEFT(R30,3)="BDI",HLOOKUP(R30,DADOS!$T$37:$X$38,2,FALSE),0)),15-11*$X$5)</f>
        <v>0.21</v>
      </c>
      <c r="AA30" s="4"/>
    </row>
    <row r="31" spans="1:27" ht="38.25" x14ac:dyDescent="0.2">
      <c r="A31" t="str">
        <f t="shared" si="0"/>
        <v>S</v>
      </c>
      <c r="B31">
        <f t="shared" si="1"/>
        <v>0</v>
      </c>
      <c r="C31">
        <f t="shared" ca="1" si="2"/>
        <v>1</v>
      </c>
      <c r="D31">
        <f t="shared" ca="1" si="3"/>
        <v>3</v>
      </c>
      <c r="E31">
        <f t="shared" ca="1" si="4"/>
        <v>0</v>
      </c>
      <c r="F31">
        <f t="shared" ca="1" si="5"/>
        <v>0</v>
      </c>
      <c r="G31">
        <f t="shared" ca="1" si="6"/>
        <v>5</v>
      </c>
      <c r="H31">
        <f t="shared" ca="1" si="7"/>
        <v>0</v>
      </c>
      <c r="I31">
        <f t="shared" ca="1" si="8"/>
        <v>0</v>
      </c>
      <c r="J31" s="394" t="s">
        <v>103</v>
      </c>
      <c r="K31" s="162" t="str">
        <f t="shared" ca="1" si="9"/>
        <v>1.3.5.</v>
      </c>
      <c r="L31" s="395" t="s">
        <v>232</v>
      </c>
      <c r="M31" s="395">
        <v>94559</v>
      </c>
      <c r="N31" s="396" t="s">
        <v>314</v>
      </c>
      <c r="O31" s="397" t="s">
        <v>236</v>
      </c>
      <c r="P31" s="225">
        <f ca="1">OFFSET(PLQ!$E$12,ROW($P31)-ROW(P$12),0)</f>
        <v>4.4000000000000004</v>
      </c>
      <c r="Q31" s="229"/>
      <c r="R31" s="232" t="s">
        <v>7</v>
      </c>
      <c r="S31" s="121">
        <f t="shared" si="10"/>
        <v>0</v>
      </c>
      <c r="T31" s="98">
        <f t="shared" ca="1" si="11"/>
        <v>0</v>
      </c>
      <c r="U31" s="13" t="str">
        <f t="shared" ca="1" si="12"/>
        <v>SEM VALOR</v>
      </c>
      <c r="V31" s="4" t="str">
        <f ca="1">IF(OR($A31=0,$A31="S",$A31&gt;CFF!$A$9),"",MAX(V$12:OFFSET(V31,-1,0))+1)</f>
        <v/>
      </c>
      <c r="W31" s="9" t="str">
        <f t="shared" si="13"/>
        <v>SINAPI-94559</v>
      </c>
      <c r="X31" s="4" t="e">
        <f t="shared" ca="1" si="14"/>
        <v>#REF!</v>
      </c>
      <c r="Y31" s="121">
        <v>804.65</v>
      </c>
      <c r="Z31" s="132">
        <f ca="1">ROUND(IF(ISNUMBER(R31),R31,IF(LEFT(R31,3)="BDI",HLOOKUP(R31,DADOS!$T$37:$X$38,2,FALSE),0)),15-11*$X$5)</f>
        <v>0.21</v>
      </c>
      <c r="AA31" s="4"/>
    </row>
    <row r="32" spans="1:27" ht="25.5" x14ac:dyDescent="0.2">
      <c r="A32" t="str">
        <f t="shared" si="0"/>
        <v>S</v>
      </c>
      <c r="B32">
        <f t="shared" si="1"/>
        <v>0</v>
      </c>
      <c r="C32">
        <f t="shared" ca="1" si="2"/>
        <v>1</v>
      </c>
      <c r="D32">
        <f t="shared" ca="1" si="3"/>
        <v>3</v>
      </c>
      <c r="E32">
        <f t="shared" ca="1" si="4"/>
        <v>0</v>
      </c>
      <c r="F32">
        <f t="shared" ca="1" si="5"/>
        <v>0</v>
      </c>
      <c r="G32">
        <f t="shared" ca="1" si="6"/>
        <v>6</v>
      </c>
      <c r="H32">
        <f t="shared" ca="1" si="7"/>
        <v>0</v>
      </c>
      <c r="I32">
        <f t="shared" ca="1" si="8"/>
        <v>0</v>
      </c>
      <c r="J32" s="394" t="s">
        <v>103</v>
      </c>
      <c r="K32" s="162" t="str">
        <f t="shared" ca="1" si="9"/>
        <v>1.3.6.</v>
      </c>
      <c r="L32" s="395" t="s">
        <v>232</v>
      </c>
      <c r="M32" s="395">
        <v>100674</v>
      </c>
      <c r="N32" s="396" t="s">
        <v>315</v>
      </c>
      <c r="O32" s="397" t="s">
        <v>236</v>
      </c>
      <c r="P32" s="225">
        <f ca="1">OFFSET(PLQ!$E$12,ROW($P32)-ROW(P$12),0)</f>
        <v>1.32</v>
      </c>
      <c r="Q32" s="229"/>
      <c r="R32" s="232" t="s">
        <v>7</v>
      </c>
      <c r="S32" s="121">
        <f t="shared" si="10"/>
        <v>0</v>
      </c>
      <c r="T32" s="98">
        <f t="shared" ca="1" si="11"/>
        <v>0</v>
      </c>
      <c r="U32" s="13" t="str">
        <f t="shared" ca="1" si="12"/>
        <v>SEM VALOR</v>
      </c>
      <c r="V32" s="4" t="str">
        <f ca="1">IF(OR($A32=0,$A32="S",$A32&gt;CFF!$A$9),"",MAX(V$12:OFFSET(V32,-1,0))+1)</f>
        <v/>
      </c>
      <c r="W32" s="9" t="str">
        <f t="shared" si="13"/>
        <v>SINAPI-100674</v>
      </c>
      <c r="X32" s="4" t="e">
        <f t="shared" ca="1" si="14"/>
        <v>#REF!</v>
      </c>
      <c r="Y32" s="121">
        <v>1089</v>
      </c>
      <c r="Z32" s="132">
        <f ca="1">ROUND(IF(ISNUMBER(R32),R32,IF(LEFT(R32,3)="BDI",HLOOKUP(R32,DADOS!$T$37:$X$38,2,FALSE),0)),15-11*$X$5)</f>
        <v>0.21</v>
      </c>
      <c r="AA32" s="4"/>
    </row>
    <row r="33" spans="1:27" x14ac:dyDescent="0.2">
      <c r="A33" t="str">
        <f t="shared" si="0"/>
        <v>S</v>
      </c>
      <c r="B33">
        <f t="shared" si="1"/>
        <v>0</v>
      </c>
      <c r="C33">
        <f t="shared" ca="1" si="2"/>
        <v>1</v>
      </c>
      <c r="D33">
        <f t="shared" ca="1" si="3"/>
        <v>3</v>
      </c>
      <c r="E33">
        <f t="shared" ca="1" si="4"/>
        <v>0</v>
      </c>
      <c r="F33">
        <f t="shared" ca="1" si="5"/>
        <v>0</v>
      </c>
      <c r="G33">
        <f t="shared" ca="1" si="6"/>
        <v>7</v>
      </c>
      <c r="H33">
        <f t="shared" ref="H33:H69" ca="1" si="15">IF(OR($A33="S",$A33=0),0,MATCH(0,OFFSET($B33,1,$A33,ROW($A$77)-ROW($A33)),0))</f>
        <v>0</v>
      </c>
      <c r="I33">
        <f t="shared" ref="I33:I69" ca="1" si="16">IF(OR($A33="S",$A33=0),0,MATCH(OFFSET($B33,0,$A33)+1,OFFSET($B33,1,$A33,ROW($A$77)-ROW($A33)),0))</f>
        <v>0</v>
      </c>
      <c r="J33" s="394" t="s">
        <v>103</v>
      </c>
      <c r="K33" s="162" t="str">
        <f t="shared" ca="1" si="9"/>
        <v>1.3.7.</v>
      </c>
      <c r="L33" s="395" t="s">
        <v>232</v>
      </c>
      <c r="M33" s="395">
        <v>88485</v>
      </c>
      <c r="N33" s="396" t="s">
        <v>310</v>
      </c>
      <c r="O33" s="397" t="s">
        <v>236</v>
      </c>
      <c r="P33" s="225">
        <f ca="1">OFFSET(PLQ!$E$12,ROW($P33)-ROW(P$12),0)</f>
        <v>220</v>
      </c>
      <c r="Q33" s="229"/>
      <c r="R33" s="232" t="s">
        <v>7</v>
      </c>
      <c r="S33" s="121">
        <f t="shared" si="10"/>
        <v>0</v>
      </c>
      <c r="T33" s="98">
        <f t="shared" ca="1" si="11"/>
        <v>0</v>
      </c>
      <c r="U33" s="13" t="str">
        <f t="shared" ca="1" si="12"/>
        <v>SEM VALOR</v>
      </c>
      <c r="V33" s="4" t="str">
        <f ca="1">IF(OR($A33=0,$A33="S",$A33&gt;CFF!$A$9),"",MAX(V$12:OFFSET(V33,-1,0))+1)</f>
        <v/>
      </c>
      <c r="W33" s="9" t="str">
        <f t="shared" si="13"/>
        <v>SINAPI-88485</v>
      </c>
      <c r="X33" s="4" t="e">
        <f t="shared" ca="1" si="14"/>
        <v>#REF!</v>
      </c>
      <c r="Y33" s="121">
        <v>4.6342999999999996</v>
      </c>
      <c r="Z33" s="132">
        <f ca="1">ROUND(IF(ISNUMBER(R33),R33,IF(LEFT(R33,3)="BDI",HLOOKUP(R33,DADOS!$T$37:$X$38,2,FALSE),0)),15-11*$X$5)</f>
        <v>0.21</v>
      </c>
      <c r="AA33" s="4"/>
    </row>
    <row r="34" spans="1:27" x14ac:dyDescent="0.2">
      <c r="A34" t="str">
        <f t="shared" si="0"/>
        <v>S</v>
      </c>
      <c r="B34">
        <f t="shared" si="1"/>
        <v>0</v>
      </c>
      <c r="C34">
        <f t="shared" ca="1" si="2"/>
        <v>1</v>
      </c>
      <c r="D34">
        <f t="shared" ca="1" si="3"/>
        <v>3</v>
      </c>
      <c r="E34">
        <f t="shared" ca="1" si="4"/>
        <v>0</v>
      </c>
      <c r="F34">
        <f t="shared" ca="1" si="5"/>
        <v>0</v>
      </c>
      <c r="G34">
        <f t="shared" ca="1" si="6"/>
        <v>8</v>
      </c>
      <c r="H34">
        <f t="shared" ca="1" si="15"/>
        <v>0</v>
      </c>
      <c r="I34">
        <f t="shared" ca="1" si="16"/>
        <v>0</v>
      </c>
      <c r="J34" s="394" t="s">
        <v>103</v>
      </c>
      <c r="K34" s="162" t="str">
        <f t="shared" ca="1" si="9"/>
        <v>1.3.8.</v>
      </c>
      <c r="L34" s="395" t="s">
        <v>232</v>
      </c>
      <c r="M34" s="395">
        <v>88489</v>
      </c>
      <c r="N34" s="396" t="s">
        <v>309</v>
      </c>
      <c r="O34" s="397" t="s">
        <v>236</v>
      </c>
      <c r="P34" s="225">
        <f ca="1">OFFSET(PLQ!$E$12,ROW($P34)-ROW(P$12),0)</f>
        <v>200</v>
      </c>
      <c r="Q34" s="229"/>
      <c r="R34" s="232" t="s">
        <v>7</v>
      </c>
      <c r="S34" s="121">
        <f t="shared" si="10"/>
        <v>0</v>
      </c>
      <c r="T34" s="98">
        <f t="shared" ca="1" si="11"/>
        <v>0</v>
      </c>
      <c r="U34" s="13" t="str">
        <f t="shared" ca="1" si="12"/>
        <v>SEM VALOR</v>
      </c>
      <c r="V34" s="4" t="str">
        <f ca="1">IF(OR($A34=0,$A34="S",$A34&gt;CFF!$A$9),"",MAX(V$12:OFFSET(V34,-1,0))+1)</f>
        <v/>
      </c>
      <c r="W34" s="9" t="str">
        <f t="shared" si="13"/>
        <v>SINAPI-88489</v>
      </c>
      <c r="X34" s="4" t="e">
        <f t="shared" ca="1" si="14"/>
        <v>#REF!</v>
      </c>
      <c r="Y34" s="121">
        <v>15.669499999999999</v>
      </c>
      <c r="Z34" s="132">
        <f ca="1">ROUND(IF(ISNUMBER(R34),R34,IF(LEFT(R34,3)="BDI",HLOOKUP(R34,DADOS!$T$37:$X$38,2,FALSE),0)),15-11*$X$5)</f>
        <v>0.21</v>
      </c>
      <c r="AA34" s="4"/>
    </row>
    <row r="35" spans="1:27" x14ac:dyDescent="0.2">
      <c r="A35">
        <f t="shared" si="0"/>
        <v>2</v>
      </c>
      <c r="B35">
        <f t="shared" ca="1" si="1"/>
        <v>12</v>
      </c>
      <c r="C35">
        <f t="shared" ca="1" si="2"/>
        <v>1</v>
      </c>
      <c r="D35">
        <f t="shared" ca="1" si="3"/>
        <v>4</v>
      </c>
      <c r="E35">
        <f t="shared" ca="1" si="4"/>
        <v>0</v>
      </c>
      <c r="F35">
        <f t="shared" ca="1" si="5"/>
        <v>0</v>
      </c>
      <c r="G35">
        <f t="shared" ca="1" si="6"/>
        <v>0</v>
      </c>
      <c r="H35">
        <f t="shared" ca="1" si="15"/>
        <v>42</v>
      </c>
      <c r="I35">
        <f t="shared" ca="1" si="16"/>
        <v>12</v>
      </c>
      <c r="J35" s="394" t="s">
        <v>100</v>
      </c>
      <c r="K35" s="162" t="str">
        <f t="shared" ca="1" si="9"/>
        <v>1.4.</v>
      </c>
      <c r="L35" s="395"/>
      <c r="M35" s="395"/>
      <c r="N35" s="396" t="s">
        <v>281</v>
      </c>
      <c r="O35" s="397" t="s">
        <v>106</v>
      </c>
      <c r="P35" s="225">
        <f ca="1">OFFSET(PLQ!$E$12,ROW($P35)-ROW(P$12),0)</f>
        <v>0</v>
      </c>
      <c r="Q35" s="229"/>
      <c r="R35" s="232" t="s">
        <v>7</v>
      </c>
      <c r="S35" s="121">
        <f t="shared" si="10"/>
        <v>0</v>
      </c>
      <c r="T35" s="98">
        <f t="shared" ca="1" si="11"/>
        <v>0</v>
      </c>
      <c r="U35" s="13" t="str">
        <f t="shared" ca="1" si="12"/>
        <v>SEM VALOR</v>
      </c>
      <c r="V35" s="4">
        <f ca="1">IF(OR($A35=0,$A35="S",$A35&gt;CFF!$A$9),"",MAX(V$12:OFFSET(V35,-1,0))+1)</f>
        <v>5</v>
      </c>
      <c r="W35" s="9" t="b">
        <f t="shared" si="13"/>
        <v>0</v>
      </c>
      <c r="X35" s="4" t="str">
        <f t="shared" ca="1" si="14"/>
        <v>X</v>
      </c>
      <c r="Y35" s="121">
        <v>0</v>
      </c>
      <c r="Z35" s="132">
        <f ca="1">ROUND(IF(ISNUMBER(R35),R35,IF(LEFT(R35,3)="BDI",HLOOKUP(R35,DADOS!$T$37:$X$38,2,FALSE),0)),15-11*$X$5)</f>
        <v>0.21</v>
      </c>
      <c r="AA35" s="4"/>
    </row>
    <row r="36" spans="1:27" ht="38.25" x14ac:dyDescent="0.2">
      <c r="A36" t="str">
        <f t="shared" si="0"/>
        <v>S</v>
      </c>
      <c r="B36">
        <f t="shared" si="1"/>
        <v>0</v>
      </c>
      <c r="C36">
        <f t="shared" ca="1" si="2"/>
        <v>1</v>
      </c>
      <c r="D36">
        <f t="shared" ca="1" si="3"/>
        <v>4</v>
      </c>
      <c r="E36">
        <f t="shared" ca="1" si="4"/>
        <v>0</v>
      </c>
      <c r="F36">
        <f t="shared" ca="1" si="5"/>
        <v>0</v>
      </c>
      <c r="G36">
        <f t="shared" ca="1" si="6"/>
        <v>1</v>
      </c>
      <c r="H36">
        <f t="shared" ca="1" si="15"/>
        <v>0</v>
      </c>
      <c r="I36">
        <f t="shared" ca="1" si="16"/>
        <v>0</v>
      </c>
      <c r="J36" s="394" t="s">
        <v>103</v>
      </c>
      <c r="K36" s="162" t="str">
        <f t="shared" ca="1" si="9"/>
        <v>1.4.1.</v>
      </c>
      <c r="L36" s="395" t="s">
        <v>232</v>
      </c>
      <c r="M36" s="395">
        <v>89857</v>
      </c>
      <c r="N36" s="396" t="s">
        <v>304</v>
      </c>
      <c r="O36" s="397" t="s">
        <v>242</v>
      </c>
      <c r="P36" s="225">
        <f ca="1">OFFSET(PLQ!$E$12,ROW($P36)-ROW(P$12),0)</f>
        <v>20</v>
      </c>
      <c r="Q36" s="229"/>
      <c r="R36" s="232" t="s">
        <v>7</v>
      </c>
      <c r="S36" s="121">
        <f t="shared" si="10"/>
        <v>0</v>
      </c>
      <c r="T36" s="98">
        <f t="shared" ca="1" si="11"/>
        <v>0</v>
      </c>
      <c r="U36" s="13" t="str">
        <f t="shared" ca="1" si="12"/>
        <v>SEM VALOR</v>
      </c>
      <c r="V36" s="4" t="str">
        <f ca="1">IF(OR($A36=0,$A36="S",$A36&gt;CFF!$A$9),"",MAX(V$12:OFFSET(V36,-1,0))+1)</f>
        <v/>
      </c>
      <c r="W36" s="9" t="str">
        <f t="shared" si="13"/>
        <v>SINAPI-89857</v>
      </c>
      <c r="X36" s="4" t="e">
        <f t="shared" ca="1" si="14"/>
        <v>#REF!</v>
      </c>
      <c r="Y36" s="121">
        <v>43.209099999999999</v>
      </c>
      <c r="Z36" s="132">
        <f ca="1">ROUND(IF(ISNUMBER(R36),R36,IF(LEFT(R36,3)="BDI",HLOOKUP(R36,DADOS!$T$37:$X$38,2,FALSE),0)),15-11*$X$5)</f>
        <v>0.21</v>
      </c>
      <c r="AA36" s="4"/>
    </row>
    <row r="37" spans="1:27" ht="25.5" x14ac:dyDescent="0.2">
      <c r="A37" t="str">
        <f t="shared" si="0"/>
        <v>S</v>
      </c>
      <c r="B37">
        <f t="shared" si="1"/>
        <v>0</v>
      </c>
      <c r="C37">
        <f t="shared" ca="1" si="2"/>
        <v>1</v>
      </c>
      <c r="D37">
        <f t="shared" ca="1" si="3"/>
        <v>4</v>
      </c>
      <c r="E37">
        <f t="shared" ca="1" si="4"/>
        <v>0</v>
      </c>
      <c r="F37">
        <f t="shared" ca="1" si="5"/>
        <v>0</v>
      </c>
      <c r="G37">
        <f t="shared" ca="1" si="6"/>
        <v>2</v>
      </c>
      <c r="H37">
        <f t="shared" ca="1" si="15"/>
        <v>0</v>
      </c>
      <c r="I37">
        <f t="shared" ca="1" si="16"/>
        <v>0</v>
      </c>
      <c r="J37" s="394" t="s">
        <v>103</v>
      </c>
      <c r="K37" s="162" t="str">
        <f t="shared" ca="1" si="9"/>
        <v>1.4.2.</v>
      </c>
      <c r="L37" s="395" t="s">
        <v>232</v>
      </c>
      <c r="M37" s="395">
        <v>89712</v>
      </c>
      <c r="N37" s="396" t="s">
        <v>250</v>
      </c>
      <c r="O37" s="397" t="s">
        <v>243</v>
      </c>
      <c r="P37" s="225">
        <f ca="1">OFFSET(PLQ!$E$12,ROW($P37)-ROW(P$12),0)</f>
        <v>30</v>
      </c>
      <c r="Q37" s="229"/>
      <c r="R37" s="232" t="s">
        <v>7</v>
      </c>
      <c r="S37" s="121">
        <f t="shared" si="10"/>
        <v>0</v>
      </c>
      <c r="T37" s="98">
        <f t="shared" ca="1" si="11"/>
        <v>0</v>
      </c>
      <c r="U37" s="13" t="str">
        <f t="shared" ca="1" si="12"/>
        <v>SEM VALOR</v>
      </c>
      <c r="V37" s="4" t="str">
        <f ca="1">IF(OR($A37=0,$A37="S",$A37&gt;CFF!$A$9),"",MAX(V$12:OFFSET(V37,-1,0))+1)</f>
        <v/>
      </c>
      <c r="W37" s="9" t="str">
        <f t="shared" si="13"/>
        <v>SINAPI-89712</v>
      </c>
      <c r="X37" s="4" t="e">
        <f t="shared" ca="1" si="14"/>
        <v>#REF!</v>
      </c>
      <c r="Y37" s="121">
        <v>33.577500000000001</v>
      </c>
      <c r="Z37" s="132">
        <f ca="1">ROUND(IF(ISNUMBER(R37),R37,IF(LEFT(R37,3)="BDI",HLOOKUP(R37,DADOS!$T$37:$X$38,2,FALSE),0)),15-11*$X$5)</f>
        <v>0.21</v>
      </c>
      <c r="AA37" s="4"/>
    </row>
    <row r="38" spans="1:27" ht="25.5" x14ac:dyDescent="0.2">
      <c r="A38" t="str">
        <f>CHOOSE(1+LOG(1+2*(J38="Meta")+4*(J38="Nível 2")+8*(J38="Nível 3")+16*(J38="Nível 4")+32*(J38="Serviço"),2),0,1,2,3,4,"S")</f>
        <v>S</v>
      </c>
      <c r="B38">
        <f>IF(OR(A38="S",A38=0),0,IF(ISERROR(I38),H38,SMALL(H38:I38,1)))</f>
        <v>0</v>
      </c>
      <c r="C38">
        <f ca="1">IF($A38=1,OFFSET(C38,-1,0)+1,OFFSET(C38,-1,0))</f>
        <v>1</v>
      </c>
      <c r="D38">
        <f ca="1">IF($A38=1,0,IF($A38=2,OFFSET(D38,-1,0)+1,OFFSET(D38,-1,0)))</f>
        <v>4</v>
      </c>
      <c r="E38">
        <f ca="1">IF(AND($A38&lt;=2,$A38&lt;&gt;0),0,IF($A38=3,OFFSET(E38,-1,0)+1,OFFSET(E38,-1,0)))</f>
        <v>0</v>
      </c>
      <c r="F38">
        <f ca="1">IF(AND($A38&lt;=3,$A38&lt;&gt;0),0,IF($A38=4,OFFSET(F38,-1,0)+1,OFFSET(F38,-1,0)))</f>
        <v>0</v>
      </c>
      <c r="G38">
        <f ca="1">IF(AND($A38&lt;=4,$A38&lt;&gt;0),0,IF($A38="S",OFFSET(G38,-1,0)+1,OFFSET(G38,-1,0)))</f>
        <v>3</v>
      </c>
      <c r="H38">
        <f t="shared" ca="1" si="15"/>
        <v>0</v>
      </c>
      <c r="I38">
        <f t="shared" ca="1" si="16"/>
        <v>0</v>
      </c>
      <c r="J38" s="394" t="s">
        <v>103</v>
      </c>
      <c r="K38" s="162" t="str">
        <f ca="1">IF($A38=0,"-",CONCATENATE(C38&amp;".",IF(AND($A$5&gt;=2,$A38&gt;=2),D38&amp;".",""),IF(AND($A$5&gt;=3,$A38&gt;=3),E38&amp;".",""),IF(AND($A$5&gt;=4,$A38&gt;=4),F38&amp;".",""),IF($A38="S",G38&amp;".","")))</f>
        <v>1.4.3.</v>
      </c>
      <c r="L38" s="395" t="s">
        <v>232</v>
      </c>
      <c r="M38" s="395">
        <v>89713</v>
      </c>
      <c r="N38" s="396" t="s">
        <v>295</v>
      </c>
      <c r="O38" s="397" t="s">
        <v>243</v>
      </c>
      <c r="P38" s="225">
        <f ca="1">OFFSET(PLQ!$E$12,ROW($P38)-ROW(P$12),0)</f>
        <v>30</v>
      </c>
      <c r="Q38" s="229"/>
      <c r="R38" s="232" t="s">
        <v>7</v>
      </c>
      <c r="S38" s="121">
        <f>IF($A38="S",IF($Q$10="Preço Unitário (R$)",PO.CustoUnitario,ROUND(PO.CustoUnitario*(1+$Z38),15-13*$X$6)),0)</f>
        <v>0</v>
      </c>
      <c r="T38" s="98">
        <f ca="1">IF($A38="S",VTOTAL1,IF($A38=0,0,ROUND(SomaAgrup,15-13*$X$7)))</f>
        <v>0</v>
      </c>
      <c r="U38" s="13" t="str">
        <f ca="1">IF($J38="","",IF($N38="","DESCRIÇÃO",IF(AND($J38="Serviço",$O38=""),"UNIDADE",IF($T38&lt;=0,"SEM VALOR",IF(AND($Y38&lt;&gt;"",$Q38&gt;$Y38),"ACIMA REF.","")))))</f>
        <v>SEM VALOR</v>
      </c>
      <c r="V38" s="4" t="str">
        <f ca="1">IF(OR($A38=0,$A38="S",$A38&gt;CFF!$A$9),"",MAX(V$12:OFFSET(V38,-1,0))+1)</f>
        <v/>
      </c>
      <c r="W38" s="9" t="str">
        <f>IF(AND($J38="Serviço",$M38&lt;&gt;""),IF($L38="",$M38,CONCATENATE($L38,"-",$M38)))</f>
        <v>SINAPI-89713</v>
      </c>
      <c r="X38" s="4" t="e">
        <f ca="1">IF(AND(Fonte&lt;&gt;"",Código&lt;&gt;""),MATCH(Fonte&amp;" "&amp;IF(Fonte="sinapi",SUBSTITUTE(SUBSTITUTE(Código,"/00","/"),"/0","/"),Código),INDIRECT("'[Referência "&amp;_xlnm.Database&amp;".xls]Banco'!$a:$a"),0),"X")</f>
        <v>#REF!</v>
      </c>
      <c r="Y38" s="121">
        <v>41.636099999999999</v>
      </c>
      <c r="Z38" s="132">
        <f ca="1">ROUND(IF(ISNUMBER(R38),R38,IF(LEFT(R38,3)="BDI",HLOOKUP(R38,DADOS!$T$37:$X$38,2,FALSE),0)),15-11*$X$5)</f>
        <v>0.21</v>
      </c>
      <c r="AA38" s="4"/>
    </row>
    <row r="39" spans="1:27" ht="25.5" x14ac:dyDescent="0.2">
      <c r="A39" t="str">
        <f t="shared" si="0"/>
        <v>S</v>
      </c>
      <c r="B39">
        <f t="shared" si="1"/>
        <v>0</v>
      </c>
      <c r="C39">
        <f t="shared" ca="1" si="2"/>
        <v>1</v>
      </c>
      <c r="D39">
        <f t="shared" ca="1" si="3"/>
        <v>4</v>
      </c>
      <c r="E39">
        <f t="shared" ca="1" si="4"/>
        <v>0</v>
      </c>
      <c r="F39">
        <f t="shared" ca="1" si="5"/>
        <v>0</v>
      </c>
      <c r="G39">
        <f t="shared" ca="1" si="6"/>
        <v>4</v>
      </c>
      <c r="H39">
        <f t="shared" ca="1" si="15"/>
        <v>0</v>
      </c>
      <c r="I39">
        <f t="shared" ca="1" si="16"/>
        <v>0</v>
      </c>
      <c r="J39" s="394" t="s">
        <v>103</v>
      </c>
      <c r="K39" s="162" t="str">
        <f t="shared" ca="1" si="9"/>
        <v>1.4.4.</v>
      </c>
      <c r="L39" s="395" t="s">
        <v>232</v>
      </c>
      <c r="M39" s="395">
        <v>89714</v>
      </c>
      <c r="N39" s="396" t="s">
        <v>251</v>
      </c>
      <c r="O39" s="397" t="s">
        <v>243</v>
      </c>
      <c r="P39" s="225">
        <f ca="1">OFFSET(PLQ!$E$12,ROW($P39)-ROW(P$12),0)</f>
        <v>36</v>
      </c>
      <c r="Q39" s="229"/>
      <c r="R39" s="232" t="s">
        <v>7</v>
      </c>
      <c r="S39" s="121">
        <f t="shared" si="10"/>
        <v>0</v>
      </c>
      <c r="T39" s="98">
        <f t="shared" ca="1" si="11"/>
        <v>0</v>
      </c>
      <c r="U39" s="13" t="str">
        <f t="shared" ca="1" si="12"/>
        <v>SEM VALOR</v>
      </c>
      <c r="V39" s="4" t="str">
        <f ca="1">IF(OR($A39=0,$A39="S",$A39&gt;CFF!$A$9),"",MAX(V$12:OFFSET(V39,-1,0))+1)</f>
        <v/>
      </c>
      <c r="W39" s="9" t="str">
        <f t="shared" si="13"/>
        <v>SINAPI-89714</v>
      </c>
      <c r="X39" s="4" t="e">
        <f t="shared" ca="1" si="14"/>
        <v>#REF!</v>
      </c>
      <c r="Y39" s="121">
        <v>46.790700000000001</v>
      </c>
      <c r="Z39" s="132">
        <f ca="1">ROUND(IF(ISNUMBER(R39),R39,IF(LEFT(R39,3)="BDI",HLOOKUP(R39,DADOS!$T$37:$X$38,2,FALSE),0)),15-11*$X$5)</f>
        <v>0.21</v>
      </c>
      <c r="AA39" s="4"/>
    </row>
    <row r="40" spans="1:27" ht="25.5" x14ac:dyDescent="0.2">
      <c r="A40" t="str">
        <f t="shared" si="0"/>
        <v>S</v>
      </c>
      <c r="B40">
        <f t="shared" si="1"/>
        <v>0</v>
      </c>
      <c r="C40">
        <f t="shared" ca="1" si="2"/>
        <v>1</v>
      </c>
      <c r="D40">
        <f t="shared" ca="1" si="3"/>
        <v>4</v>
      </c>
      <c r="E40">
        <f t="shared" ca="1" si="4"/>
        <v>0</v>
      </c>
      <c r="F40">
        <f t="shared" ca="1" si="5"/>
        <v>0</v>
      </c>
      <c r="G40">
        <f t="shared" ca="1" si="6"/>
        <v>5</v>
      </c>
      <c r="H40">
        <f t="shared" ca="1" si="15"/>
        <v>0</v>
      </c>
      <c r="I40">
        <f t="shared" ca="1" si="16"/>
        <v>0</v>
      </c>
      <c r="J40" s="394" t="s">
        <v>103</v>
      </c>
      <c r="K40" s="162" t="str">
        <f t="shared" ca="1" si="9"/>
        <v>1.4.5.</v>
      </c>
      <c r="L40" s="395" t="s">
        <v>232</v>
      </c>
      <c r="M40" s="395">
        <v>94489</v>
      </c>
      <c r="N40" s="396" t="s">
        <v>252</v>
      </c>
      <c r="O40" s="397" t="s">
        <v>242</v>
      </c>
      <c r="P40" s="225">
        <f ca="1">OFFSET(PLQ!$E$12,ROW($P40)-ROW(P$12),0)</f>
        <v>9</v>
      </c>
      <c r="Q40" s="229"/>
      <c r="R40" s="232" t="s">
        <v>7</v>
      </c>
      <c r="S40" s="121">
        <f t="shared" si="10"/>
        <v>0</v>
      </c>
      <c r="T40" s="98">
        <f t="shared" ca="1" si="11"/>
        <v>0</v>
      </c>
      <c r="U40" s="13" t="str">
        <f t="shared" ca="1" si="12"/>
        <v>SEM VALOR</v>
      </c>
      <c r="V40" s="4" t="str">
        <f ca="1">IF(OR($A40=0,$A40="S",$A40&gt;CFF!$A$9),"",MAX(V$12:OFFSET(V40,-1,0))+1)</f>
        <v/>
      </c>
      <c r="W40" s="9" t="str">
        <f t="shared" si="13"/>
        <v>SINAPI-94489</v>
      </c>
      <c r="X40" s="4" t="e">
        <f t="shared" ca="1" si="14"/>
        <v>#REF!</v>
      </c>
      <c r="Y40" s="121">
        <v>35.271500000000003</v>
      </c>
      <c r="Z40" s="132">
        <f ca="1">ROUND(IF(ISNUMBER(R40),R40,IF(LEFT(R40,3)="BDI",HLOOKUP(R40,DADOS!$T$37:$X$38,2,FALSE),0)),15-11*$X$5)</f>
        <v>0.21</v>
      </c>
      <c r="AA40" s="4"/>
    </row>
    <row r="41" spans="1:27" ht="25.5" x14ac:dyDescent="0.2">
      <c r="A41" t="str">
        <f t="shared" si="0"/>
        <v>S</v>
      </c>
      <c r="B41">
        <f t="shared" si="1"/>
        <v>0</v>
      </c>
      <c r="C41">
        <f t="shared" ca="1" si="2"/>
        <v>1</v>
      </c>
      <c r="D41">
        <f t="shared" ca="1" si="3"/>
        <v>4</v>
      </c>
      <c r="E41">
        <f t="shared" ca="1" si="4"/>
        <v>0</v>
      </c>
      <c r="F41">
        <f t="shared" ca="1" si="5"/>
        <v>0</v>
      </c>
      <c r="G41">
        <f t="shared" ca="1" si="6"/>
        <v>6</v>
      </c>
      <c r="H41">
        <f t="shared" ca="1" si="15"/>
        <v>0</v>
      </c>
      <c r="I41">
        <f t="shared" ca="1" si="16"/>
        <v>0</v>
      </c>
      <c r="J41" s="394" t="s">
        <v>103</v>
      </c>
      <c r="K41" s="162" t="str">
        <f t="shared" ca="1" si="9"/>
        <v>1.4.6.</v>
      </c>
      <c r="L41" s="395" t="s">
        <v>232</v>
      </c>
      <c r="M41" s="395">
        <v>97902</v>
      </c>
      <c r="N41" s="396" t="s">
        <v>255</v>
      </c>
      <c r="O41" s="397" t="s">
        <v>242</v>
      </c>
      <c r="P41" s="225">
        <f ca="1">OFFSET(PLQ!$E$12,ROW($P41)-ROW(P$12),0)</f>
        <v>3</v>
      </c>
      <c r="Q41" s="229"/>
      <c r="R41" s="232" t="s">
        <v>7</v>
      </c>
      <c r="S41" s="121">
        <f t="shared" si="10"/>
        <v>0</v>
      </c>
      <c r="T41" s="98">
        <f t="shared" ca="1" si="11"/>
        <v>0</v>
      </c>
      <c r="U41" s="13" t="str">
        <f t="shared" ca="1" si="12"/>
        <v>SEM VALOR</v>
      </c>
      <c r="V41" s="4" t="str">
        <f ca="1">IF(OR($A41=0,$A41="S",$A41&gt;CFF!$A$9),"",MAX(V$12:OFFSET(V41,-1,0))+1)</f>
        <v/>
      </c>
      <c r="W41" s="9" t="str">
        <f t="shared" si="13"/>
        <v>SINAPI-97902</v>
      </c>
      <c r="X41" s="4" t="e">
        <f t="shared" ca="1" si="14"/>
        <v>#REF!</v>
      </c>
      <c r="Y41" s="121">
        <v>787.81889999999999</v>
      </c>
      <c r="Z41" s="132">
        <f ca="1">ROUND(IF(ISNUMBER(R41),R41,IF(LEFT(R41,3)="BDI",HLOOKUP(R41,DADOS!$T$37:$X$38,2,FALSE),0)),15-11*$X$5)</f>
        <v>0.21</v>
      </c>
      <c r="AA41" s="4"/>
    </row>
    <row r="42" spans="1:27" ht="25.5" x14ac:dyDescent="0.2">
      <c r="A42" t="str">
        <f>CHOOSE(1+LOG(1+2*(J42="Meta")+4*(J42="Nível 2")+8*(J42="Nível 3")+16*(J42="Nível 4")+32*(J42="Serviço"),2),0,1,2,3,4,"S")</f>
        <v>S</v>
      </c>
      <c r="B42">
        <f>IF(OR(A42="S",A42=0),0,IF(ISERROR(I42),H42,SMALL(H42:I42,1)))</f>
        <v>0</v>
      </c>
      <c r="C42">
        <f ca="1">IF($A42=1,OFFSET(C42,-1,0)+1,OFFSET(C42,-1,0))</f>
        <v>1</v>
      </c>
      <c r="D42">
        <f ca="1">IF($A42=1,0,IF($A42=2,OFFSET(D42,-1,0)+1,OFFSET(D42,-1,0)))</f>
        <v>4</v>
      </c>
      <c r="E42">
        <f ca="1">IF(AND($A42&lt;=2,$A42&lt;&gt;0),0,IF($A42=3,OFFSET(E42,-1,0)+1,OFFSET(E42,-1,0)))</f>
        <v>0</v>
      </c>
      <c r="F42">
        <f ca="1">IF(AND($A42&lt;=3,$A42&lt;&gt;0),0,IF($A42=4,OFFSET(F42,-1,0)+1,OFFSET(F42,-1,0)))</f>
        <v>0</v>
      </c>
      <c r="G42">
        <f ca="1">IF(AND($A42&lt;=4,$A42&lt;&gt;0),0,IF($A42="S",OFFSET(G42,-1,0)+1,OFFSET(G42,-1,0)))</f>
        <v>7</v>
      </c>
      <c r="H42">
        <f ca="1">IF(OR($A42="S",$A42=0),0,MATCH(0,OFFSET($B42,1,$A42,ROW($A$77)-ROW($A42)),0))</f>
        <v>0</v>
      </c>
      <c r="I42">
        <f ca="1">IF(OR($A42="S",$A42=0),0,MATCH(OFFSET($B42,0,$A42)+1,OFFSET($B42,1,$A42,ROW($A$77)-ROW($A42)),0))</f>
        <v>0</v>
      </c>
      <c r="J42" s="394" t="s">
        <v>103</v>
      </c>
      <c r="K42" s="162" t="str">
        <f ca="1">IF($A42=0,"-",CONCATENATE(C42&amp;".",IF(AND($A$5&gt;=2,$A42&gt;=2),D42&amp;".",""),IF(AND($A$5&gt;=3,$A42&gt;=3),E42&amp;".",""),IF(AND($A$5&gt;=4,$A42&gt;=4),F42&amp;".",""),IF($A42="S",G42&amp;".","")))</f>
        <v>1.4.7.</v>
      </c>
      <c r="L42" s="395" t="s">
        <v>232</v>
      </c>
      <c r="M42" s="395">
        <v>98108</v>
      </c>
      <c r="N42" s="396" t="s">
        <v>302</v>
      </c>
      <c r="O42" s="397" t="s">
        <v>242</v>
      </c>
      <c r="P42" s="225">
        <f ca="1">OFFSET(PLQ!$E$12,ROW($P42)-ROW(P$12),0)</f>
        <v>1</v>
      </c>
      <c r="Q42" s="229"/>
      <c r="R42" s="232" t="s">
        <v>7</v>
      </c>
      <c r="S42" s="121">
        <f>IF($A42="S",IF($Q$10="Preço Unitário (R$)",PO.CustoUnitario,ROUND(PO.CustoUnitario*(1+$Z42),15-13*$X$6)),0)</f>
        <v>0</v>
      </c>
      <c r="T42" s="98">
        <f ca="1">IF($A42="S",VTOTAL1,IF($A42=0,0,ROUND(SomaAgrup,15-13*$X$7)))</f>
        <v>0</v>
      </c>
      <c r="U42" s="13" t="str">
        <f ca="1">IF($J42="","",IF($N42="","DESCRIÇÃO",IF(AND($J42="Serviço",$O42=""),"UNIDADE",IF($T42&lt;=0,"SEM VALOR",IF(AND($Y42&lt;&gt;"",$Q42&gt;$Y42),"ACIMA REF.","")))))</f>
        <v>SEM VALOR</v>
      </c>
      <c r="V42" s="4" t="str">
        <f ca="1">IF(OR($A42=0,$A42="S",$A42&gt;CFF!$A$9),"",MAX(V$12:OFFSET(V42,-1,0))+1)</f>
        <v/>
      </c>
      <c r="W42" s="9" t="str">
        <f>IF(AND($J42="Serviço",$M42&lt;&gt;""),IF($L42="",$M42,CONCATENATE($L42,"-",$M42)))</f>
        <v>SINAPI-98108</v>
      </c>
      <c r="X42" s="4" t="e">
        <f ca="1">IF(AND(Fonte&lt;&gt;"",Código&lt;&gt;""),MATCH(Fonte&amp;" "&amp;IF(Fonte="sinapi",SUBSTITUTE(SUBSTITUTE(Código,"/00","/"),"/0","/"),Código),INDIRECT("'[Referência "&amp;_xlnm.Database&amp;".xls]Banco'!$a:$a"),0),"X")</f>
        <v>#REF!</v>
      </c>
      <c r="Y42" s="121">
        <v>646.21259999999995</v>
      </c>
      <c r="Z42" s="132">
        <f ca="1">ROUND(IF(ISNUMBER(R42),R42,IF(LEFT(R42,3)="BDI",HLOOKUP(R42,DADOS!$T$37:$X$38,2,FALSE),0)),15-11*$X$5)</f>
        <v>0.21</v>
      </c>
      <c r="AA42" s="4"/>
    </row>
    <row r="43" spans="1:27" ht="25.5" x14ac:dyDescent="0.2">
      <c r="A43" t="str">
        <f>CHOOSE(1+LOG(1+2*(J43="Meta")+4*(J43="Nível 2")+8*(J43="Nível 3")+16*(J43="Nível 4")+32*(J43="Serviço"),2),0,1,2,3,4,"S")</f>
        <v>S</v>
      </c>
      <c r="B43">
        <f>IF(OR(A43="S",A43=0),0,IF(ISERROR(I43),H43,SMALL(H43:I43,1)))</f>
        <v>0</v>
      </c>
      <c r="C43">
        <f ca="1">IF($A43=1,OFFSET(C43,-1,0)+1,OFFSET(C43,-1,0))</f>
        <v>1</v>
      </c>
      <c r="D43">
        <f ca="1">IF($A43=1,0,IF($A43=2,OFFSET(D43,-1,0)+1,OFFSET(D43,-1,0)))</f>
        <v>4</v>
      </c>
      <c r="E43">
        <f ca="1">IF(AND($A43&lt;=2,$A43&lt;&gt;0),0,IF($A43=3,OFFSET(E43,-1,0)+1,OFFSET(E43,-1,0)))</f>
        <v>0</v>
      </c>
      <c r="F43">
        <f ca="1">IF(AND($A43&lt;=3,$A43&lt;&gt;0),0,IF($A43=4,OFFSET(F43,-1,0)+1,OFFSET(F43,-1,0)))</f>
        <v>0</v>
      </c>
      <c r="G43">
        <f ca="1">IF(AND($A43&lt;=4,$A43&lt;&gt;0),0,IF($A43="S",OFFSET(G43,-1,0)+1,OFFSET(G43,-1,0)))</f>
        <v>8</v>
      </c>
      <c r="H43">
        <f t="shared" ca="1" si="15"/>
        <v>0</v>
      </c>
      <c r="I43">
        <f t="shared" ca="1" si="16"/>
        <v>0</v>
      </c>
      <c r="J43" s="394" t="s">
        <v>103</v>
      </c>
      <c r="K43" s="162" t="str">
        <f ca="1">IF($A43=0,"-",CONCATENATE(C43&amp;".",IF(AND($A$5&gt;=2,$A43&gt;=2),D43&amp;".",""),IF(AND($A$5&gt;=3,$A43&gt;=3),E43&amp;".",""),IF(AND($A$5&gt;=4,$A43&gt;=4),F43&amp;".",""),IF($A43="S",G43&amp;".","")))</f>
        <v>1.4.8.</v>
      </c>
      <c r="L43" s="395" t="s">
        <v>232</v>
      </c>
      <c r="M43" s="395">
        <v>102613</v>
      </c>
      <c r="N43" s="396" t="s">
        <v>290</v>
      </c>
      <c r="O43" s="397" t="s">
        <v>242</v>
      </c>
      <c r="P43" s="225">
        <f ca="1">OFFSET(PLQ!$E$12,ROW($P43)-ROW(P$12),0)</f>
        <v>1</v>
      </c>
      <c r="Q43" s="229"/>
      <c r="R43" s="232" t="s">
        <v>7</v>
      </c>
      <c r="S43" s="121">
        <f>IF($A43="S",IF($Q$10="Preço Unitário (R$)",PO.CustoUnitario,ROUND(PO.CustoUnitario*(1+$Z43),15-13*$X$6)),0)</f>
        <v>0</v>
      </c>
      <c r="T43" s="98">
        <f ca="1">IF($A43="S",VTOTAL1,IF($A43=0,0,ROUND(SomaAgrup,15-13*$X$7)))</f>
        <v>0</v>
      </c>
      <c r="U43" s="13" t="str">
        <f ca="1">IF($J43="","",IF($N43="","DESCRIÇÃO",IF(AND($J43="Serviço",$O43=""),"UNIDADE",IF($T43&lt;=0,"SEM VALOR",IF(AND($Y43&lt;&gt;"",$Q43&gt;$Y43),"ACIMA REF.","")))))</f>
        <v>SEM VALOR</v>
      </c>
      <c r="V43" s="4" t="str">
        <f ca="1">IF(OR($A43=0,$A43="S",$A43&gt;CFF!$A$9),"",MAX(V$12:OFFSET(V43,-1,0))+1)</f>
        <v/>
      </c>
      <c r="W43" s="9" t="str">
        <f>IF(AND($J43="Serviço",$M43&lt;&gt;""),IF($L43="",$M43,CONCATENATE($L43,"-",$M43)))</f>
        <v>SINAPI-102613</v>
      </c>
      <c r="X43" s="4" t="e">
        <f ca="1">IF(AND(Fonte&lt;&gt;"",Código&lt;&gt;""),MATCH(Fonte&amp;" "&amp;IF(Fonte="sinapi",SUBSTITUTE(SUBSTITUTE(Código,"/00","/"),"/0","/"),Código),INDIRECT("'[Referência "&amp;_xlnm.Database&amp;".xls]Banco'!$a:$a"),0),"X")</f>
        <v>#REF!</v>
      </c>
      <c r="Y43" s="121">
        <v>690.97050000000002</v>
      </c>
      <c r="Z43" s="132">
        <f ca="1">ROUND(IF(ISNUMBER(R43),R43,IF(LEFT(R43,3)="BDI",HLOOKUP(R43,DADOS!$T$37:$X$38,2,FALSE),0)),15-11*$X$5)</f>
        <v>0.21</v>
      </c>
      <c r="AA43" s="4"/>
    </row>
    <row r="44" spans="1:27" ht="25.5" x14ac:dyDescent="0.2">
      <c r="A44" t="str">
        <f t="shared" si="0"/>
        <v>S</v>
      </c>
      <c r="B44">
        <f t="shared" si="1"/>
        <v>0</v>
      </c>
      <c r="C44">
        <f t="shared" ca="1" si="2"/>
        <v>1</v>
      </c>
      <c r="D44">
        <f t="shared" ca="1" si="3"/>
        <v>4</v>
      </c>
      <c r="E44">
        <f t="shared" ca="1" si="4"/>
        <v>0</v>
      </c>
      <c r="F44">
        <f t="shared" ca="1" si="5"/>
        <v>0</v>
      </c>
      <c r="G44">
        <f t="shared" ca="1" si="6"/>
        <v>9</v>
      </c>
      <c r="H44">
        <f t="shared" ca="1" si="15"/>
        <v>0</v>
      </c>
      <c r="I44">
        <f t="shared" ca="1" si="16"/>
        <v>0</v>
      </c>
      <c r="J44" s="394" t="s">
        <v>103</v>
      </c>
      <c r="K44" s="162" t="str">
        <f t="shared" ca="1" si="9"/>
        <v>1.4.9.</v>
      </c>
      <c r="L44" s="395" t="s">
        <v>244</v>
      </c>
      <c r="M44" s="395">
        <v>39361</v>
      </c>
      <c r="N44" s="396" t="s">
        <v>258</v>
      </c>
      <c r="O44" s="397" t="s">
        <v>259</v>
      </c>
      <c r="P44" s="225">
        <f ca="1">OFFSET(PLQ!$E$12,ROW($P44)-ROW(P$12),0)</f>
        <v>1</v>
      </c>
      <c r="Q44" s="229"/>
      <c r="R44" s="232" t="s">
        <v>7</v>
      </c>
      <c r="S44" s="121">
        <f t="shared" si="10"/>
        <v>0</v>
      </c>
      <c r="T44" s="98">
        <f t="shared" ca="1" si="11"/>
        <v>0</v>
      </c>
      <c r="U44" s="13" t="str">
        <f t="shared" ca="1" si="12"/>
        <v>SEM VALOR</v>
      </c>
      <c r="V44" s="4" t="str">
        <f ca="1">IF(OR($A44=0,$A44="S",$A44&gt;CFF!$A$9),"",MAX(V$12:OFFSET(V44,-1,0))+1)</f>
        <v/>
      </c>
      <c r="W44" s="9" t="str">
        <f t="shared" si="13"/>
        <v>SINAPI-I-39361</v>
      </c>
      <c r="X44" s="4" t="e">
        <f t="shared" ca="1" si="14"/>
        <v>#REF!</v>
      </c>
      <c r="Y44" s="121">
        <v>1866.7275</v>
      </c>
      <c r="Z44" s="132">
        <f ca="1">ROUND(IF(ISNUMBER(R44),R44,IF(LEFT(R44,3)="BDI",HLOOKUP(R44,DADOS!$T$37:$X$38,2,FALSE),0)),15-11*$X$5)</f>
        <v>0.21</v>
      </c>
      <c r="AA44" s="4"/>
    </row>
    <row r="45" spans="1:27" x14ac:dyDescent="0.2">
      <c r="A45" t="str">
        <f t="shared" si="0"/>
        <v>S</v>
      </c>
      <c r="B45">
        <f t="shared" si="1"/>
        <v>0</v>
      </c>
      <c r="C45">
        <f t="shared" ca="1" si="2"/>
        <v>1</v>
      </c>
      <c r="D45">
        <f t="shared" ca="1" si="3"/>
        <v>4</v>
      </c>
      <c r="E45">
        <f t="shared" ca="1" si="4"/>
        <v>0</v>
      </c>
      <c r="F45">
        <f t="shared" ca="1" si="5"/>
        <v>0</v>
      </c>
      <c r="G45">
        <f t="shared" ca="1" si="6"/>
        <v>10</v>
      </c>
      <c r="H45">
        <f t="shared" ca="1" si="15"/>
        <v>0</v>
      </c>
      <c r="I45">
        <f t="shared" ca="1" si="16"/>
        <v>0</v>
      </c>
      <c r="J45" s="394" t="s">
        <v>103</v>
      </c>
      <c r="K45" s="162" t="str">
        <f t="shared" ca="1" si="9"/>
        <v>1.4.10.</v>
      </c>
      <c r="L45" s="395" t="s">
        <v>244</v>
      </c>
      <c r="M45" s="395">
        <v>39365</v>
      </c>
      <c r="N45" s="396" t="s">
        <v>260</v>
      </c>
      <c r="O45" s="397" t="s">
        <v>259</v>
      </c>
      <c r="P45" s="225">
        <f ca="1">OFFSET(PLQ!$E$12,ROW($P45)-ROW(P$12),0)</f>
        <v>1</v>
      </c>
      <c r="Q45" s="229"/>
      <c r="R45" s="232" t="s">
        <v>7</v>
      </c>
      <c r="S45" s="121">
        <f t="shared" si="10"/>
        <v>0</v>
      </c>
      <c r="T45" s="98">
        <f t="shared" ca="1" si="11"/>
        <v>0</v>
      </c>
      <c r="U45" s="13" t="str">
        <f t="shared" ca="1" si="12"/>
        <v>SEM VALOR</v>
      </c>
      <c r="V45" s="4" t="str">
        <f ca="1">IF(OR($A45=0,$A45="S",$A45&gt;CFF!$A$9),"",MAX(V$12:OFFSET(V45,-1,0))+1)</f>
        <v/>
      </c>
      <c r="W45" s="9" t="str">
        <f t="shared" si="13"/>
        <v>SINAPI-I-39365</v>
      </c>
      <c r="X45" s="4" t="e">
        <f t="shared" ca="1" si="14"/>
        <v>#REF!</v>
      </c>
      <c r="Y45" s="121">
        <v>2072.9115000000002</v>
      </c>
      <c r="Z45" s="132">
        <f ca="1">ROUND(IF(ISNUMBER(R45),R45,IF(LEFT(R45,3)="BDI",HLOOKUP(R45,DADOS!$T$37:$X$38,2,FALSE),0)),15-11*$X$5)</f>
        <v>0.21</v>
      </c>
      <c r="AA45" s="4"/>
    </row>
    <row r="46" spans="1:27" ht="25.5" x14ac:dyDescent="0.2">
      <c r="A46" t="str">
        <f t="shared" si="0"/>
        <v>S</v>
      </c>
      <c r="B46">
        <f t="shared" si="1"/>
        <v>0</v>
      </c>
      <c r="C46">
        <f t="shared" ca="1" si="2"/>
        <v>1</v>
      </c>
      <c r="D46">
        <f t="shared" ca="1" si="3"/>
        <v>4</v>
      </c>
      <c r="E46">
        <f t="shared" ca="1" si="4"/>
        <v>0</v>
      </c>
      <c r="F46">
        <f t="shared" ca="1" si="5"/>
        <v>0</v>
      </c>
      <c r="G46">
        <f t="shared" ca="1" si="6"/>
        <v>11</v>
      </c>
      <c r="H46">
        <f t="shared" ca="1" si="15"/>
        <v>0</v>
      </c>
      <c r="I46">
        <f t="shared" ca="1" si="16"/>
        <v>0</v>
      </c>
      <c r="J46" s="394" t="s">
        <v>103</v>
      </c>
      <c r="K46" s="162" t="str">
        <f t="shared" ca="1" si="9"/>
        <v>1.4.11.</v>
      </c>
      <c r="L46" s="395" t="s">
        <v>232</v>
      </c>
      <c r="M46" s="395">
        <v>98094</v>
      </c>
      <c r="N46" s="396" t="s">
        <v>261</v>
      </c>
      <c r="O46" s="397" t="s">
        <v>242</v>
      </c>
      <c r="P46" s="225">
        <f ca="1">OFFSET(PLQ!$E$12,ROW($P46)-ROW(P$12),0)</f>
        <v>1</v>
      </c>
      <c r="Q46" s="229"/>
      <c r="R46" s="232" t="s">
        <v>7</v>
      </c>
      <c r="S46" s="121">
        <f t="shared" si="10"/>
        <v>0</v>
      </c>
      <c r="T46" s="98">
        <f t="shared" ca="1" si="11"/>
        <v>0</v>
      </c>
      <c r="U46" s="13" t="str">
        <f t="shared" ca="1" si="12"/>
        <v>SEM VALOR</v>
      </c>
      <c r="V46" s="4" t="str">
        <f ca="1">IF(OR($A46=0,$A46="S",$A46&gt;CFF!$A$9),"",MAX(V$12:OFFSET(V46,-1,0))+1)</f>
        <v/>
      </c>
      <c r="W46" s="9" t="str">
        <f t="shared" si="13"/>
        <v>SINAPI-98094</v>
      </c>
      <c r="X46" s="4" t="e">
        <f t="shared" ca="1" si="14"/>
        <v>#REF!</v>
      </c>
      <c r="Y46" s="121">
        <v>3433.0846000000001</v>
      </c>
      <c r="Z46" s="132">
        <f ca="1">ROUND(IF(ISNUMBER(R46),R46,IF(LEFT(R46,3)="BDI",HLOOKUP(R46,DADOS!$T$37:$X$38,2,FALSE),0)),15-11*$X$5)</f>
        <v>0.21</v>
      </c>
      <c r="AA46" s="4"/>
    </row>
    <row r="47" spans="1:27" x14ac:dyDescent="0.2">
      <c r="A47">
        <f t="shared" si="0"/>
        <v>2</v>
      </c>
      <c r="B47">
        <f t="shared" ca="1" si="1"/>
        <v>15</v>
      </c>
      <c r="C47">
        <f t="shared" ca="1" si="2"/>
        <v>1</v>
      </c>
      <c r="D47">
        <f t="shared" ca="1" si="3"/>
        <v>5</v>
      </c>
      <c r="E47">
        <f t="shared" ca="1" si="4"/>
        <v>0</v>
      </c>
      <c r="F47">
        <f t="shared" ca="1" si="5"/>
        <v>0</v>
      </c>
      <c r="G47">
        <f t="shared" ca="1" si="6"/>
        <v>0</v>
      </c>
      <c r="H47">
        <f t="shared" ca="1" si="15"/>
        <v>30</v>
      </c>
      <c r="I47">
        <f t="shared" ca="1" si="16"/>
        <v>15</v>
      </c>
      <c r="J47" s="394" t="s">
        <v>100</v>
      </c>
      <c r="K47" s="162" t="str">
        <f t="shared" ca="1" si="9"/>
        <v>1.5.</v>
      </c>
      <c r="L47" s="395"/>
      <c r="M47" s="395"/>
      <c r="N47" s="396" t="s">
        <v>297</v>
      </c>
      <c r="O47" s="397" t="s">
        <v>106</v>
      </c>
      <c r="P47" s="225">
        <f ca="1">OFFSET(PLQ!$E$12,ROW($P47)-ROW(P$12),0)</f>
        <v>0</v>
      </c>
      <c r="Q47" s="229"/>
      <c r="R47" s="232" t="s">
        <v>7</v>
      </c>
      <c r="S47" s="121">
        <f t="shared" si="10"/>
        <v>0</v>
      </c>
      <c r="T47" s="98">
        <f t="shared" ca="1" si="11"/>
        <v>0</v>
      </c>
      <c r="U47" s="13" t="str">
        <f t="shared" ca="1" si="12"/>
        <v>SEM VALOR</v>
      </c>
      <c r="V47" s="4">
        <f ca="1">IF(OR($A47=0,$A47="S",$A47&gt;CFF!$A$9),"",MAX(V$12:OFFSET(V47,-1,0))+1)</f>
        <v>6</v>
      </c>
      <c r="W47" s="9" t="b">
        <f t="shared" si="13"/>
        <v>0</v>
      </c>
      <c r="X47" s="4" t="str">
        <f t="shared" ca="1" si="14"/>
        <v>X</v>
      </c>
      <c r="Y47" s="121">
        <v>0</v>
      </c>
      <c r="Z47" s="132">
        <f ca="1">ROUND(IF(ISNUMBER(R47),R47,IF(LEFT(R47,3)="BDI",HLOOKUP(R47,DADOS!$T$37:$X$38,2,FALSE),0)),15-11*$X$5)</f>
        <v>0.21</v>
      </c>
      <c r="AA47" s="4"/>
    </row>
    <row r="48" spans="1:27" ht="25.5" x14ac:dyDescent="0.2">
      <c r="A48" t="str">
        <f t="shared" si="0"/>
        <v>S</v>
      </c>
      <c r="B48">
        <f t="shared" si="1"/>
        <v>0</v>
      </c>
      <c r="C48">
        <f t="shared" ca="1" si="2"/>
        <v>1</v>
      </c>
      <c r="D48">
        <f t="shared" ca="1" si="3"/>
        <v>5</v>
      </c>
      <c r="E48">
        <f t="shared" ca="1" si="4"/>
        <v>0</v>
      </c>
      <c r="F48">
        <f t="shared" ca="1" si="5"/>
        <v>0</v>
      </c>
      <c r="G48">
        <f t="shared" ca="1" si="6"/>
        <v>1</v>
      </c>
      <c r="H48">
        <f t="shared" ca="1" si="15"/>
        <v>0</v>
      </c>
      <c r="I48">
        <f t="shared" ca="1" si="16"/>
        <v>0</v>
      </c>
      <c r="J48" s="394" t="s">
        <v>103</v>
      </c>
      <c r="K48" s="162" t="str">
        <f t="shared" ca="1" si="9"/>
        <v>1.5.1.</v>
      </c>
      <c r="L48" s="395" t="s">
        <v>232</v>
      </c>
      <c r="M48" s="395" t="s">
        <v>256</v>
      </c>
      <c r="N48" s="396" t="s">
        <v>257</v>
      </c>
      <c r="O48" s="397" t="s">
        <v>242</v>
      </c>
      <c r="P48" s="225">
        <f ca="1">OFFSET(PLQ!$E$12,ROW($P48)-ROW(P$12),0)</f>
        <v>7</v>
      </c>
      <c r="Q48" s="229"/>
      <c r="R48" s="232" t="s">
        <v>7</v>
      </c>
      <c r="S48" s="121">
        <f t="shared" si="10"/>
        <v>0</v>
      </c>
      <c r="T48" s="98">
        <f t="shared" ca="1" si="11"/>
        <v>0</v>
      </c>
      <c r="U48" s="13" t="str">
        <f t="shared" ca="1" si="12"/>
        <v>SEM VALOR</v>
      </c>
      <c r="V48" s="4" t="str">
        <f ca="1">IF(OR($A48=0,$A48="S",$A48&gt;CFF!$A$9),"",MAX(V$12:OFFSET(V48,-1,0))+1)</f>
        <v/>
      </c>
      <c r="W48" s="9" t="str">
        <f t="shared" si="13"/>
        <v>SINAPI-95470</v>
      </c>
      <c r="X48" s="4" t="e">
        <f t="shared" ca="1" si="14"/>
        <v>#REF!</v>
      </c>
      <c r="Y48" s="121">
        <v>370.87709999999998</v>
      </c>
      <c r="Z48" s="132">
        <f ca="1">ROUND(IF(ISNUMBER(R48),R48,IF(LEFT(R48,3)="BDI",HLOOKUP(R48,DADOS!$T$37:$X$38,2,FALSE),0)),15-11*$X$5)</f>
        <v>0.21</v>
      </c>
      <c r="AA48" s="4"/>
    </row>
    <row r="49" spans="1:27" x14ac:dyDescent="0.2">
      <c r="A49" t="str">
        <f t="shared" si="0"/>
        <v>S</v>
      </c>
      <c r="B49">
        <f t="shared" si="1"/>
        <v>0</v>
      </c>
      <c r="C49">
        <f t="shared" ca="1" si="2"/>
        <v>1</v>
      </c>
      <c r="D49">
        <f t="shared" ca="1" si="3"/>
        <v>5</v>
      </c>
      <c r="E49">
        <f t="shared" ca="1" si="4"/>
        <v>0</v>
      </c>
      <c r="F49">
        <f t="shared" ca="1" si="5"/>
        <v>0</v>
      </c>
      <c r="G49">
        <f t="shared" ca="1" si="6"/>
        <v>2</v>
      </c>
      <c r="H49">
        <f t="shared" ca="1" si="15"/>
        <v>0</v>
      </c>
      <c r="I49">
        <f t="shared" ca="1" si="16"/>
        <v>0</v>
      </c>
      <c r="J49" s="394" t="s">
        <v>103</v>
      </c>
      <c r="K49" s="162" t="str">
        <f t="shared" ca="1" si="9"/>
        <v>1.5.2.</v>
      </c>
      <c r="L49" s="395" t="s">
        <v>232</v>
      </c>
      <c r="M49" s="395">
        <v>100858</v>
      </c>
      <c r="N49" s="396" t="s">
        <v>298</v>
      </c>
      <c r="O49" s="397" t="s">
        <v>242</v>
      </c>
      <c r="P49" s="225">
        <f ca="1">OFFSET(PLQ!$E$12,ROW($P49)-ROW(P$12),0)</f>
        <v>3</v>
      </c>
      <c r="Q49" s="229"/>
      <c r="R49" s="232" t="s">
        <v>7</v>
      </c>
      <c r="S49" s="121">
        <f t="shared" si="10"/>
        <v>0</v>
      </c>
      <c r="T49" s="98">
        <f t="shared" ca="1" si="11"/>
        <v>0</v>
      </c>
      <c r="U49" s="13" t="str">
        <f t="shared" ca="1" si="12"/>
        <v>SEM VALOR</v>
      </c>
      <c r="V49" s="4" t="str">
        <f ca="1">IF(OR($A49=0,$A49="S",$A49&gt;CFF!$A$9),"",MAX(V$12:OFFSET(V49,-1,0))+1)</f>
        <v/>
      </c>
      <c r="W49" s="9" t="str">
        <f t="shared" si="13"/>
        <v>SINAPI-100858</v>
      </c>
      <c r="X49" s="4" t="e">
        <f t="shared" ca="1" si="14"/>
        <v>#REF!</v>
      </c>
      <c r="Y49" s="121">
        <v>787.96410000000003</v>
      </c>
      <c r="Z49" s="132">
        <f ca="1">ROUND(IF(ISNUMBER(R49),R49,IF(LEFT(R49,3)="BDI",HLOOKUP(R49,DADOS!$T$37:$X$38,2,FALSE),0)),15-11*$X$5)</f>
        <v>0.21</v>
      </c>
      <c r="AA49" s="4"/>
    </row>
    <row r="50" spans="1:27" ht="25.5" x14ac:dyDescent="0.2">
      <c r="A50" t="str">
        <f t="shared" si="0"/>
        <v>S</v>
      </c>
      <c r="B50">
        <f t="shared" si="1"/>
        <v>0</v>
      </c>
      <c r="C50">
        <f t="shared" ca="1" si="2"/>
        <v>1</v>
      </c>
      <c r="D50">
        <f t="shared" ca="1" si="3"/>
        <v>5</v>
      </c>
      <c r="E50">
        <f t="shared" ca="1" si="4"/>
        <v>0</v>
      </c>
      <c r="F50">
        <f t="shared" ca="1" si="5"/>
        <v>0</v>
      </c>
      <c r="G50">
        <f t="shared" ca="1" si="6"/>
        <v>3</v>
      </c>
      <c r="H50">
        <f t="shared" ca="1" si="15"/>
        <v>0</v>
      </c>
      <c r="I50">
        <f t="shared" ca="1" si="16"/>
        <v>0</v>
      </c>
      <c r="J50" s="394" t="s">
        <v>103</v>
      </c>
      <c r="K50" s="162" t="str">
        <f t="shared" ca="1" si="9"/>
        <v>1.5.3.</v>
      </c>
      <c r="L50" s="395" t="s">
        <v>232</v>
      </c>
      <c r="M50" s="395" t="s">
        <v>253</v>
      </c>
      <c r="N50" s="396" t="s">
        <v>254</v>
      </c>
      <c r="O50" s="397" t="s">
        <v>242</v>
      </c>
      <c r="P50" s="225">
        <f ca="1">OFFSET(PLQ!$E$12,ROW($P50)-ROW(P$12),0)</f>
        <v>6</v>
      </c>
      <c r="Q50" s="229"/>
      <c r="R50" s="232" t="s">
        <v>7</v>
      </c>
      <c r="S50" s="121">
        <f t="shared" si="10"/>
        <v>0</v>
      </c>
      <c r="T50" s="98">
        <f t="shared" ca="1" si="11"/>
        <v>0</v>
      </c>
      <c r="U50" s="13" t="str">
        <f t="shared" ca="1" si="12"/>
        <v>SEM VALOR</v>
      </c>
      <c r="V50" s="4" t="str">
        <f ca="1">IF(OR($A50=0,$A50="S",$A50&gt;CFF!$A$9),"",MAX(V$12:OFFSET(V50,-1,0))+1)</f>
        <v/>
      </c>
      <c r="W50" s="9" t="str">
        <f t="shared" si="13"/>
        <v>SINAPI-86939</v>
      </c>
      <c r="X50" s="4" t="e">
        <f t="shared" ca="1" si="14"/>
        <v>#REF!</v>
      </c>
      <c r="Y50" s="121">
        <v>554.74869999999999</v>
      </c>
      <c r="Z50" s="132">
        <f ca="1">ROUND(IF(ISNUMBER(R50),R50,IF(LEFT(R50,3)="BDI",HLOOKUP(R50,DADOS!$T$37:$X$38,2,FALSE),0)),15-11*$X$5)</f>
        <v>0.21</v>
      </c>
      <c r="AA50" s="4"/>
    </row>
    <row r="51" spans="1:27" x14ac:dyDescent="0.2">
      <c r="A51" t="str">
        <f>CHOOSE(1+LOG(1+2*(J51="Meta")+4*(J51="Nível 2")+8*(J51="Nível 3")+16*(J51="Nível 4")+32*(J51="Serviço"),2),0,1,2,3,4,"S")</f>
        <v>S</v>
      </c>
      <c r="B51">
        <f>IF(OR(A51="S",A51=0),0,IF(ISERROR(I51),H51,SMALL(H51:I51,1)))</f>
        <v>0</v>
      </c>
      <c r="C51">
        <f ca="1">IF($A51=1,OFFSET(C51,-1,0)+1,OFFSET(C51,-1,0))</f>
        <v>1</v>
      </c>
      <c r="D51">
        <f ca="1">IF($A51=1,0,IF($A51=2,OFFSET(D51,-1,0)+1,OFFSET(D51,-1,0)))</f>
        <v>5</v>
      </c>
      <c r="E51">
        <f ca="1">IF(AND($A51&lt;=2,$A51&lt;&gt;0),0,IF($A51=3,OFFSET(E51,-1,0)+1,OFFSET(E51,-1,0)))</f>
        <v>0</v>
      </c>
      <c r="F51">
        <f ca="1">IF(AND($A51&lt;=3,$A51&lt;&gt;0),0,IF($A51=4,OFFSET(F51,-1,0)+1,OFFSET(F51,-1,0)))</f>
        <v>0</v>
      </c>
      <c r="G51">
        <f ca="1">IF(AND($A51&lt;=4,$A51&lt;&gt;0),0,IF($A51="S",OFFSET(G51,-1,0)+1,OFFSET(G51,-1,0)))</f>
        <v>4</v>
      </c>
      <c r="H51">
        <f ca="1">IF(OR($A51="S",$A51=0),0,MATCH(0,OFFSET($B51,1,$A51,ROW($A$77)-ROW($A51)),0))</f>
        <v>0</v>
      </c>
      <c r="I51">
        <f ca="1">IF(OR($A51="S",$A51=0),0,MATCH(OFFSET($B51,0,$A51)+1,OFFSET($B51,1,$A51,ROW($A$77)-ROW($A51)),0))</f>
        <v>0</v>
      </c>
      <c r="J51" s="394" t="s">
        <v>103</v>
      </c>
      <c r="K51" s="162" t="str">
        <f ca="1">IF($A51=0,"-",CONCATENATE(C51&amp;".",IF(AND($A$5&gt;=2,$A51&gt;=2),D51&amp;".",""),IF(AND($A$5&gt;=3,$A51&gt;=3),E51&amp;".",""),IF(AND($A$5&gt;=4,$A51&gt;=4),F51&amp;".",""),IF($A51="S",G51&amp;".","")))</f>
        <v>1.5.4.</v>
      </c>
      <c r="L51" s="395" t="s">
        <v>232</v>
      </c>
      <c r="M51" s="395">
        <v>100860</v>
      </c>
      <c r="N51" s="396" t="s">
        <v>303</v>
      </c>
      <c r="O51" s="397" t="s">
        <v>242</v>
      </c>
      <c r="P51" s="225">
        <f ca="1">OFFSET(PLQ!$E$12,ROW($P51)-ROW(P$12),0)</f>
        <v>2</v>
      </c>
      <c r="Q51" s="229"/>
      <c r="R51" s="232" t="s">
        <v>7</v>
      </c>
      <c r="S51" s="121">
        <f>IF($A51="S",IF($Q$10="Preço Unitário (R$)",PO.CustoUnitario,ROUND(PO.CustoUnitario*(1+$Z51),15-13*$X$6)),0)</f>
        <v>0</v>
      </c>
      <c r="T51" s="98">
        <f ca="1">IF($A51="S",VTOTAL1,IF($A51=0,0,ROUND(SomaAgrup,15-13*$X$7)))</f>
        <v>0</v>
      </c>
      <c r="U51" s="13" t="str">
        <f ca="1">IF($J51="","",IF($N51="","DESCRIÇÃO",IF(AND($J51="Serviço",$O51=""),"UNIDADE",IF($T51&lt;=0,"SEM VALOR",IF(AND($Y51&lt;&gt;"",$Q51&gt;$Y51),"ACIMA REF.","")))))</f>
        <v>SEM VALOR</v>
      </c>
      <c r="V51" s="4" t="str">
        <f ca="1">IF(OR($A51=0,$A51="S",$A51&gt;CFF!$A$9),"",MAX(V$12:OFFSET(V51,-1,0))+1)</f>
        <v/>
      </c>
      <c r="W51" s="9" t="str">
        <f>IF(AND($J51="Serviço",$M51&lt;&gt;""),IF($L51="",$M51,CONCATENATE($L51,"-",$M51)))</f>
        <v>SINAPI-100860</v>
      </c>
      <c r="X51" s="4" t="e">
        <f ca="1">IF(AND(Fonte&lt;&gt;"",Código&lt;&gt;""),MATCH(Fonte&amp;" "&amp;IF(Fonte="sinapi",SUBSTITUTE(SUBSTITUTE(Código,"/00","/"),"/0","/"),Código),INDIRECT("'[Referência "&amp;_xlnm.Database&amp;".xls]Banco'!$a:$a"),0),"X")</f>
        <v>#REF!</v>
      </c>
      <c r="Y51" s="121">
        <v>111.0296</v>
      </c>
      <c r="Z51" s="132">
        <f ca="1">ROUND(IF(ISNUMBER(R51),R51,IF(LEFT(R51,3)="BDI",HLOOKUP(R51,DADOS!$T$37:$X$38,2,FALSE),0)),15-11*$X$5)</f>
        <v>0.21</v>
      </c>
      <c r="AA51" s="4"/>
    </row>
    <row r="52" spans="1:27" ht="25.5" x14ac:dyDescent="0.2">
      <c r="A52" t="str">
        <f t="shared" si="0"/>
        <v>S</v>
      </c>
      <c r="B52">
        <f t="shared" si="1"/>
        <v>0</v>
      </c>
      <c r="C52">
        <f t="shared" ca="1" si="2"/>
        <v>1</v>
      </c>
      <c r="D52">
        <f t="shared" ca="1" si="3"/>
        <v>5</v>
      </c>
      <c r="E52">
        <f t="shared" ca="1" si="4"/>
        <v>0</v>
      </c>
      <c r="F52">
        <f t="shared" ca="1" si="5"/>
        <v>0</v>
      </c>
      <c r="G52">
        <f t="shared" ca="1" si="6"/>
        <v>5</v>
      </c>
      <c r="H52">
        <f t="shared" ca="1" si="15"/>
        <v>0</v>
      </c>
      <c r="I52">
        <f t="shared" ca="1" si="16"/>
        <v>0</v>
      </c>
      <c r="J52" s="394" t="s">
        <v>103</v>
      </c>
      <c r="K52" s="162" t="str">
        <f t="shared" ca="1" si="9"/>
        <v>1.5.5.</v>
      </c>
      <c r="L52" s="395" t="s">
        <v>232</v>
      </c>
      <c r="M52" s="395">
        <v>86895</v>
      </c>
      <c r="N52" s="396" t="s">
        <v>311</v>
      </c>
      <c r="O52" s="397" t="s">
        <v>242</v>
      </c>
      <c r="P52" s="225">
        <f ca="1">OFFSET(PLQ!$E$12,ROW($P52)-ROW(P$12),0)</f>
        <v>6</v>
      </c>
      <c r="Q52" s="229"/>
      <c r="R52" s="232" t="s">
        <v>7</v>
      </c>
      <c r="S52" s="121">
        <f t="shared" si="10"/>
        <v>0</v>
      </c>
      <c r="T52" s="98">
        <f t="shared" ca="1" si="11"/>
        <v>0</v>
      </c>
      <c r="U52" s="13" t="str">
        <f t="shared" ca="1" si="12"/>
        <v>SEM VALOR</v>
      </c>
      <c r="V52" s="4" t="str">
        <f ca="1">IF(OR($A52=0,$A52="S",$A52&gt;CFF!$A$9),"",MAX(V$12:OFFSET(V52,-1,0))+1)</f>
        <v/>
      </c>
      <c r="W52" s="9" t="str">
        <f t="shared" si="13"/>
        <v>SINAPI-86895</v>
      </c>
      <c r="X52" s="4" t="e">
        <f t="shared" ca="1" si="14"/>
        <v>#REF!</v>
      </c>
      <c r="Y52" s="121">
        <v>447.24020000000002</v>
      </c>
      <c r="Z52" s="132">
        <f ca="1">ROUND(IF(ISNUMBER(R52),R52,IF(LEFT(R52,3)="BDI",HLOOKUP(R52,DADOS!$T$37:$X$38,2,FALSE),0)),15-11*$X$5)</f>
        <v>0.21</v>
      </c>
      <c r="AA52" s="4"/>
    </row>
    <row r="53" spans="1:27" x14ac:dyDescent="0.2">
      <c r="A53" t="str">
        <f>CHOOSE(1+LOG(1+2*(J53="Meta")+4*(J53="Nível 2")+8*(J53="Nível 3")+16*(J53="Nível 4")+32*(J53="Serviço"),2),0,1,2,3,4,"S")</f>
        <v>S</v>
      </c>
      <c r="B53">
        <f>IF(OR(A53="S",A53=0),0,IF(ISERROR(I53),H53,SMALL(H53:I53,1)))</f>
        <v>0</v>
      </c>
      <c r="C53">
        <f ca="1">IF($A53=1,OFFSET(C53,-1,0)+1,OFFSET(C53,-1,0))</f>
        <v>1</v>
      </c>
      <c r="D53">
        <f ca="1">IF($A53=1,0,IF($A53=2,OFFSET(D53,-1,0)+1,OFFSET(D53,-1,0)))</f>
        <v>5</v>
      </c>
      <c r="E53">
        <f ca="1">IF(AND($A53&lt;=2,$A53&lt;&gt;0),0,IF($A53=3,OFFSET(E53,-1,0)+1,OFFSET(E53,-1,0)))</f>
        <v>0</v>
      </c>
      <c r="F53">
        <f ca="1">IF(AND($A53&lt;=3,$A53&lt;&gt;0),0,IF($A53=4,OFFSET(F53,-1,0)+1,OFFSET(F53,-1,0)))</f>
        <v>0</v>
      </c>
      <c r="G53">
        <f ca="1">IF(AND($A53&lt;=4,$A53&lt;&gt;0),0,IF($A53="S",OFFSET(G53,-1,0)+1,OFFSET(G53,-1,0)))</f>
        <v>6</v>
      </c>
      <c r="H53">
        <f t="shared" ca="1" si="15"/>
        <v>0</v>
      </c>
      <c r="I53">
        <f t="shared" ca="1" si="16"/>
        <v>0</v>
      </c>
      <c r="J53" s="394" t="s">
        <v>103</v>
      </c>
      <c r="K53" s="162" t="str">
        <f ca="1">IF($A53=0,"-",CONCATENATE(C53&amp;".",IF(AND($A$5&gt;=2,$A53&gt;=2),D53&amp;".",""),IF(AND($A$5&gt;=3,$A53&gt;=3),E53&amp;".",""),IF(AND($A$5&gt;=4,$A53&gt;=4),F53&amp;".",""),IF($A53="S",G53&amp;".","")))</f>
        <v>1.5.6.</v>
      </c>
      <c r="L53" s="395" t="s">
        <v>232</v>
      </c>
      <c r="M53" s="395">
        <v>102253</v>
      </c>
      <c r="N53" s="396" t="s">
        <v>299</v>
      </c>
      <c r="O53" s="397" t="s">
        <v>236</v>
      </c>
      <c r="P53" s="225">
        <f ca="1">OFFSET(PLQ!$E$12,ROW($P53)-ROW(P$12),0)</f>
        <v>4.5</v>
      </c>
      <c r="Q53" s="229"/>
      <c r="R53" s="232" t="s">
        <v>7</v>
      </c>
      <c r="S53" s="121">
        <f>IF($A53="S",IF($Q$10="Preço Unitário (R$)",PO.CustoUnitario,ROUND(PO.CustoUnitario*(1+$Z53),15-13*$X$6)),0)</f>
        <v>0</v>
      </c>
      <c r="T53" s="98">
        <f ca="1">IF($A53="S",VTOTAL1,IF($A53=0,0,ROUND(SomaAgrup,15-13*$X$7)))</f>
        <v>0</v>
      </c>
      <c r="U53" s="13" t="str">
        <f ca="1">IF($J53="","",IF($N53="","DESCRIÇÃO",IF(AND($J53="Serviço",$O53=""),"UNIDADE",IF($T53&lt;=0,"SEM VALOR",IF(AND($Y53&lt;&gt;"",$Q53&gt;$Y53),"ACIMA REF.","")))))</f>
        <v>SEM VALOR</v>
      </c>
      <c r="V53" s="4" t="str">
        <f ca="1">IF(OR($A53=0,$A53="S",$A53&gt;CFF!$A$9),"",MAX(V$12:OFFSET(V53,-1,0))+1)</f>
        <v/>
      </c>
      <c r="W53" s="9" t="str">
        <f>IF(AND($J53="Serviço",$M53&lt;&gt;""),IF($L53="",$M53,CONCATENATE($L53,"-",$M53)))</f>
        <v>SINAPI-102253</v>
      </c>
      <c r="X53" s="4" t="e">
        <f ca="1">IF(AND(Fonte&lt;&gt;"",Código&lt;&gt;""),MATCH(Fonte&amp;" "&amp;IF(Fonte="sinapi",SUBSTITUTE(SUBSTITUTE(Código,"/00","/"),"/0","/"),Código),INDIRECT("'[Referência "&amp;_xlnm.Database&amp;".xls]Banco'!$a:$a"),0),"X")</f>
        <v>#REF!</v>
      </c>
      <c r="Y53" s="121">
        <v>1011.8746</v>
      </c>
      <c r="Z53" s="132">
        <f ca="1">ROUND(IF(ISNUMBER(R53),R53,IF(LEFT(R53,3)="BDI",HLOOKUP(R53,DADOS!$T$37:$X$38,2,FALSE),0)),15-11*$X$5)</f>
        <v>0.21</v>
      </c>
      <c r="AA53" s="4"/>
    </row>
    <row r="54" spans="1:27" ht="25.5" x14ac:dyDescent="0.2">
      <c r="A54" t="str">
        <f>CHOOSE(1+LOG(1+2*(J54="Meta")+4*(J54="Nível 2")+8*(J54="Nível 3")+16*(J54="Nível 4")+32*(J54="Serviço"),2),0,1,2,3,4,"S")</f>
        <v>S</v>
      </c>
      <c r="B54">
        <f>IF(OR(A54="S",A54=0),0,IF(ISERROR(I54),H54,SMALL(H54:I54,1)))</f>
        <v>0</v>
      </c>
      <c r="C54">
        <f ca="1">IF($A54=1,OFFSET(C54,-1,0)+1,OFFSET(C54,-1,0))</f>
        <v>1</v>
      </c>
      <c r="D54">
        <f ca="1">IF($A54=1,0,IF($A54=2,OFFSET(D54,-1,0)+1,OFFSET(D54,-1,0)))</f>
        <v>5</v>
      </c>
      <c r="E54">
        <f ca="1">IF(AND($A54&lt;=2,$A54&lt;&gt;0),0,IF($A54=3,OFFSET(E54,-1,0)+1,OFFSET(E54,-1,0)))</f>
        <v>0</v>
      </c>
      <c r="F54">
        <f ca="1">IF(AND($A54&lt;=3,$A54&lt;&gt;0),0,IF($A54=4,OFFSET(F54,-1,0)+1,OFFSET(F54,-1,0)))</f>
        <v>0</v>
      </c>
      <c r="G54">
        <f ca="1">IF(AND($A54&lt;=4,$A54&lt;&gt;0),0,IF($A54="S",OFFSET(G54,-1,0)+1,OFFSET(G54,-1,0)))</f>
        <v>7</v>
      </c>
      <c r="H54">
        <f ca="1">IF(OR($A54="S",$A54=0),0,MATCH(0,OFFSET($B54,1,$A54,ROW($A$77)-ROW($A54)),0))</f>
        <v>0</v>
      </c>
      <c r="I54">
        <f ca="1">IF(OR($A54="S",$A54=0),0,MATCH(OFFSET($B54,0,$A54)+1,OFFSET($B54,1,$A54,ROW($A$77)-ROW($A54)),0))</f>
        <v>0</v>
      </c>
      <c r="J54" s="394" t="s">
        <v>103</v>
      </c>
      <c r="K54" s="162" t="str">
        <f ca="1">IF($A54=0,"-",CONCATENATE(C54&amp;".",IF(AND($A$5&gt;=2,$A54&gt;=2),D54&amp;".",""),IF(AND($A$5&gt;=3,$A54&gt;=3),E54&amp;".",""),IF(AND($A$5&gt;=4,$A54&gt;=4),F54&amp;".",""),IF($A54="S",G54&amp;".","")))</f>
        <v>1.5.7.</v>
      </c>
      <c r="L54" s="395" t="s">
        <v>244</v>
      </c>
      <c r="M54" s="395">
        <v>11795</v>
      </c>
      <c r="N54" s="396" t="s">
        <v>316</v>
      </c>
      <c r="O54" s="397" t="s">
        <v>245</v>
      </c>
      <c r="P54" s="225">
        <f ca="1">OFFSET(PLQ!$E$12,ROW($P54)-ROW(P$12),0)</f>
        <v>4.16</v>
      </c>
      <c r="Q54" s="229"/>
      <c r="R54" s="232" t="s">
        <v>7</v>
      </c>
      <c r="S54" s="121">
        <f>IF($A54="S",IF($Q$10="Preço Unitário (R$)",PO.CustoUnitario,ROUND(PO.CustoUnitario*(1+$Z54),15-13*$X$6)),0)</f>
        <v>0</v>
      </c>
      <c r="T54" s="98">
        <f ca="1">IF($A54="S",VTOTAL1,IF($A54=0,0,ROUND(SomaAgrup,15-13*$X$7)))</f>
        <v>0</v>
      </c>
      <c r="U54" s="13" t="str">
        <f ca="1">IF($J54="","",IF($N54="","DESCRIÇÃO",IF(AND($J54="Serviço",$O54=""),"UNIDADE",IF($T54&lt;=0,"SEM VALOR",IF(AND($Y54&lt;&gt;"",$Q54&gt;$Y54),"ACIMA REF.","")))))</f>
        <v>SEM VALOR</v>
      </c>
      <c r="V54" s="4" t="str">
        <f ca="1">IF(OR($A54=0,$A54="S",$A54&gt;CFF!$A$9),"",MAX(V$12:OFFSET(V54,-1,0))+1)</f>
        <v/>
      </c>
      <c r="W54" s="9" t="str">
        <f>IF(AND($J54="Serviço",$M54&lt;&gt;""),IF($L54="",$M54,CONCATENATE($L54,"-",$M54)))</f>
        <v>SINAPI-I-11795</v>
      </c>
      <c r="X54" s="4" t="e">
        <f ca="1">IF(AND(Fonte&lt;&gt;"",Código&lt;&gt;""),MATCH(Fonte&amp;" "&amp;IF(Fonte="sinapi",SUBSTITUTE(SUBSTITUTE(Código,"/00","/"),"/0","/"),Código),INDIRECT("'[Referência "&amp;_xlnm.Database&amp;".xls]Banco'!$a:$a"),0),"X")</f>
        <v>#REF!</v>
      </c>
      <c r="Y54" s="121">
        <v>744.25890000000004</v>
      </c>
      <c r="Z54" s="132">
        <f ca="1">ROUND(IF(ISNUMBER(R54),R54,IF(LEFT(R54,3)="BDI",HLOOKUP(R54,DADOS!$T$37:$X$38,2,FALSE),0)),15-11*$X$5)</f>
        <v>0.21</v>
      </c>
      <c r="AA54" s="4"/>
    </row>
    <row r="55" spans="1:27" ht="25.5" x14ac:dyDescent="0.2">
      <c r="A55" t="str">
        <f t="shared" si="0"/>
        <v>S</v>
      </c>
      <c r="B55">
        <f t="shared" si="1"/>
        <v>0</v>
      </c>
      <c r="C55">
        <f t="shared" ca="1" si="2"/>
        <v>1</v>
      </c>
      <c r="D55">
        <f t="shared" ca="1" si="3"/>
        <v>5</v>
      </c>
      <c r="E55">
        <f t="shared" ca="1" si="4"/>
        <v>0</v>
      </c>
      <c r="F55">
        <f t="shared" ca="1" si="5"/>
        <v>0</v>
      </c>
      <c r="G55">
        <f t="shared" ca="1" si="6"/>
        <v>8</v>
      </c>
      <c r="H55">
        <f t="shared" ca="1" si="15"/>
        <v>0</v>
      </c>
      <c r="I55">
        <f t="shared" ca="1" si="16"/>
        <v>0</v>
      </c>
      <c r="J55" s="394" t="s">
        <v>103</v>
      </c>
      <c r="K55" s="162" t="str">
        <f t="shared" ca="1" si="9"/>
        <v>1.5.8.</v>
      </c>
      <c r="L55" s="395" t="s">
        <v>232</v>
      </c>
      <c r="M55" s="395">
        <v>100868</v>
      </c>
      <c r="N55" s="396" t="s">
        <v>262</v>
      </c>
      <c r="O55" s="397" t="s">
        <v>242</v>
      </c>
      <c r="P55" s="225">
        <f ca="1">OFFSET(PLQ!$E$12,ROW($P55)-ROW(P$12),0)</f>
        <v>6</v>
      </c>
      <c r="Q55" s="229"/>
      <c r="R55" s="232" t="s">
        <v>7</v>
      </c>
      <c r="S55" s="121">
        <f t="shared" si="10"/>
        <v>0</v>
      </c>
      <c r="T55" s="98">
        <f t="shared" ca="1" si="11"/>
        <v>0</v>
      </c>
      <c r="U55" s="13" t="str">
        <f t="shared" ca="1" si="12"/>
        <v>SEM VALOR</v>
      </c>
      <c r="V55" s="4" t="str">
        <f ca="1">IF(OR($A55=0,$A55="S",$A55&gt;CFF!$A$9),"",MAX(V$12:OFFSET(V55,-1,0))+1)</f>
        <v/>
      </c>
      <c r="W55" s="9" t="str">
        <f t="shared" si="13"/>
        <v>SINAPI-100868</v>
      </c>
      <c r="X55" s="4" t="e">
        <f t="shared" ca="1" si="14"/>
        <v>#REF!</v>
      </c>
      <c r="Y55" s="121">
        <v>459.3886</v>
      </c>
      <c r="Z55" s="132">
        <f ca="1">ROUND(IF(ISNUMBER(R55),R55,IF(LEFT(R55,3)="BDI",HLOOKUP(R55,DADOS!$T$37:$X$38,2,FALSE),0)),15-11*$X$5)</f>
        <v>0.21</v>
      </c>
      <c r="AA55" s="4"/>
    </row>
    <row r="56" spans="1:27" ht="25.5" x14ac:dyDescent="0.2">
      <c r="A56" t="str">
        <f t="shared" si="0"/>
        <v>S</v>
      </c>
      <c r="B56">
        <f t="shared" si="1"/>
        <v>0</v>
      </c>
      <c r="C56">
        <f t="shared" ca="1" si="2"/>
        <v>1</v>
      </c>
      <c r="D56">
        <f t="shared" ca="1" si="3"/>
        <v>5</v>
      </c>
      <c r="E56">
        <f t="shared" ca="1" si="4"/>
        <v>0</v>
      </c>
      <c r="F56">
        <f t="shared" ca="1" si="5"/>
        <v>0</v>
      </c>
      <c r="G56">
        <f t="shared" ca="1" si="6"/>
        <v>9</v>
      </c>
      <c r="H56">
        <f t="shared" ca="1" si="15"/>
        <v>0</v>
      </c>
      <c r="I56">
        <f t="shared" ca="1" si="16"/>
        <v>0</v>
      </c>
      <c r="J56" s="394" t="s">
        <v>103</v>
      </c>
      <c r="K56" s="162" t="str">
        <f t="shared" ca="1" si="9"/>
        <v>1.5.9.</v>
      </c>
      <c r="L56" s="395" t="s">
        <v>232</v>
      </c>
      <c r="M56" s="395">
        <v>100866</v>
      </c>
      <c r="N56" s="396" t="s">
        <v>263</v>
      </c>
      <c r="O56" s="397" t="s">
        <v>242</v>
      </c>
      <c r="P56" s="225">
        <f ca="1">OFFSET(PLQ!$E$12,ROW($P56)-ROW(P$12),0)</f>
        <v>4</v>
      </c>
      <c r="Q56" s="229"/>
      <c r="R56" s="232" t="s">
        <v>7</v>
      </c>
      <c r="S56" s="121">
        <f t="shared" si="10"/>
        <v>0</v>
      </c>
      <c r="T56" s="98">
        <f t="shared" ca="1" si="11"/>
        <v>0</v>
      </c>
      <c r="U56" s="13" t="str">
        <f t="shared" ca="1" si="12"/>
        <v>SEM VALOR</v>
      </c>
      <c r="V56" s="4" t="str">
        <f ca="1">IF(OR($A56=0,$A56="S",$A56&gt;CFF!$A$9),"",MAX(V$12:OFFSET(V56,-1,0))+1)</f>
        <v/>
      </c>
      <c r="W56" s="9" t="str">
        <f t="shared" si="13"/>
        <v>SINAPI-100866</v>
      </c>
      <c r="X56" s="4" t="e">
        <f t="shared" ca="1" si="14"/>
        <v>#REF!</v>
      </c>
      <c r="Y56" s="121">
        <v>420.5718</v>
      </c>
      <c r="Z56" s="132">
        <f ca="1">ROUND(IF(ISNUMBER(R56),R56,IF(LEFT(R56,3)="BDI",HLOOKUP(R56,DADOS!$T$37:$X$38,2,FALSE),0)),15-11*$X$5)</f>
        <v>0.21</v>
      </c>
      <c r="AA56" s="4"/>
    </row>
    <row r="57" spans="1:27" x14ac:dyDescent="0.2">
      <c r="A57" t="str">
        <f t="shared" si="0"/>
        <v>S</v>
      </c>
      <c r="B57">
        <f t="shared" si="1"/>
        <v>0</v>
      </c>
      <c r="C57">
        <f t="shared" ca="1" si="2"/>
        <v>1</v>
      </c>
      <c r="D57">
        <f t="shared" ca="1" si="3"/>
        <v>5</v>
      </c>
      <c r="E57">
        <f t="shared" ca="1" si="4"/>
        <v>0</v>
      </c>
      <c r="F57">
        <f t="shared" ca="1" si="5"/>
        <v>0</v>
      </c>
      <c r="G57">
        <f t="shared" ca="1" si="6"/>
        <v>10</v>
      </c>
      <c r="H57">
        <f t="shared" ca="1" si="15"/>
        <v>0</v>
      </c>
      <c r="I57">
        <f t="shared" ca="1" si="16"/>
        <v>0</v>
      </c>
      <c r="J57" s="394" t="s">
        <v>103</v>
      </c>
      <c r="K57" s="162" t="str">
        <f t="shared" ca="1" si="9"/>
        <v>1.5.10.</v>
      </c>
      <c r="L57" s="395" t="s">
        <v>244</v>
      </c>
      <c r="M57" s="395" t="s">
        <v>264</v>
      </c>
      <c r="N57" s="396" t="s">
        <v>265</v>
      </c>
      <c r="O57" s="397" t="s">
        <v>259</v>
      </c>
      <c r="P57" s="225">
        <f ca="1">OFFSET(PLQ!$E$12,ROW($P57)-ROW(P$12),0)</f>
        <v>2</v>
      </c>
      <c r="Q57" s="229"/>
      <c r="R57" s="232" t="s">
        <v>7</v>
      </c>
      <c r="S57" s="121">
        <f t="shared" si="10"/>
        <v>0</v>
      </c>
      <c r="T57" s="98">
        <f t="shared" ca="1" si="11"/>
        <v>0</v>
      </c>
      <c r="U57" s="13" t="str">
        <f t="shared" ca="1" si="12"/>
        <v>SEM VALOR</v>
      </c>
      <c r="V57" s="4" t="str">
        <f ca="1">IF(OR($A57=0,$A57="S",$A57&gt;CFF!$A$9),"",MAX(V$12:OFFSET(V57,-1,0))+1)</f>
        <v/>
      </c>
      <c r="W57" s="9" t="str">
        <f t="shared" si="13"/>
        <v>SINAPI-I-37401</v>
      </c>
      <c r="X57" s="4" t="e">
        <f t="shared" ca="1" si="14"/>
        <v>#REF!</v>
      </c>
      <c r="Y57" s="121">
        <v>62.859499999999997</v>
      </c>
      <c r="Z57" s="132">
        <f ca="1">ROUND(IF(ISNUMBER(R57),R57,IF(LEFT(R57,3)="BDI",HLOOKUP(R57,DADOS!$T$37:$X$38,2,FALSE),0)),15-11*$X$5)</f>
        <v>0.21</v>
      </c>
      <c r="AA57" s="4"/>
    </row>
    <row r="58" spans="1:27" ht="25.5" x14ac:dyDescent="0.2">
      <c r="A58" t="str">
        <f t="shared" si="0"/>
        <v>S</v>
      </c>
      <c r="B58">
        <f t="shared" si="1"/>
        <v>0</v>
      </c>
      <c r="C58">
        <f t="shared" ca="1" si="2"/>
        <v>1</v>
      </c>
      <c r="D58">
        <f t="shared" ca="1" si="3"/>
        <v>5</v>
      </c>
      <c r="E58">
        <f t="shared" ca="1" si="4"/>
        <v>0</v>
      </c>
      <c r="F58">
        <f t="shared" ca="1" si="5"/>
        <v>0</v>
      </c>
      <c r="G58">
        <f t="shared" ca="1" si="6"/>
        <v>11</v>
      </c>
      <c r="H58">
        <f t="shared" ca="1" si="15"/>
        <v>0</v>
      </c>
      <c r="I58">
        <f t="shared" ca="1" si="16"/>
        <v>0</v>
      </c>
      <c r="J58" s="394" t="s">
        <v>103</v>
      </c>
      <c r="K58" s="162" t="str">
        <f t="shared" ca="1" si="9"/>
        <v>1.5.11.</v>
      </c>
      <c r="L58" s="395" t="s">
        <v>232</v>
      </c>
      <c r="M58" s="395" t="s">
        <v>266</v>
      </c>
      <c r="N58" s="396" t="s">
        <v>291</v>
      </c>
      <c r="O58" s="397" t="s">
        <v>242</v>
      </c>
      <c r="P58" s="225">
        <f ca="1">OFFSET(PLQ!$E$12,ROW($P58)-ROW(P$12),0)</f>
        <v>2</v>
      </c>
      <c r="Q58" s="229"/>
      <c r="R58" s="232" t="s">
        <v>7</v>
      </c>
      <c r="S58" s="121">
        <f t="shared" si="10"/>
        <v>0</v>
      </c>
      <c r="T58" s="98">
        <f t="shared" ca="1" si="11"/>
        <v>0</v>
      </c>
      <c r="U58" s="13" t="str">
        <f t="shared" ca="1" si="12"/>
        <v>SEM VALOR</v>
      </c>
      <c r="V58" s="4" t="str">
        <f ca="1">IF(OR($A58=0,$A58="S",$A58&gt;CFF!$A$9),"",MAX(V$12:OFFSET(V58,-1,0))+1)</f>
        <v/>
      </c>
      <c r="W58" s="9" t="str">
        <f t="shared" si="13"/>
        <v>SINAPI-95547</v>
      </c>
      <c r="X58" s="4" t="e">
        <f t="shared" ca="1" si="14"/>
        <v>#REF!</v>
      </c>
      <c r="Y58" s="121">
        <v>75.128900000000002</v>
      </c>
      <c r="Z58" s="132">
        <f ca="1">ROUND(IF(ISNUMBER(R58),R58,IF(LEFT(R58,3)="BDI",HLOOKUP(R58,DADOS!$T$37:$X$38,2,FALSE),0)),15-11*$X$5)</f>
        <v>0.21</v>
      </c>
      <c r="AA58" s="4"/>
    </row>
    <row r="59" spans="1:27" x14ac:dyDescent="0.2">
      <c r="A59" t="str">
        <f t="shared" si="0"/>
        <v>S</v>
      </c>
      <c r="B59">
        <f t="shared" si="1"/>
        <v>0</v>
      </c>
      <c r="C59">
        <f t="shared" ca="1" si="2"/>
        <v>1</v>
      </c>
      <c r="D59">
        <f t="shared" ca="1" si="3"/>
        <v>5</v>
      </c>
      <c r="E59">
        <f t="shared" ca="1" si="4"/>
        <v>0</v>
      </c>
      <c r="F59">
        <f t="shared" ca="1" si="5"/>
        <v>0</v>
      </c>
      <c r="G59">
        <f t="shared" ca="1" si="6"/>
        <v>12</v>
      </c>
      <c r="H59">
        <f t="shared" ca="1" si="15"/>
        <v>0</v>
      </c>
      <c r="I59">
        <f t="shared" ca="1" si="16"/>
        <v>0</v>
      </c>
      <c r="J59" s="394" t="s">
        <v>103</v>
      </c>
      <c r="K59" s="162" t="str">
        <f t="shared" ca="1" si="9"/>
        <v>1.5.12.</v>
      </c>
      <c r="L59" s="395" t="s">
        <v>244</v>
      </c>
      <c r="M59" s="395" t="s">
        <v>267</v>
      </c>
      <c r="N59" s="396" t="s">
        <v>268</v>
      </c>
      <c r="O59" s="397" t="s">
        <v>259</v>
      </c>
      <c r="P59" s="225">
        <f ca="1">OFFSET(PLQ!$E$12,ROW($P59)-ROW(P$12),0)</f>
        <v>2</v>
      </c>
      <c r="Q59" s="229"/>
      <c r="R59" s="232" t="s">
        <v>7</v>
      </c>
      <c r="S59" s="121">
        <f t="shared" si="10"/>
        <v>0</v>
      </c>
      <c r="T59" s="98">
        <f t="shared" ca="1" si="11"/>
        <v>0</v>
      </c>
      <c r="U59" s="13" t="str">
        <f t="shared" ca="1" si="12"/>
        <v>SEM VALOR</v>
      </c>
      <c r="V59" s="4" t="str">
        <f ca="1">IF(OR($A59=0,$A59="S",$A59&gt;CFF!$A$9),"",MAX(V$12:OFFSET(V59,-1,0))+1)</f>
        <v/>
      </c>
      <c r="W59" s="9" t="str">
        <f t="shared" si="13"/>
        <v>SINAPI-I-37400</v>
      </c>
      <c r="X59" s="4" t="e">
        <f t="shared" ca="1" si="14"/>
        <v>#REF!</v>
      </c>
      <c r="Y59" s="121">
        <v>62.859499999999997</v>
      </c>
      <c r="Z59" s="132">
        <f ca="1">ROUND(IF(ISNUMBER(R59),R59,IF(LEFT(R59,3)="BDI",HLOOKUP(R59,DADOS!$T$37:$X$38,2,FALSE),0)),15-11*$X$5)</f>
        <v>0.21</v>
      </c>
      <c r="AA59" s="4"/>
    </row>
    <row r="60" spans="1:27" ht="25.5" x14ac:dyDescent="0.2">
      <c r="A60" t="str">
        <f t="shared" si="0"/>
        <v>S</v>
      </c>
      <c r="B60">
        <f t="shared" si="1"/>
        <v>0</v>
      </c>
      <c r="C60">
        <f t="shared" ca="1" si="2"/>
        <v>1</v>
      </c>
      <c r="D60">
        <f t="shared" ca="1" si="3"/>
        <v>5</v>
      </c>
      <c r="E60">
        <f t="shared" ca="1" si="4"/>
        <v>0</v>
      </c>
      <c r="F60">
        <f t="shared" ca="1" si="5"/>
        <v>0</v>
      </c>
      <c r="G60">
        <f t="shared" ca="1" si="6"/>
        <v>13</v>
      </c>
      <c r="H60">
        <f t="shared" ca="1" si="15"/>
        <v>0</v>
      </c>
      <c r="I60">
        <f t="shared" ca="1" si="16"/>
        <v>0</v>
      </c>
      <c r="J60" s="394" t="s">
        <v>103</v>
      </c>
      <c r="K60" s="162" t="str">
        <f t="shared" ca="1" si="9"/>
        <v>1.5.13.</v>
      </c>
      <c r="L60" s="395" t="s">
        <v>244</v>
      </c>
      <c r="M60" s="395" t="s">
        <v>269</v>
      </c>
      <c r="N60" s="396" t="s">
        <v>292</v>
      </c>
      <c r="O60" s="397" t="s">
        <v>259</v>
      </c>
      <c r="P60" s="225">
        <f ca="1">OFFSET(PLQ!$E$12,ROW($P60)-ROW(P$12),0)</f>
        <v>2</v>
      </c>
      <c r="Q60" s="229"/>
      <c r="R60" s="232" t="s">
        <v>7</v>
      </c>
      <c r="S60" s="121">
        <f t="shared" si="10"/>
        <v>0</v>
      </c>
      <c r="T60" s="98">
        <f t="shared" ca="1" si="11"/>
        <v>0</v>
      </c>
      <c r="U60" s="13" t="str">
        <f t="shared" ca="1" si="12"/>
        <v>SEM VALOR</v>
      </c>
      <c r="V60" s="4" t="str">
        <f ca="1">IF(OR($A60=0,$A60="S",$A60&gt;CFF!$A$9),"",MAX(V$12:OFFSET(V60,-1,0))+1)</f>
        <v/>
      </c>
      <c r="W60" s="9" t="str">
        <f t="shared" si="13"/>
        <v>SINAPI-I-36792</v>
      </c>
      <c r="X60" s="4" t="e">
        <f t="shared" ca="1" si="14"/>
        <v>#REF!</v>
      </c>
      <c r="Y60" s="121">
        <v>268.20859999999999</v>
      </c>
      <c r="Z60" s="132">
        <f ca="1">ROUND(IF(ISNUMBER(R60),R60,IF(LEFT(R60,3)="BDI",HLOOKUP(R60,DADOS!$T$37:$X$38,2,FALSE),0)),15-11*$X$5)</f>
        <v>0.21</v>
      </c>
      <c r="AA60" s="4"/>
    </row>
    <row r="61" spans="1:27" x14ac:dyDescent="0.2">
      <c r="A61" t="str">
        <f t="shared" si="0"/>
        <v>S</v>
      </c>
      <c r="B61">
        <f t="shared" si="1"/>
        <v>0</v>
      </c>
      <c r="C61">
        <f t="shared" ca="1" si="2"/>
        <v>1</v>
      </c>
      <c r="D61">
        <f t="shared" ca="1" si="3"/>
        <v>5</v>
      </c>
      <c r="E61">
        <f t="shared" ca="1" si="4"/>
        <v>0</v>
      </c>
      <c r="F61">
        <f t="shared" ca="1" si="5"/>
        <v>0</v>
      </c>
      <c r="G61">
        <f t="shared" ca="1" si="6"/>
        <v>14</v>
      </c>
      <c r="H61">
        <f t="shared" ca="1" si="15"/>
        <v>0</v>
      </c>
      <c r="I61">
        <f t="shared" ca="1" si="16"/>
        <v>0</v>
      </c>
      <c r="J61" s="394" t="s">
        <v>103</v>
      </c>
      <c r="K61" s="162" t="str">
        <f t="shared" ca="1" si="9"/>
        <v>1.5.14.</v>
      </c>
      <c r="L61" s="395" t="s">
        <v>244</v>
      </c>
      <c r="M61" s="395" t="s">
        <v>270</v>
      </c>
      <c r="N61" s="396" t="s">
        <v>271</v>
      </c>
      <c r="O61" s="397" t="s">
        <v>259</v>
      </c>
      <c r="P61" s="225">
        <f ca="1">OFFSET(PLQ!$E$12,ROW($P61)-ROW(P$12),0)</f>
        <v>2</v>
      </c>
      <c r="Q61" s="229"/>
      <c r="R61" s="232" t="s">
        <v>7</v>
      </c>
      <c r="S61" s="121">
        <f t="shared" si="10"/>
        <v>0</v>
      </c>
      <c r="T61" s="98">
        <f t="shared" ca="1" si="11"/>
        <v>0</v>
      </c>
      <c r="U61" s="13" t="str">
        <f t="shared" ca="1" si="12"/>
        <v>SEM VALOR</v>
      </c>
      <c r="V61" s="4" t="str">
        <f ca="1">IF(OR($A61=0,$A61="S",$A61&gt;CFF!$A$9),"",MAX(V$12:OFFSET(V61,-1,0))+1)</f>
        <v/>
      </c>
      <c r="W61" s="9" t="str">
        <f t="shared" si="13"/>
        <v>SINAPI-I-12114</v>
      </c>
      <c r="X61" s="4" t="e">
        <f t="shared" ca="1" si="14"/>
        <v>#REF!</v>
      </c>
      <c r="Y61" s="121">
        <v>175.2201</v>
      </c>
      <c r="Z61" s="132">
        <f ca="1">ROUND(IF(ISNUMBER(R61),R61,IF(LEFT(R61,3)="BDI",HLOOKUP(R61,DADOS!$T$37:$X$38,2,FALSE),0)),15-11*$X$5)</f>
        <v>0.21</v>
      </c>
      <c r="AA61" s="4"/>
    </row>
    <row r="62" spans="1:27" x14ac:dyDescent="0.2">
      <c r="A62">
        <f t="shared" si="0"/>
        <v>2</v>
      </c>
      <c r="B62">
        <f t="shared" ca="1" si="1"/>
        <v>7</v>
      </c>
      <c r="C62">
        <f t="shared" ca="1" si="2"/>
        <v>1</v>
      </c>
      <c r="D62">
        <f t="shared" ca="1" si="3"/>
        <v>6</v>
      </c>
      <c r="E62">
        <f t="shared" ca="1" si="4"/>
        <v>0</v>
      </c>
      <c r="F62">
        <f t="shared" ca="1" si="5"/>
        <v>0</v>
      </c>
      <c r="G62">
        <f t="shared" ca="1" si="6"/>
        <v>0</v>
      </c>
      <c r="H62">
        <f t="shared" ca="1" si="15"/>
        <v>15</v>
      </c>
      <c r="I62">
        <f t="shared" ca="1" si="16"/>
        <v>7</v>
      </c>
      <c r="J62" s="394" t="s">
        <v>100</v>
      </c>
      <c r="K62" s="162" t="str">
        <f t="shared" ca="1" si="9"/>
        <v>1.6.</v>
      </c>
      <c r="L62" s="395"/>
      <c r="M62" s="395"/>
      <c r="N62" s="396" t="s">
        <v>272</v>
      </c>
      <c r="O62" s="397" t="s">
        <v>106</v>
      </c>
      <c r="P62" s="225">
        <f ca="1">OFFSET(PLQ!$E$12,ROW($P62)-ROW(P$12),0)</f>
        <v>0</v>
      </c>
      <c r="Q62" s="229"/>
      <c r="R62" s="232" t="s">
        <v>7</v>
      </c>
      <c r="S62" s="121">
        <f t="shared" si="10"/>
        <v>0</v>
      </c>
      <c r="T62" s="98">
        <f t="shared" ca="1" si="11"/>
        <v>0</v>
      </c>
      <c r="U62" s="13" t="str">
        <f t="shared" ca="1" si="12"/>
        <v>SEM VALOR</v>
      </c>
      <c r="V62" s="4">
        <f ca="1">IF(OR($A62=0,$A62="S",$A62&gt;CFF!$A$9),"",MAX(V$12:OFFSET(V62,-1,0))+1)</f>
        <v>7</v>
      </c>
      <c r="W62" s="9" t="b">
        <f t="shared" si="13"/>
        <v>0</v>
      </c>
      <c r="X62" s="4" t="str">
        <f t="shared" ca="1" si="14"/>
        <v>X</v>
      </c>
      <c r="Y62" s="121">
        <v>0</v>
      </c>
      <c r="Z62" s="132">
        <f ca="1">ROUND(IF(ISNUMBER(R62),R62,IF(LEFT(R62,3)="BDI",HLOOKUP(R62,DADOS!$T$37:$X$38,2,FALSE),0)),15-11*$X$5)</f>
        <v>0.21</v>
      </c>
      <c r="AA62" s="4"/>
    </row>
    <row r="63" spans="1:27" x14ac:dyDescent="0.2">
      <c r="A63" t="str">
        <f t="shared" si="0"/>
        <v>S</v>
      </c>
      <c r="B63">
        <f t="shared" si="1"/>
        <v>0</v>
      </c>
      <c r="C63">
        <f t="shared" ca="1" si="2"/>
        <v>1</v>
      </c>
      <c r="D63">
        <f t="shared" ca="1" si="3"/>
        <v>6</v>
      </c>
      <c r="E63">
        <f t="shared" ca="1" si="4"/>
        <v>0</v>
      </c>
      <c r="F63">
        <f t="shared" ca="1" si="5"/>
        <v>0</v>
      </c>
      <c r="G63">
        <f t="shared" ca="1" si="6"/>
        <v>1</v>
      </c>
      <c r="H63">
        <f t="shared" ca="1" si="15"/>
        <v>0</v>
      </c>
      <c r="I63">
        <f t="shared" ca="1" si="16"/>
        <v>0</v>
      </c>
      <c r="J63" s="394" t="s">
        <v>103</v>
      </c>
      <c r="K63" s="162" t="str">
        <f t="shared" ca="1" si="9"/>
        <v>1.6.1.</v>
      </c>
      <c r="L63" s="395" t="s">
        <v>232</v>
      </c>
      <c r="M63" s="395">
        <v>93667</v>
      </c>
      <c r="N63" s="396" t="s">
        <v>273</v>
      </c>
      <c r="O63" s="397" t="s">
        <v>242</v>
      </c>
      <c r="P63" s="225">
        <f ca="1">OFFSET(PLQ!$E$12,ROW($P63)-ROW(P$12),0)</f>
        <v>16</v>
      </c>
      <c r="Q63" s="229"/>
      <c r="R63" s="232" t="s">
        <v>7</v>
      </c>
      <c r="S63" s="121">
        <f t="shared" si="10"/>
        <v>0</v>
      </c>
      <c r="T63" s="98">
        <f t="shared" ca="1" si="11"/>
        <v>0</v>
      </c>
      <c r="U63" s="13" t="str">
        <f t="shared" ca="1" si="12"/>
        <v>SEM VALOR</v>
      </c>
      <c r="V63" s="4" t="str">
        <f ca="1">IF(OR($A63=0,$A63="S",$A63&gt;CFF!$A$9),"",MAX(V$12:OFFSET(V63,-1,0))+1)</f>
        <v/>
      </c>
      <c r="W63" s="9" t="str">
        <f t="shared" si="13"/>
        <v>SINAPI-93667</v>
      </c>
      <c r="X63" s="4" t="e">
        <f t="shared" ca="1" si="14"/>
        <v>#REF!</v>
      </c>
      <c r="Y63" s="121">
        <v>81.747600000000006</v>
      </c>
      <c r="Z63" s="132">
        <f ca="1">ROUND(IF(ISNUMBER(R63),R63,IF(LEFT(R63,3)="BDI",HLOOKUP(R63,DADOS!$T$37:$X$38,2,FALSE),0)),15-11*$X$5)</f>
        <v>0.21</v>
      </c>
      <c r="AA63" s="4"/>
    </row>
    <row r="64" spans="1:27" ht="38.25" x14ac:dyDescent="0.2">
      <c r="A64" t="str">
        <f t="shared" si="0"/>
        <v>S</v>
      </c>
      <c r="B64">
        <f t="shared" si="1"/>
        <v>0</v>
      </c>
      <c r="C64">
        <f t="shared" ca="1" si="2"/>
        <v>1</v>
      </c>
      <c r="D64">
        <f t="shared" ca="1" si="3"/>
        <v>6</v>
      </c>
      <c r="E64">
        <f t="shared" ca="1" si="4"/>
        <v>0</v>
      </c>
      <c r="F64">
        <f t="shared" ca="1" si="5"/>
        <v>0</v>
      </c>
      <c r="G64">
        <f t="shared" ca="1" si="6"/>
        <v>2</v>
      </c>
      <c r="H64">
        <f t="shared" ca="1" si="15"/>
        <v>0</v>
      </c>
      <c r="I64">
        <f t="shared" ca="1" si="16"/>
        <v>0</v>
      </c>
      <c r="J64" s="394" t="s">
        <v>103</v>
      </c>
      <c r="K64" s="162" t="str">
        <f t="shared" ca="1" si="9"/>
        <v>1.6.2.</v>
      </c>
      <c r="L64" s="395" t="s">
        <v>232</v>
      </c>
      <c r="M64" s="395">
        <v>104474</v>
      </c>
      <c r="N64" s="396" t="s">
        <v>312</v>
      </c>
      <c r="O64" s="397" t="s">
        <v>242</v>
      </c>
      <c r="P64" s="225">
        <f ca="1">OFFSET(PLQ!$E$12,ROW($P64)-ROW(P$12),0)</f>
        <v>20</v>
      </c>
      <c r="Q64" s="229"/>
      <c r="R64" s="232" t="s">
        <v>7</v>
      </c>
      <c r="S64" s="121">
        <f t="shared" si="10"/>
        <v>0</v>
      </c>
      <c r="T64" s="98">
        <f t="shared" ca="1" si="11"/>
        <v>0</v>
      </c>
      <c r="U64" s="13" t="str">
        <f t="shared" ca="1" si="12"/>
        <v>SEM VALOR</v>
      </c>
      <c r="V64" s="4" t="str">
        <f ca="1">IF(OR($A64=0,$A64="S",$A64&gt;CFF!$A$9),"",MAX(V$12:OFFSET(V64,-1,0))+1)</f>
        <v/>
      </c>
      <c r="W64" s="9" t="str">
        <f t="shared" si="13"/>
        <v>SINAPI-104474</v>
      </c>
      <c r="X64" s="4" t="e">
        <f t="shared" ca="1" si="14"/>
        <v>#REF!</v>
      </c>
      <c r="Y64" s="121">
        <v>474.04169999999999</v>
      </c>
      <c r="Z64" s="132">
        <f ca="1">ROUND(IF(ISNUMBER(R64),R64,IF(LEFT(R64,3)="BDI",HLOOKUP(R64,DADOS!$T$37:$X$38,2,FALSE),0)),15-11*$X$5)</f>
        <v>0.21</v>
      </c>
      <c r="AA64" s="4"/>
    </row>
    <row r="65" spans="1:27" ht="25.5" x14ac:dyDescent="0.2">
      <c r="A65" t="str">
        <f t="shared" si="0"/>
        <v>S</v>
      </c>
      <c r="B65">
        <f t="shared" si="1"/>
        <v>0</v>
      </c>
      <c r="C65">
        <f t="shared" ca="1" si="2"/>
        <v>1</v>
      </c>
      <c r="D65">
        <f t="shared" ca="1" si="3"/>
        <v>6</v>
      </c>
      <c r="E65">
        <f t="shared" ca="1" si="4"/>
        <v>0</v>
      </c>
      <c r="F65">
        <f t="shared" ca="1" si="5"/>
        <v>0</v>
      </c>
      <c r="G65">
        <f t="shared" ca="1" si="6"/>
        <v>3</v>
      </c>
      <c r="H65">
        <f t="shared" ca="1" si="15"/>
        <v>0</v>
      </c>
      <c r="I65">
        <f t="shared" ca="1" si="16"/>
        <v>0</v>
      </c>
      <c r="J65" s="394" t="s">
        <v>103</v>
      </c>
      <c r="K65" s="162" t="str">
        <f t="shared" ca="1" si="9"/>
        <v>1.6.3.</v>
      </c>
      <c r="L65" s="395" t="s">
        <v>244</v>
      </c>
      <c r="M65" s="395">
        <v>39805</v>
      </c>
      <c r="N65" s="396" t="s">
        <v>305</v>
      </c>
      <c r="O65" s="397" t="s">
        <v>259</v>
      </c>
      <c r="P65" s="225">
        <f ca="1">OFFSET(PLQ!$E$12,ROW($P65)-ROW(P$12),0)</f>
        <v>1</v>
      </c>
      <c r="Q65" s="229"/>
      <c r="R65" s="232" t="s">
        <v>7</v>
      </c>
      <c r="S65" s="121">
        <f t="shared" si="10"/>
        <v>0</v>
      </c>
      <c r="T65" s="98">
        <f t="shared" ca="1" si="11"/>
        <v>0</v>
      </c>
      <c r="U65" s="13" t="str">
        <f t="shared" ca="1" si="12"/>
        <v>SEM VALOR</v>
      </c>
      <c r="V65" s="4" t="str">
        <f ca="1">IF(OR($A65=0,$A65="S",$A65&gt;CFF!$A$9),"",MAX(V$12:OFFSET(V65,-1,0))+1)</f>
        <v/>
      </c>
      <c r="W65" s="9" t="str">
        <f t="shared" si="13"/>
        <v>SINAPI-I-39805</v>
      </c>
      <c r="X65" s="4" t="e">
        <f t="shared" ca="1" si="14"/>
        <v>#REF!</v>
      </c>
      <c r="Y65" s="121">
        <v>205.40960000000001</v>
      </c>
      <c r="Z65" s="132">
        <f ca="1">ROUND(IF(ISNUMBER(R65),R65,IF(LEFT(R65,3)="BDI",HLOOKUP(R65,DADOS!$T$37:$X$38,2,FALSE),0)),15-11*$X$5)</f>
        <v>0.21</v>
      </c>
      <c r="AA65" s="4"/>
    </row>
    <row r="66" spans="1:27" ht="25.5" x14ac:dyDescent="0.2">
      <c r="A66" t="str">
        <f>CHOOSE(1+LOG(1+2*(J66="Meta")+4*(J66="Nível 2")+8*(J66="Nível 3")+16*(J66="Nível 4")+32*(J66="Serviço"),2),0,1,2,3,4,"S")</f>
        <v>S</v>
      </c>
      <c r="B66">
        <f>IF(OR(A66="S",A66=0),0,IF(ISERROR(I66),H66,SMALL(H66:I66,1)))</f>
        <v>0</v>
      </c>
      <c r="C66">
        <f ca="1">IF($A66=1,OFFSET(C66,-1,0)+1,OFFSET(C66,-1,0))</f>
        <v>1</v>
      </c>
      <c r="D66">
        <f ca="1">IF($A66=1,0,IF($A66=2,OFFSET(D66,-1,0)+1,OFFSET(D66,-1,0)))</f>
        <v>6</v>
      </c>
      <c r="E66">
        <f ca="1">IF(AND($A66&lt;=2,$A66&lt;&gt;0),0,IF($A66=3,OFFSET(E66,-1,0)+1,OFFSET(E66,-1,0)))</f>
        <v>0</v>
      </c>
      <c r="F66">
        <f ca="1">IF(AND($A66&lt;=3,$A66&lt;&gt;0),0,IF($A66=4,OFFSET(F66,-1,0)+1,OFFSET(F66,-1,0)))</f>
        <v>0</v>
      </c>
      <c r="G66">
        <f ca="1">IF(AND($A66&lt;=4,$A66&lt;&gt;0),0,IF($A66="S",OFFSET(G66,-1,0)+1,OFFSET(G66,-1,0)))</f>
        <v>4</v>
      </c>
      <c r="H66">
        <f t="shared" ca="1" si="15"/>
        <v>0</v>
      </c>
      <c r="I66">
        <f t="shared" ca="1" si="16"/>
        <v>0</v>
      </c>
      <c r="J66" s="394" t="s">
        <v>103</v>
      </c>
      <c r="K66" s="162" t="str">
        <f ca="1">IF($A66=0,"-",CONCATENATE(C66&amp;".",IF(AND($A$5&gt;=2,$A66&gt;=2),D66&amp;".",""),IF(AND($A$5&gt;=3,$A66&gt;=3),E66&amp;".",""),IF(AND($A$5&gt;=4,$A66&gt;=4),F66&amp;".",""),IF($A66="S",G66&amp;".","")))</f>
        <v>1.6.4.</v>
      </c>
      <c r="L66" s="395" t="s">
        <v>232</v>
      </c>
      <c r="M66" s="395">
        <v>91863</v>
      </c>
      <c r="N66" s="396" t="s">
        <v>296</v>
      </c>
      <c r="O66" s="397" t="s">
        <v>243</v>
      </c>
      <c r="P66" s="225">
        <f ca="1">OFFSET(PLQ!$E$12,ROW($P66)-ROW(P$12),0)</f>
        <v>60</v>
      </c>
      <c r="Q66" s="229"/>
      <c r="R66" s="232" t="s">
        <v>7</v>
      </c>
      <c r="S66" s="121">
        <f>IF($A66="S",IF($Q$10="Preço Unitário (R$)",PO.CustoUnitario,ROUND(PO.CustoUnitario*(1+$Z66),15-13*$X$6)),0)</f>
        <v>0</v>
      </c>
      <c r="T66" s="98">
        <f ca="1">IF($A66="S",VTOTAL1,IF($A66=0,0,ROUND(SomaAgrup,15-13*$X$7)))</f>
        <v>0</v>
      </c>
      <c r="U66" s="13" t="str">
        <f ca="1">IF($J66="","",IF($N66="","DESCRIÇÃO",IF(AND($J66="Serviço",$O66=""),"UNIDADE",IF($T66&lt;=0,"SEM VALOR",IF(AND($Y66&lt;&gt;"",$Q66&gt;$Y66),"ACIMA REF.","")))))</f>
        <v>SEM VALOR</v>
      </c>
      <c r="V66" s="4" t="str">
        <f ca="1">IF(OR($A66=0,$A66="S",$A66&gt;CFF!$A$9),"",MAX(V$12:OFFSET(V66,-1,0))+1)</f>
        <v/>
      </c>
      <c r="W66" s="9" t="str">
        <f>IF(AND($J66="Serviço",$M66&lt;&gt;""),IF($L66="",$M66,CONCATENATE($L66,"-",$M66)))</f>
        <v>SINAPI-91863</v>
      </c>
      <c r="X66" s="4" t="e">
        <f ca="1">IF(AND(Fonte&lt;&gt;"",Código&lt;&gt;""),MATCH(Fonte&amp;" "&amp;IF(Fonte="sinapi",SUBSTITUTE(SUBSTITUTE(Código,"/00","/"),"/0","/"),Código),INDIRECT("'[Referência "&amp;_xlnm.Database&amp;".xls]Banco'!$a:$a"),0),"X")</f>
        <v>#REF!</v>
      </c>
      <c r="Y66" s="121">
        <v>14.5563</v>
      </c>
      <c r="Z66" s="132">
        <f ca="1">ROUND(IF(ISNUMBER(R66),R66,IF(LEFT(R66,3)="BDI",HLOOKUP(R66,DADOS!$T$37:$X$38,2,FALSE),0)),15-11*$X$5)</f>
        <v>0.21</v>
      </c>
      <c r="AA66" s="4"/>
    </row>
    <row r="67" spans="1:27" ht="25.5" x14ac:dyDescent="0.2">
      <c r="A67" t="str">
        <f t="shared" si="0"/>
        <v>S</v>
      </c>
      <c r="B67">
        <f t="shared" si="1"/>
        <v>0</v>
      </c>
      <c r="C67">
        <f t="shared" ca="1" si="2"/>
        <v>1</v>
      </c>
      <c r="D67">
        <f t="shared" ca="1" si="3"/>
        <v>6</v>
      </c>
      <c r="E67">
        <f t="shared" ca="1" si="4"/>
        <v>0</v>
      </c>
      <c r="F67">
        <f t="shared" ca="1" si="5"/>
        <v>0</v>
      </c>
      <c r="G67">
        <f t="shared" ca="1" si="6"/>
        <v>5</v>
      </c>
      <c r="H67">
        <f t="shared" ca="1" si="15"/>
        <v>0</v>
      </c>
      <c r="I67">
        <f t="shared" ca="1" si="16"/>
        <v>0</v>
      </c>
      <c r="J67" s="394" t="s">
        <v>103</v>
      </c>
      <c r="K67" s="162" t="str">
        <f t="shared" ca="1" si="9"/>
        <v>1.6.5.</v>
      </c>
      <c r="L67" s="395" t="s">
        <v>232</v>
      </c>
      <c r="M67" s="395">
        <v>101562</v>
      </c>
      <c r="N67" s="396" t="s">
        <v>293</v>
      </c>
      <c r="O67" s="397" t="s">
        <v>243</v>
      </c>
      <c r="P67" s="225">
        <f ca="1">OFFSET(PLQ!$E$12,ROW($P67)-ROW(P$12),0)</f>
        <v>90</v>
      </c>
      <c r="Q67" s="229"/>
      <c r="R67" s="232" t="s">
        <v>7</v>
      </c>
      <c r="S67" s="121">
        <f t="shared" si="10"/>
        <v>0</v>
      </c>
      <c r="T67" s="98">
        <f t="shared" ca="1" si="11"/>
        <v>0</v>
      </c>
      <c r="U67" s="13" t="str">
        <f t="shared" ca="1" si="12"/>
        <v>SEM VALOR</v>
      </c>
      <c r="V67" s="4" t="str">
        <f ca="1">IF(OR($A67=0,$A67="S",$A67&gt;CFF!$A$9),"",MAX(V$12:OFFSET(V67,-1,0))+1)</f>
        <v/>
      </c>
      <c r="W67" s="9" t="str">
        <f t="shared" si="13"/>
        <v>SINAPI-101562</v>
      </c>
      <c r="X67" s="4" t="e">
        <f t="shared" ca="1" si="14"/>
        <v>#REF!</v>
      </c>
      <c r="Y67" s="121">
        <v>26.644200000000001</v>
      </c>
      <c r="Z67" s="132">
        <f ca="1">ROUND(IF(ISNUMBER(R67),R67,IF(LEFT(R67,3)="BDI",HLOOKUP(R67,DADOS!$T$37:$X$38,2,FALSE),0)),15-11*$X$5)</f>
        <v>0.21</v>
      </c>
      <c r="AA67" s="4"/>
    </row>
    <row r="68" spans="1:27" x14ac:dyDescent="0.2">
      <c r="A68" t="str">
        <f t="shared" si="0"/>
        <v>S</v>
      </c>
      <c r="B68">
        <f t="shared" si="1"/>
        <v>0</v>
      </c>
      <c r="C68">
        <f t="shared" ca="1" si="2"/>
        <v>1</v>
      </c>
      <c r="D68">
        <f t="shared" ca="1" si="3"/>
        <v>6</v>
      </c>
      <c r="E68">
        <f t="shared" ca="1" si="4"/>
        <v>0</v>
      </c>
      <c r="F68">
        <f t="shared" ca="1" si="5"/>
        <v>0</v>
      </c>
      <c r="G68">
        <f t="shared" ca="1" si="6"/>
        <v>6</v>
      </c>
      <c r="H68">
        <f t="shared" ca="1" si="15"/>
        <v>0</v>
      </c>
      <c r="I68">
        <f t="shared" ca="1" si="16"/>
        <v>0</v>
      </c>
      <c r="J68" s="394" t="s">
        <v>103</v>
      </c>
      <c r="K68" s="162" t="str">
        <f t="shared" ca="1" si="9"/>
        <v>1.6.6.</v>
      </c>
      <c r="L68" s="395" t="s">
        <v>232</v>
      </c>
      <c r="M68" s="395">
        <v>101654</v>
      </c>
      <c r="N68" s="396" t="s">
        <v>294</v>
      </c>
      <c r="O68" s="397" t="s">
        <v>242</v>
      </c>
      <c r="P68" s="225">
        <f ca="1">OFFSET(PLQ!$E$12,ROW($P68)-ROW(P$12),0)</f>
        <v>16</v>
      </c>
      <c r="Q68" s="229"/>
      <c r="R68" s="232" t="s">
        <v>7</v>
      </c>
      <c r="S68" s="121">
        <f t="shared" si="10"/>
        <v>0</v>
      </c>
      <c r="T68" s="98">
        <f t="shared" ca="1" si="11"/>
        <v>0</v>
      </c>
      <c r="U68" s="13" t="str">
        <f t="shared" ca="1" si="12"/>
        <v>SEM VALOR</v>
      </c>
      <c r="V68" s="4" t="str">
        <f ca="1">IF(OR($A68=0,$A68="S",$A68&gt;CFF!$A$9),"",MAX(V$12:OFFSET(V68,-1,0))+1)</f>
        <v/>
      </c>
      <c r="W68" s="9" t="str">
        <f t="shared" si="13"/>
        <v>SINAPI-101654</v>
      </c>
      <c r="X68" s="4" t="e">
        <f t="shared" ca="1" si="14"/>
        <v>#REF!</v>
      </c>
      <c r="Y68" s="121">
        <v>291.3075</v>
      </c>
      <c r="Z68" s="132">
        <f ca="1">ROUND(IF(ISNUMBER(R68),R68,IF(LEFT(R68,3)="BDI",HLOOKUP(R68,DADOS!$T$37:$X$38,2,FALSE),0)),15-11*$X$5)</f>
        <v>0.21</v>
      </c>
      <c r="AA68" s="4"/>
    </row>
    <row r="69" spans="1:27" x14ac:dyDescent="0.2">
      <c r="A69">
        <f t="shared" si="0"/>
        <v>2</v>
      </c>
      <c r="B69">
        <f t="shared" ca="1" si="1"/>
        <v>2</v>
      </c>
      <c r="C69">
        <f t="shared" ca="1" si="2"/>
        <v>1</v>
      </c>
      <c r="D69">
        <f t="shared" ca="1" si="3"/>
        <v>7</v>
      </c>
      <c r="E69">
        <f t="shared" ca="1" si="4"/>
        <v>0</v>
      </c>
      <c r="F69">
        <f t="shared" ca="1" si="5"/>
        <v>0</v>
      </c>
      <c r="G69">
        <f t="shared" ca="1" si="6"/>
        <v>0</v>
      </c>
      <c r="H69">
        <f t="shared" ca="1" si="15"/>
        <v>8</v>
      </c>
      <c r="I69">
        <f t="shared" ca="1" si="16"/>
        <v>2</v>
      </c>
      <c r="J69" s="394" t="s">
        <v>100</v>
      </c>
      <c r="K69" s="162" t="str">
        <f t="shared" ca="1" si="9"/>
        <v>1.7.</v>
      </c>
      <c r="L69" s="395"/>
      <c r="M69" s="395"/>
      <c r="N69" s="396" t="s">
        <v>283</v>
      </c>
      <c r="O69" s="397" t="s">
        <v>106</v>
      </c>
      <c r="P69" s="225">
        <f ca="1">OFFSET(PLQ!$E$12,ROW($P69)-ROW(P$12),0)</f>
        <v>0</v>
      </c>
      <c r="Q69" s="229"/>
      <c r="R69" s="232" t="s">
        <v>7</v>
      </c>
      <c r="S69" s="121">
        <f t="shared" si="10"/>
        <v>0</v>
      </c>
      <c r="T69" s="98">
        <f t="shared" ca="1" si="11"/>
        <v>0</v>
      </c>
      <c r="U69" s="13" t="str">
        <f t="shared" ca="1" si="12"/>
        <v>SEM VALOR</v>
      </c>
      <c r="V69" s="4">
        <f ca="1">IF(OR($A69=0,$A69="S",$A69&gt;CFF!$A$9),"",MAX(V$12:OFFSET(V69,-1,0))+1)</f>
        <v>8</v>
      </c>
      <c r="W69" s="9" t="b">
        <f t="shared" si="13"/>
        <v>0</v>
      </c>
      <c r="X69" s="4" t="str">
        <f t="shared" ca="1" si="14"/>
        <v>X</v>
      </c>
      <c r="Y69" s="121">
        <v>0</v>
      </c>
      <c r="Z69" s="132">
        <f ca="1">ROUND(IF(ISNUMBER(R69),R69,IF(LEFT(R69,3)="BDI",HLOOKUP(R69,DADOS!$T$37:$X$38,2,FALSE),0)),15-11*$X$5)</f>
        <v>0.21</v>
      </c>
      <c r="AA69" s="4"/>
    </row>
    <row r="70" spans="1:27" x14ac:dyDescent="0.2">
      <c r="A70" t="str">
        <f t="shared" si="0"/>
        <v>S</v>
      </c>
      <c r="B70">
        <f t="shared" si="1"/>
        <v>0</v>
      </c>
      <c r="C70">
        <f t="shared" ca="1" si="2"/>
        <v>1</v>
      </c>
      <c r="D70">
        <f t="shared" ca="1" si="3"/>
        <v>7</v>
      </c>
      <c r="E70">
        <f t="shared" ca="1" si="4"/>
        <v>0</v>
      </c>
      <c r="F70">
        <f t="shared" ca="1" si="5"/>
        <v>0</v>
      </c>
      <c r="G70">
        <f t="shared" ca="1" si="6"/>
        <v>1</v>
      </c>
      <c r="H70">
        <f t="shared" ref="H70:H76" ca="1" si="17">IF(OR($A70="S",$A70=0),0,MATCH(0,OFFSET($B70,1,$A70,ROW($A$77)-ROW($A70)),0))</f>
        <v>0</v>
      </c>
      <c r="I70">
        <f t="shared" ref="I70:I76" ca="1" si="18">IF(OR($A70="S",$A70=0),0,MATCH(OFFSET($B70,0,$A70)+1,OFFSET($B70,1,$A70,ROW($A$77)-ROW($A70)),0))</f>
        <v>0</v>
      </c>
      <c r="J70" s="394" t="s">
        <v>103</v>
      </c>
      <c r="K70" s="162" t="str">
        <f t="shared" ca="1" si="9"/>
        <v>1.7.1.</v>
      </c>
      <c r="L70" s="395" t="s">
        <v>232</v>
      </c>
      <c r="M70" s="395">
        <v>96111</v>
      </c>
      <c r="N70" s="396" t="s">
        <v>275</v>
      </c>
      <c r="O70" s="397" t="s">
        <v>236</v>
      </c>
      <c r="P70" s="225">
        <f ca="1">OFFSET(PLQ!$E$12,ROW($P70)-ROW(P$12),0)</f>
        <v>75</v>
      </c>
      <c r="Q70" s="229"/>
      <c r="R70" s="232" t="s">
        <v>7</v>
      </c>
      <c r="S70" s="121">
        <f t="shared" si="10"/>
        <v>0</v>
      </c>
      <c r="T70" s="98">
        <f t="shared" ca="1" si="11"/>
        <v>0</v>
      </c>
      <c r="U70" s="13" t="str">
        <f t="shared" ca="1" si="12"/>
        <v>SEM VALOR</v>
      </c>
      <c r="V70" s="4" t="str">
        <f ca="1">IF(OR($A70=0,$A70="S",$A70&gt;CFF!$A$9),"",MAX(V$12:OFFSET(V70,-1,0))+1)</f>
        <v/>
      </c>
      <c r="W70" s="9" t="str">
        <f t="shared" si="13"/>
        <v>SINAPI-96111</v>
      </c>
      <c r="X70" s="4" t="e">
        <f t="shared" ca="1" si="14"/>
        <v>#REF!</v>
      </c>
      <c r="Y70" s="121">
        <v>80.755399999999995</v>
      </c>
      <c r="Z70" s="132">
        <f ca="1">ROUND(IF(ISNUMBER(R70),R70,IF(LEFT(R70,3)="BDI",HLOOKUP(R70,DADOS!$T$37:$X$38,2,FALSE),0)),15-11*$X$5)</f>
        <v>0.21</v>
      </c>
      <c r="AA70" s="4"/>
    </row>
    <row r="71" spans="1:27" x14ac:dyDescent="0.2">
      <c r="A71">
        <f t="shared" si="0"/>
        <v>2</v>
      </c>
      <c r="B71">
        <f t="shared" ca="1" si="1"/>
        <v>6</v>
      </c>
      <c r="C71">
        <f t="shared" ca="1" si="2"/>
        <v>1</v>
      </c>
      <c r="D71">
        <f t="shared" ca="1" si="3"/>
        <v>8</v>
      </c>
      <c r="E71">
        <f t="shared" ca="1" si="4"/>
        <v>0</v>
      </c>
      <c r="F71">
        <f t="shared" ca="1" si="5"/>
        <v>0</v>
      </c>
      <c r="G71">
        <f t="shared" ca="1" si="6"/>
        <v>0</v>
      </c>
      <c r="H71">
        <f t="shared" ca="1" si="17"/>
        <v>6</v>
      </c>
      <c r="I71" t="e">
        <f t="shared" ca="1" si="18"/>
        <v>#N/A</v>
      </c>
      <c r="J71" s="394" t="s">
        <v>100</v>
      </c>
      <c r="K71" s="162" t="str">
        <f t="shared" ca="1" si="9"/>
        <v>1.8.</v>
      </c>
      <c r="L71" s="395"/>
      <c r="M71" s="395"/>
      <c r="N71" s="396" t="s">
        <v>276</v>
      </c>
      <c r="O71" s="397" t="s">
        <v>106</v>
      </c>
      <c r="P71" s="225">
        <f ca="1">OFFSET(PLQ!$E$12,ROW($P71)-ROW(P$12),0)</f>
        <v>0</v>
      </c>
      <c r="Q71" s="229"/>
      <c r="R71" s="232" t="s">
        <v>7</v>
      </c>
      <c r="S71" s="121">
        <f t="shared" si="10"/>
        <v>0</v>
      </c>
      <c r="T71" s="98">
        <f t="shared" ca="1" si="11"/>
        <v>0</v>
      </c>
      <c r="U71" s="13" t="str">
        <f t="shared" ca="1" si="12"/>
        <v>SEM VALOR</v>
      </c>
      <c r="V71" s="4">
        <f ca="1">IF(OR($A71=0,$A71="S",$A71&gt;CFF!$A$9),"",MAX(V$12:OFFSET(V71,-1,0))+1)</f>
        <v>9</v>
      </c>
      <c r="W71" s="9" t="b">
        <f t="shared" si="13"/>
        <v>0</v>
      </c>
      <c r="X71" s="4" t="str">
        <f t="shared" ca="1" si="14"/>
        <v>X</v>
      </c>
      <c r="Y71" s="121">
        <v>0</v>
      </c>
      <c r="Z71" s="132">
        <f ca="1">ROUND(IF(ISNUMBER(R71),R71,IF(LEFT(R71,3)="BDI",HLOOKUP(R71,DADOS!$T$37:$X$38,2,FALSE),0)),15-11*$X$5)</f>
        <v>0.21</v>
      </c>
      <c r="AA71" s="4"/>
    </row>
    <row r="72" spans="1:27" ht="25.5" x14ac:dyDescent="0.2">
      <c r="A72" t="str">
        <f t="shared" si="0"/>
        <v>S</v>
      </c>
      <c r="B72">
        <f t="shared" si="1"/>
        <v>0</v>
      </c>
      <c r="C72">
        <f t="shared" ca="1" si="2"/>
        <v>1</v>
      </c>
      <c r="D72">
        <f t="shared" ca="1" si="3"/>
        <v>8</v>
      </c>
      <c r="E72">
        <f t="shared" ca="1" si="4"/>
        <v>0</v>
      </c>
      <c r="F72">
        <f t="shared" ca="1" si="5"/>
        <v>0</v>
      </c>
      <c r="G72">
        <f t="shared" ca="1" si="6"/>
        <v>1</v>
      </c>
      <c r="H72">
        <f t="shared" ca="1" si="17"/>
        <v>0</v>
      </c>
      <c r="I72">
        <f t="shared" ca="1" si="18"/>
        <v>0</v>
      </c>
      <c r="J72" s="394" t="s">
        <v>103</v>
      </c>
      <c r="K72" s="162" t="str">
        <f t="shared" ca="1" si="9"/>
        <v>1.8.1.</v>
      </c>
      <c r="L72" s="395" t="s">
        <v>232</v>
      </c>
      <c r="M72" s="395">
        <v>94992</v>
      </c>
      <c r="N72" s="396" t="s">
        <v>313</v>
      </c>
      <c r="O72" s="397" t="s">
        <v>236</v>
      </c>
      <c r="P72" s="225">
        <f ca="1">OFFSET(PLQ!$E$12,ROW($P72)-ROW(P$12),0)</f>
        <v>18.5</v>
      </c>
      <c r="Q72" s="229"/>
      <c r="R72" s="232" t="s">
        <v>7</v>
      </c>
      <c r="S72" s="121">
        <f t="shared" si="10"/>
        <v>0</v>
      </c>
      <c r="T72" s="98">
        <f t="shared" ca="1" si="11"/>
        <v>0</v>
      </c>
      <c r="U72" s="13" t="str">
        <f t="shared" ca="1" si="12"/>
        <v>SEM VALOR</v>
      </c>
      <c r="V72" s="4" t="str">
        <f ca="1">IF(OR($A72=0,$A72="S",$A72&gt;CFF!$A$9),"",MAX(V$12:OFFSET(V72,-1,0))+1)</f>
        <v/>
      </c>
      <c r="W72" s="9" t="str">
        <f t="shared" si="13"/>
        <v>SINAPI-94992</v>
      </c>
      <c r="X72" s="4" t="e">
        <f t="shared" ca="1" si="14"/>
        <v>#REF!</v>
      </c>
      <c r="Y72" s="121">
        <v>97.501800000000003</v>
      </c>
      <c r="Z72" s="132">
        <f ca="1">ROUND(IF(ISNUMBER(R72),R72,IF(LEFT(R72,3)="BDI",HLOOKUP(R72,DADOS!$T$37:$X$38,2,FALSE),0)),15-11*$X$5)</f>
        <v>0.21</v>
      </c>
      <c r="AA72" s="4"/>
    </row>
    <row r="73" spans="1:27" x14ac:dyDescent="0.2">
      <c r="A73" t="str">
        <f>CHOOSE(1+LOG(1+2*(J73="Meta")+4*(J73="Nível 2")+8*(J73="Nível 3")+16*(J73="Nível 4")+32*(J73="Serviço"),2),0,1,2,3,4,"S")</f>
        <v>S</v>
      </c>
      <c r="B73">
        <f>IF(OR(A73="S",A73=0),0,IF(ISERROR(I73),H73,SMALL(H73:I73,1)))</f>
        <v>0</v>
      </c>
      <c r="C73">
        <f ca="1">IF($A73=1,OFFSET(C73,-1,0)+1,OFFSET(C73,-1,0))</f>
        <v>1</v>
      </c>
      <c r="D73">
        <f ca="1">IF($A73=1,0,IF($A73=2,OFFSET(D73,-1,0)+1,OFFSET(D73,-1,0)))</f>
        <v>8</v>
      </c>
      <c r="E73">
        <f ca="1">IF(AND($A73&lt;=2,$A73&lt;&gt;0),0,IF($A73=3,OFFSET(E73,-1,0)+1,OFFSET(E73,-1,0)))</f>
        <v>0</v>
      </c>
      <c r="F73">
        <f ca="1">IF(AND($A73&lt;=3,$A73&lt;&gt;0),0,IF($A73=4,OFFSET(F73,-1,0)+1,OFFSET(F73,-1,0)))</f>
        <v>0</v>
      </c>
      <c r="G73">
        <f ca="1">IF(AND($A73&lt;=4,$A73&lt;&gt;0),0,IF($A73="S",OFFSET(G73,-1,0)+1,OFFSET(G73,-1,0)))</f>
        <v>2</v>
      </c>
      <c r="H73">
        <f ca="1">IF(OR($A73="S",$A73=0),0,MATCH(0,OFFSET($B73,1,$A73,ROW($A$77)-ROW($A73)),0))</f>
        <v>0</v>
      </c>
      <c r="I73">
        <f ca="1">IF(OR($A73="S",$A73=0),0,MATCH(OFFSET($B73,0,$A73)+1,OFFSET($B73,1,$A73,ROW($A$77)-ROW($A73)),0))</f>
        <v>0</v>
      </c>
      <c r="J73" s="394" t="s">
        <v>103</v>
      </c>
      <c r="K73" s="162" t="str">
        <f ca="1">IF($A73=0,"-",CONCATENATE(C73&amp;".",IF(AND($A$5&gt;=2,$A73&gt;=2),D73&amp;".",""),IF(AND($A$5&gt;=3,$A73&gt;=3),E73&amp;".",""),IF(AND($A$5&gt;=4,$A73&gt;=4),F73&amp;".",""),IF($A73="S",G73&amp;".","")))</f>
        <v>1.8.2.</v>
      </c>
      <c r="L73" s="395" t="s">
        <v>232</v>
      </c>
      <c r="M73" s="395">
        <v>101094</v>
      </c>
      <c r="N73" s="396" t="s">
        <v>300</v>
      </c>
      <c r="O73" s="397" t="s">
        <v>243</v>
      </c>
      <c r="P73" s="225">
        <f ca="1">OFFSET(PLQ!$E$12,ROW($P73)-ROW(P$12),0)</f>
        <v>35</v>
      </c>
      <c r="Q73" s="229"/>
      <c r="R73" s="232" t="s">
        <v>7</v>
      </c>
      <c r="S73" s="121">
        <f>IF($A73="S",IF($Q$10="Preço Unitário (R$)",PO.CustoUnitario,ROUND(PO.CustoUnitario*(1+$Z73),15-13*$X$6)),0)</f>
        <v>0</v>
      </c>
      <c r="T73" s="98">
        <f ca="1">IF($A73="S",VTOTAL1,IF($A73=0,0,ROUND(SomaAgrup,15-13*$X$7)))</f>
        <v>0</v>
      </c>
      <c r="U73" s="13" t="str">
        <f ca="1">IF($J73="","",IF($N73="","DESCRIÇÃO",IF(AND($J73="Serviço",$O73=""),"UNIDADE",IF($T73&lt;=0,"SEM VALOR",IF(AND($Y73&lt;&gt;"",$Q73&gt;$Y73),"ACIMA REF.","")))))</f>
        <v>SEM VALOR</v>
      </c>
      <c r="V73" s="4" t="str">
        <f ca="1">IF(OR($A73=0,$A73="S",$A73&gt;CFF!$A$9),"",MAX(V$12:OFFSET(V73,-1,0))+1)</f>
        <v/>
      </c>
      <c r="W73" s="9" t="str">
        <f>IF(AND($J73="Serviço",$M73&lt;&gt;""),IF($L73="",$M73,CONCATENATE($L73,"-",$M73)))</f>
        <v>SINAPI-101094</v>
      </c>
      <c r="X73" s="4" t="e">
        <f ca="1">IF(AND(Fonte&lt;&gt;"",Código&lt;&gt;""),MATCH(Fonte&amp;" "&amp;IF(Fonte="sinapi",SUBSTITUTE(SUBSTITUTE(Código,"/00","/"),"/0","/"),Código),INDIRECT("'[Referência "&amp;_xlnm.Database&amp;".xls]Banco'!$a:$a"),0),"X")</f>
        <v>#REF!</v>
      </c>
      <c r="Y73" s="121">
        <v>190.17570000000001</v>
      </c>
      <c r="Z73" s="132">
        <f ca="1">ROUND(IF(ISNUMBER(R73),R73,IF(LEFT(R73,3)="BDI",HLOOKUP(R73,DADOS!$T$37:$X$38,2,FALSE),0)),15-11*$X$5)</f>
        <v>0.21</v>
      </c>
      <c r="AA73" s="4"/>
    </row>
    <row r="74" spans="1:27" x14ac:dyDescent="0.2">
      <c r="A74" t="str">
        <f t="shared" si="0"/>
        <v>S</v>
      </c>
      <c r="B74">
        <f t="shared" si="1"/>
        <v>0</v>
      </c>
      <c r="C74">
        <f t="shared" ca="1" si="2"/>
        <v>1</v>
      </c>
      <c r="D74">
        <f t="shared" ca="1" si="3"/>
        <v>8</v>
      </c>
      <c r="E74">
        <f t="shared" ca="1" si="4"/>
        <v>0</v>
      </c>
      <c r="F74">
        <f t="shared" ca="1" si="5"/>
        <v>0</v>
      </c>
      <c r="G74">
        <f t="shared" ca="1" si="6"/>
        <v>3</v>
      </c>
      <c r="H74">
        <f t="shared" ca="1" si="17"/>
        <v>0</v>
      </c>
      <c r="I74">
        <f t="shared" ca="1" si="18"/>
        <v>0</v>
      </c>
      <c r="J74" s="394" t="s">
        <v>103</v>
      </c>
      <c r="K74" s="162" t="str">
        <f t="shared" ca="1" si="9"/>
        <v>1.8.3.</v>
      </c>
      <c r="L74" s="395" t="s">
        <v>232</v>
      </c>
      <c r="M74" s="395">
        <v>101908</v>
      </c>
      <c r="N74" s="396" t="s">
        <v>277</v>
      </c>
      <c r="O74" s="397" t="s">
        <v>242</v>
      </c>
      <c r="P74" s="225">
        <f ca="1">OFFSET(PLQ!$E$12,ROW($P74)-ROW(P$12),0)</f>
        <v>1</v>
      </c>
      <c r="Q74" s="229"/>
      <c r="R74" s="232" t="s">
        <v>7</v>
      </c>
      <c r="S74" s="121">
        <f t="shared" si="10"/>
        <v>0</v>
      </c>
      <c r="T74" s="98">
        <f t="shared" ca="1" si="11"/>
        <v>0</v>
      </c>
      <c r="U74" s="13" t="str">
        <f t="shared" ca="1" si="12"/>
        <v>SEM VALOR</v>
      </c>
      <c r="V74" s="4" t="str">
        <f ca="1">IF(OR($A74=0,$A74="S",$A74&gt;CFF!$A$9),"",MAX(V$12:OFFSET(V74,-1,0))+1)</f>
        <v/>
      </c>
      <c r="W74" s="9" t="str">
        <f t="shared" si="13"/>
        <v>SINAPI-101908</v>
      </c>
      <c r="X74" s="4" t="e">
        <f t="shared" ca="1" si="14"/>
        <v>#REF!</v>
      </c>
      <c r="Y74" s="121">
        <v>222.08340000000001</v>
      </c>
      <c r="Z74" s="132">
        <f ca="1">ROUND(IF(ISNUMBER(R74),R74,IF(LEFT(R74,3)="BDI",HLOOKUP(R74,DADOS!$T$37:$X$38,2,FALSE),0)),15-11*$X$5)</f>
        <v>0.21</v>
      </c>
      <c r="AA74" s="4"/>
    </row>
    <row r="75" spans="1:27" x14ac:dyDescent="0.2">
      <c r="A75" t="str">
        <f t="shared" si="0"/>
        <v>S</v>
      </c>
      <c r="B75">
        <f t="shared" si="1"/>
        <v>0</v>
      </c>
      <c r="C75">
        <f t="shared" ca="1" si="2"/>
        <v>1</v>
      </c>
      <c r="D75">
        <f t="shared" ca="1" si="3"/>
        <v>8</v>
      </c>
      <c r="E75">
        <f t="shared" ca="1" si="4"/>
        <v>0</v>
      </c>
      <c r="F75">
        <f t="shared" ca="1" si="5"/>
        <v>0</v>
      </c>
      <c r="G75">
        <f t="shared" ca="1" si="6"/>
        <v>4</v>
      </c>
      <c r="H75">
        <f t="shared" ca="1" si="17"/>
        <v>0</v>
      </c>
      <c r="I75">
        <f t="shared" ca="1" si="18"/>
        <v>0</v>
      </c>
      <c r="J75" s="394" t="s">
        <v>103</v>
      </c>
      <c r="K75" s="162" t="str">
        <f t="shared" ca="1" si="9"/>
        <v>1.8.4.</v>
      </c>
      <c r="L75" s="395" t="s">
        <v>232</v>
      </c>
      <c r="M75" s="395">
        <v>97599</v>
      </c>
      <c r="N75" s="396" t="s">
        <v>278</v>
      </c>
      <c r="O75" s="397" t="s">
        <v>242</v>
      </c>
      <c r="P75" s="225">
        <f ca="1">OFFSET(PLQ!$E$12,ROW($P75)-ROW(P$12),0)</f>
        <v>2</v>
      </c>
      <c r="Q75" s="229"/>
      <c r="R75" s="232" t="s">
        <v>7</v>
      </c>
      <c r="S75" s="121">
        <f t="shared" si="10"/>
        <v>0</v>
      </c>
      <c r="T75" s="98">
        <f t="shared" ca="1" si="11"/>
        <v>0</v>
      </c>
      <c r="U75" s="13" t="str">
        <f t="shared" ca="1" si="12"/>
        <v>SEM VALOR</v>
      </c>
      <c r="V75" s="4" t="str">
        <f ca="1">IF(OR($A75=0,$A75="S",$A75&gt;CFF!$A$9),"",MAX(V$12:OFFSET(V75,-1,0))+1)</f>
        <v/>
      </c>
      <c r="W75" s="9" t="str">
        <f t="shared" si="13"/>
        <v>SINAPI-97599</v>
      </c>
      <c r="X75" s="4" t="e">
        <f t="shared" ca="1" si="14"/>
        <v>#REF!</v>
      </c>
      <c r="Y75" s="121">
        <v>29.0642</v>
      </c>
      <c r="Z75" s="132">
        <f ca="1">ROUND(IF(ISNUMBER(R75),R75,IF(LEFT(R75,3)="BDI",HLOOKUP(R75,DADOS!$T$37:$X$38,2,FALSE),0)),15-11*$X$5)</f>
        <v>0.21</v>
      </c>
      <c r="AA75" s="4"/>
    </row>
    <row r="76" spans="1:27" ht="25.5" x14ac:dyDescent="0.2">
      <c r="A76" t="str">
        <f t="shared" si="0"/>
        <v>S</v>
      </c>
      <c r="B76">
        <f t="shared" si="1"/>
        <v>0</v>
      </c>
      <c r="C76">
        <f t="shared" ca="1" si="2"/>
        <v>1</v>
      </c>
      <c r="D76">
        <f t="shared" ca="1" si="3"/>
        <v>8</v>
      </c>
      <c r="E76">
        <f t="shared" ca="1" si="4"/>
        <v>0</v>
      </c>
      <c r="F76">
        <f t="shared" ca="1" si="5"/>
        <v>0</v>
      </c>
      <c r="G76">
        <f t="shared" ca="1" si="6"/>
        <v>5</v>
      </c>
      <c r="H76">
        <f t="shared" ca="1" si="17"/>
        <v>0</v>
      </c>
      <c r="I76">
        <f t="shared" ca="1" si="18"/>
        <v>0</v>
      </c>
      <c r="J76" s="394" t="s">
        <v>103</v>
      </c>
      <c r="K76" s="162" t="str">
        <f t="shared" ca="1" si="9"/>
        <v>1.8.5.</v>
      </c>
      <c r="L76" s="395" t="s">
        <v>244</v>
      </c>
      <c r="M76" s="395">
        <v>37558</v>
      </c>
      <c r="N76" s="396" t="s">
        <v>279</v>
      </c>
      <c r="O76" s="397" t="s">
        <v>259</v>
      </c>
      <c r="P76" s="225">
        <f ca="1">OFFSET(PLQ!$E$12,ROW($P76)-ROW(P$12),0)</f>
        <v>2</v>
      </c>
      <c r="Q76" s="229"/>
      <c r="R76" s="232" t="s">
        <v>7</v>
      </c>
      <c r="S76" s="121">
        <f t="shared" si="10"/>
        <v>0</v>
      </c>
      <c r="T76" s="98">
        <f t="shared" ca="1" si="11"/>
        <v>0</v>
      </c>
      <c r="U76" s="13" t="str">
        <f t="shared" ca="1" si="12"/>
        <v>SEM VALOR</v>
      </c>
      <c r="V76" s="4" t="str">
        <f ca="1">IF(OR($A76=0,$A76="S",$A76&gt;CFF!$A$9),"",MAX(V$12:OFFSET(V76,-1,0))+1)</f>
        <v/>
      </c>
      <c r="W76" s="9" t="str">
        <f t="shared" si="13"/>
        <v>SINAPI-I-37558</v>
      </c>
      <c r="X76" s="4" t="e">
        <f t="shared" ca="1" si="14"/>
        <v>#REF!</v>
      </c>
      <c r="Y76" s="121">
        <v>48.049100000000003</v>
      </c>
      <c r="Z76" s="132">
        <f ca="1">ROUND(IF(ISNUMBER(R76),R76,IF(LEFT(R76,3)="BDI",HLOOKUP(R76,DADOS!$T$37:$X$38,2,FALSE),0)),15-11*$X$5)</f>
        <v>0.21</v>
      </c>
      <c r="AA76" s="4"/>
    </row>
    <row r="77" spans="1:27" x14ac:dyDescent="0.2">
      <c r="A77">
        <v>-1</v>
      </c>
      <c r="C77">
        <v>0</v>
      </c>
      <c r="D77">
        <v>0</v>
      </c>
      <c r="E77">
        <v>0</v>
      </c>
      <c r="F77">
        <v>0</v>
      </c>
      <c r="G77">
        <v>0</v>
      </c>
      <c r="J77" s="83"/>
      <c r="K77" s="83"/>
      <c r="L77" s="83"/>
      <c r="M77" s="83"/>
      <c r="N77" s="83"/>
      <c r="O77" s="83"/>
      <c r="P77" s="83"/>
      <c r="Q77" s="83"/>
      <c r="R77" s="83"/>
      <c r="S77" s="83"/>
      <c r="T77" s="83"/>
      <c r="U77" s="4"/>
      <c r="V77" s="4"/>
      <c r="W77" s="4"/>
      <c r="X77" s="4"/>
      <c r="Y77" s="4"/>
      <c r="Z77" s="4"/>
      <c r="AA77" s="4"/>
    </row>
    <row r="78" spans="1:27" ht="14.25" x14ac:dyDescent="0.2">
      <c r="A78" s="4"/>
      <c r="B78" s="4"/>
      <c r="C78" s="4"/>
      <c r="D78" s="4"/>
      <c r="E78" s="4"/>
      <c r="F78" s="4"/>
      <c r="G78" s="4"/>
      <c r="H78" s="4"/>
      <c r="I78" s="4"/>
      <c r="J78" s="4"/>
      <c r="K78" s="84" t="s">
        <v>62</v>
      </c>
      <c r="L78" s="4"/>
      <c r="M78" s="366" t="s">
        <v>141</v>
      </c>
      <c r="N78" s="367"/>
      <c r="O78" s="367"/>
      <c r="P78" s="367"/>
      <c r="Q78" s="367"/>
      <c r="R78" s="367"/>
      <c r="S78" s="367"/>
      <c r="T78" s="368"/>
      <c r="U78" s="4"/>
      <c r="V78" s="4"/>
      <c r="W78" s="4"/>
      <c r="X78" s="4"/>
      <c r="Y78" s="4"/>
      <c r="Z78" s="4"/>
      <c r="AA78" s="4"/>
    </row>
    <row r="79" spans="1:27" x14ac:dyDescent="0.2">
      <c r="A79" s="4"/>
      <c r="B79" s="4"/>
      <c r="C79" s="4"/>
      <c r="D79" s="4"/>
      <c r="E79" s="4"/>
      <c r="F79" s="4"/>
      <c r="G79" s="4"/>
      <c r="H79" s="4"/>
      <c r="I79" s="4"/>
      <c r="J79" s="4"/>
      <c r="K79" s="4"/>
      <c r="L79" s="4"/>
      <c r="M79" s="4"/>
      <c r="N79" s="4"/>
      <c r="O79" s="4"/>
      <c r="P79" s="4"/>
      <c r="Q79" s="4"/>
      <c r="R79" s="4"/>
      <c r="S79" s="4"/>
      <c r="T79" s="4"/>
      <c r="U79" s="4"/>
      <c r="V79" s="4"/>
      <c r="W79" s="4"/>
      <c r="X79" s="4"/>
      <c r="Y79" s="4"/>
      <c r="Z79" s="4"/>
      <c r="AA79" s="4"/>
    </row>
    <row r="80" spans="1:27" ht="14.25" x14ac:dyDescent="0.2">
      <c r="A80" s="4"/>
      <c r="B80" s="4"/>
      <c r="C80" s="4"/>
      <c r="D80" s="4"/>
      <c r="E80" s="4"/>
      <c r="F80" s="4"/>
      <c r="G80" s="4"/>
      <c r="H80" s="4"/>
      <c r="I80" s="4"/>
      <c r="J80" s="4"/>
      <c r="K80" s="90" t="s">
        <v>21</v>
      </c>
      <c r="L80" s="20"/>
      <c r="M80" s="20"/>
      <c r="N80" s="20"/>
      <c r="O80" s="20"/>
      <c r="P80" s="20"/>
      <c r="Q80" s="20"/>
      <c r="R80" s="20"/>
      <c r="S80" s="20"/>
      <c r="T80" s="89"/>
      <c r="U80" s="4"/>
      <c r="V80" s="4"/>
      <c r="W80" s="4"/>
      <c r="X80" s="4"/>
      <c r="Y80" s="4"/>
      <c r="Z80" s="4"/>
      <c r="AA80" s="4"/>
    </row>
    <row r="81" spans="1:27" ht="12.75" customHeight="1" x14ac:dyDescent="0.2">
      <c r="A81" s="4"/>
      <c r="B81" s="4"/>
      <c r="C81" s="4"/>
      <c r="D81" s="4"/>
      <c r="E81" s="4"/>
      <c r="F81" s="4"/>
      <c r="G81" s="4"/>
      <c r="H81" s="4"/>
      <c r="I81" s="4"/>
      <c r="J81" s="4"/>
      <c r="K81" s="360" t="s">
        <v>238</v>
      </c>
      <c r="L81" s="361"/>
      <c r="M81" s="361"/>
      <c r="N81" s="361"/>
      <c r="O81" s="361"/>
      <c r="P81" s="361"/>
      <c r="Q81" s="361"/>
      <c r="R81" s="361"/>
      <c r="S81" s="361"/>
      <c r="T81" s="362"/>
      <c r="U81" s="4"/>
      <c r="V81" s="4"/>
      <c r="W81" s="4"/>
      <c r="X81" s="4"/>
      <c r="Y81" s="4"/>
      <c r="Z81" s="4"/>
      <c r="AA81" s="4"/>
    </row>
    <row r="82" spans="1:27" x14ac:dyDescent="0.2">
      <c r="A82" s="4"/>
      <c r="B82" s="4"/>
      <c r="C82" s="4"/>
      <c r="D82" s="4"/>
      <c r="E82" s="4"/>
      <c r="F82" s="4"/>
      <c r="G82" s="4"/>
      <c r="H82" s="4"/>
      <c r="I82" s="4"/>
      <c r="J82" s="4"/>
      <c r="K82" s="360"/>
      <c r="L82" s="361"/>
      <c r="M82" s="361"/>
      <c r="N82" s="361"/>
      <c r="O82" s="361"/>
      <c r="P82" s="361"/>
      <c r="Q82" s="361"/>
      <c r="R82" s="361"/>
      <c r="S82" s="361"/>
      <c r="T82" s="362"/>
      <c r="U82" s="4"/>
      <c r="V82" s="4"/>
      <c r="W82" s="4"/>
      <c r="X82" s="4"/>
      <c r="Y82" s="4"/>
      <c r="Z82" s="4"/>
      <c r="AA82" s="4"/>
    </row>
    <row r="83" spans="1:27" x14ac:dyDescent="0.2">
      <c r="A83" s="4"/>
      <c r="B83" s="4"/>
      <c r="C83" s="4"/>
      <c r="D83" s="4"/>
      <c r="E83" s="4"/>
      <c r="F83" s="4"/>
      <c r="G83" s="4"/>
      <c r="H83" s="4"/>
      <c r="I83" s="4"/>
      <c r="J83" s="4"/>
      <c r="K83" s="363"/>
      <c r="L83" s="364"/>
      <c r="M83" s="364"/>
      <c r="N83" s="364"/>
      <c r="O83" s="364"/>
      <c r="P83" s="364"/>
      <c r="Q83" s="364"/>
      <c r="R83" s="364"/>
      <c r="S83" s="364"/>
      <c r="T83" s="365"/>
      <c r="U83" s="4"/>
      <c r="V83" s="4"/>
      <c r="W83" s="4"/>
      <c r="X83" s="4"/>
      <c r="Y83" s="4"/>
      <c r="Z83" s="4"/>
      <c r="AA83" s="4"/>
    </row>
    <row r="84" spans="1:27" ht="14.25" x14ac:dyDescent="0.2">
      <c r="A84" s="4"/>
      <c r="B84" s="4"/>
      <c r="C84" s="4"/>
      <c r="D84" s="4"/>
      <c r="E84" s="4"/>
      <c r="F84" s="4"/>
      <c r="G84" s="4"/>
      <c r="H84" s="4"/>
      <c r="I84" s="4"/>
      <c r="J84" s="4"/>
      <c r="K84" s="213"/>
      <c r="L84" s="213"/>
      <c r="M84" s="213"/>
      <c r="N84" s="213"/>
      <c r="O84" s="213"/>
      <c r="P84" s="213"/>
      <c r="Q84" s="213"/>
      <c r="R84" s="213"/>
      <c r="S84" s="213"/>
      <c r="T84" s="213"/>
      <c r="U84" s="4"/>
      <c r="V84" s="4"/>
      <c r="W84" s="4"/>
      <c r="X84" s="4"/>
      <c r="Y84" s="4"/>
      <c r="Z84" s="4"/>
      <c r="AA84" s="4"/>
    </row>
    <row r="85" spans="1:27" ht="15" x14ac:dyDescent="0.25">
      <c r="A85" s="4"/>
      <c r="B85" s="4"/>
      <c r="C85" s="4"/>
      <c r="D85" s="4"/>
      <c r="E85" s="4"/>
      <c r="F85" s="4"/>
      <c r="G85" s="4"/>
      <c r="H85" s="4"/>
      <c r="I85" s="4"/>
      <c r="J85" s="4"/>
      <c r="K85" s="357" t="str">
        <f>IF(AND($X$3=FALSE,$X$4=FALSE,$X$5=FALSE,$X$6=FALSE,$X$7=FALSE),"Não foi considerado arredondamento nos valores da planilha.",CONCATENATE("Foi considerado arredondamento de duas casas decimais para ",IF($X$3=TRUE,"Quantidade; ",""),IF($X$4=TRUE,"Custo Unitário; ",""),IF($X$5=TRUE,"BDI; ",""),IF($X$6=TRUE,"Preço Unitário; ",""),IF($X$7=TRUE,"Preço Total.","")))</f>
        <v>Não foi considerado arredondamento nos valores da planilha.</v>
      </c>
      <c r="L85" s="358"/>
      <c r="M85" s="358"/>
      <c r="N85" s="358"/>
      <c r="O85" s="358"/>
      <c r="P85" s="358"/>
      <c r="Q85" s="358"/>
      <c r="R85" s="358"/>
      <c r="S85" s="358"/>
      <c r="T85" s="359"/>
      <c r="U85" s="4"/>
      <c r="V85" s="4"/>
      <c r="W85" s="4"/>
      <c r="X85" s="4"/>
      <c r="Y85" s="4"/>
      <c r="Z85" s="4"/>
      <c r="AA85" s="4"/>
    </row>
    <row r="86" spans="1:27" x14ac:dyDescent="0.2">
      <c r="A86" s="4"/>
      <c r="B86" s="4"/>
      <c r="C86" s="4"/>
      <c r="D86" s="4"/>
      <c r="E86" s="4"/>
      <c r="F86" s="4"/>
      <c r="G86" s="4"/>
      <c r="H86" s="4"/>
      <c r="I86" s="4"/>
      <c r="J86" s="4"/>
      <c r="K86" s="4"/>
      <c r="L86" s="4"/>
      <c r="M86" s="4"/>
      <c r="N86" s="4"/>
      <c r="O86" s="4"/>
      <c r="P86" s="4"/>
      <c r="Q86" s="4"/>
      <c r="R86" s="4"/>
      <c r="S86" s="4"/>
      <c r="T86" s="4"/>
      <c r="U86" s="4"/>
      <c r="V86" s="4"/>
      <c r="W86" s="4"/>
      <c r="X86" s="4"/>
      <c r="Y86" s="4"/>
      <c r="Z86" s="4"/>
      <c r="AA86" s="4"/>
    </row>
    <row r="87" spans="1:27" ht="21" customHeight="1" x14ac:dyDescent="0.2">
      <c r="A87" s="4"/>
      <c r="B87" s="4"/>
      <c r="C87" s="4"/>
      <c r="D87" s="4"/>
      <c r="E87" s="4"/>
      <c r="F87" s="4"/>
      <c r="G87" s="4"/>
      <c r="H87" s="4"/>
      <c r="I87" s="4"/>
      <c r="J87" s="4"/>
      <c r="K87" s="4"/>
      <c r="L87" s="4"/>
      <c r="M87" s="4"/>
      <c r="N87" s="4"/>
      <c r="O87" s="4"/>
      <c r="P87" s="4"/>
      <c r="Q87" s="4"/>
      <c r="R87" s="4"/>
      <c r="S87" s="4"/>
      <c r="T87" s="4"/>
      <c r="U87" s="4"/>
      <c r="V87" s="4"/>
      <c r="W87" s="4"/>
      <c r="X87" s="4"/>
      <c r="Y87" s="4"/>
      <c r="Z87" s="4"/>
      <c r="AA87" s="4"/>
    </row>
    <row r="88" spans="1:27" x14ac:dyDescent="0.2">
      <c r="A88" s="4"/>
      <c r="B88" s="4"/>
      <c r="C88" s="4"/>
      <c r="D88" s="4"/>
      <c r="E88" s="4"/>
      <c r="F88" s="4"/>
      <c r="G88" s="4"/>
      <c r="H88" s="4"/>
      <c r="I88" s="4"/>
      <c r="J88" s="4"/>
      <c r="K88" s="370" t="str">
        <f>Import.Município</f>
        <v>SÃO CARLOS/SC</v>
      </c>
      <c r="L88" s="370"/>
      <c r="M88" s="370"/>
      <c r="N88" s="4"/>
      <c r="O88" s="4"/>
      <c r="P88" s="4"/>
      <c r="Q88" s="4"/>
      <c r="R88" s="4"/>
      <c r="S88" s="4"/>
      <c r="T88" s="4"/>
      <c r="U88" s="4"/>
      <c r="V88" s="4"/>
      <c r="W88" s="4"/>
      <c r="X88" s="4"/>
      <c r="Y88" s="4"/>
      <c r="Z88" s="4"/>
      <c r="AA88" s="4"/>
    </row>
    <row r="89" spans="1:27" x14ac:dyDescent="0.2">
      <c r="A89" s="4"/>
      <c r="B89" s="4"/>
      <c r="C89" s="4"/>
      <c r="D89" s="4"/>
      <c r="E89" s="4"/>
      <c r="F89" s="4"/>
      <c r="G89" s="4"/>
      <c r="H89" s="4"/>
      <c r="I89" s="4"/>
      <c r="J89" s="4"/>
      <c r="K89" s="112" t="s">
        <v>120</v>
      </c>
      <c r="L89" s="4"/>
      <c r="M89" s="4"/>
      <c r="N89" s="4"/>
      <c r="O89" s="4"/>
      <c r="P89" s="4"/>
      <c r="Q89" s="4"/>
      <c r="R89" s="4"/>
      <c r="S89" s="4"/>
      <c r="T89" s="4"/>
      <c r="U89" s="4"/>
      <c r="V89" s="4"/>
      <c r="W89" s="4"/>
      <c r="X89" s="4"/>
      <c r="Y89" s="4"/>
      <c r="Z89" s="4"/>
      <c r="AA89" s="4"/>
    </row>
    <row r="90" spans="1:27" x14ac:dyDescent="0.2">
      <c r="A90" s="4"/>
      <c r="B90" s="4"/>
      <c r="C90" s="4"/>
      <c r="D90" s="4"/>
      <c r="E90" s="4"/>
      <c r="F90" s="4"/>
      <c r="G90" s="4"/>
      <c r="H90" s="4"/>
      <c r="I90" s="4"/>
      <c r="J90" s="4"/>
      <c r="K90" s="4"/>
      <c r="L90" s="4"/>
      <c r="M90" s="4"/>
      <c r="N90" s="4"/>
      <c r="O90" s="4"/>
      <c r="P90" s="4"/>
      <c r="Q90" s="4"/>
      <c r="R90" s="4"/>
      <c r="S90" s="4"/>
      <c r="T90" s="4"/>
      <c r="U90" s="4"/>
      <c r="V90" s="4"/>
      <c r="W90" s="4"/>
      <c r="X90" s="4"/>
      <c r="Y90" s="4"/>
      <c r="Z90" s="4"/>
      <c r="AA90" s="4"/>
    </row>
    <row r="91" spans="1:27" x14ac:dyDescent="0.2">
      <c r="A91" s="4"/>
      <c r="B91" s="4"/>
      <c r="C91" s="4"/>
      <c r="D91" s="4"/>
      <c r="E91" s="4"/>
      <c r="F91" s="4"/>
      <c r="G91" s="4"/>
      <c r="H91" s="4"/>
      <c r="I91" s="4"/>
      <c r="J91" s="4"/>
      <c r="K91" s="369">
        <f ca="1">TODAY()</f>
        <v>45457</v>
      </c>
      <c r="L91" s="369"/>
      <c r="M91" s="369"/>
      <c r="N91" s="4"/>
      <c r="O91" s="4"/>
      <c r="P91" s="4"/>
      <c r="Q91" s="4"/>
      <c r="R91" s="4"/>
      <c r="S91" s="4"/>
      <c r="T91" s="4"/>
      <c r="U91" s="4"/>
      <c r="V91" s="4"/>
      <c r="W91" s="4"/>
      <c r="X91" s="4"/>
      <c r="Y91" s="4"/>
      <c r="Z91" s="4"/>
      <c r="AA91" s="4"/>
    </row>
    <row r="92" spans="1:27" x14ac:dyDescent="0.2">
      <c r="A92" s="4"/>
      <c r="B92" s="4"/>
      <c r="C92" s="4"/>
      <c r="D92" s="4"/>
      <c r="E92" s="4"/>
      <c r="F92" s="4"/>
      <c r="G92" s="4"/>
      <c r="H92" s="4"/>
      <c r="I92" s="4"/>
      <c r="J92" s="4"/>
      <c r="K92" s="141" t="s">
        <v>121</v>
      </c>
      <c r="L92" s="83"/>
      <c r="M92" s="83"/>
      <c r="N92" s="4"/>
      <c r="O92" s="4"/>
      <c r="P92" s="4"/>
      <c r="Q92" s="4"/>
      <c r="R92" s="4"/>
      <c r="S92" s="4"/>
      <c r="T92" s="4"/>
      <c r="U92" s="4"/>
      <c r="V92" s="4"/>
      <c r="W92" s="4"/>
      <c r="X92" s="4"/>
      <c r="Y92" s="4"/>
      <c r="Z92" s="4"/>
      <c r="AA92" s="4"/>
    </row>
  </sheetData>
  <sheetProtection algorithmName="SHA-512" hashValue="fKrUz3c6Mzh5AsZe7CVr/CDwMr1OWCtkExmpSPNqjTsGlnGYOyn5VAGsIy5oI8Q56BLkStGz5CvMInOuOMjGWQ==" saltValue="hEo7OeRxAJUq8BAfarrmtw==" spinCount="100000" sheet="1" objects="1" scenarios="1"/>
  <mergeCells count="6">
    <mergeCell ref="W2:X2"/>
    <mergeCell ref="K85:T85"/>
    <mergeCell ref="K81:T83"/>
    <mergeCell ref="M78:T78"/>
    <mergeCell ref="K91:M91"/>
    <mergeCell ref="K88:M88"/>
  </mergeCells>
  <phoneticPr fontId="25" type="noConversion"/>
  <conditionalFormatting sqref="O12:R12 L12:M12">
    <cfRule type="expression" dxfId="285" priority="2627" stopIfTrue="1">
      <formula>$J12=$C$2</formula>
    </cfRule>
    <cfRule type="expression" dxfId="284" priority="2628" stopIfTrue="1">
      <formula>UPPER(LEFT($J12,5))="NÍVEL"</formula>
    </cfRule>
    <cfRule type="expression" dxfId="283" priority="2629" stopIfTrue="1">
      <formula>$J12=$C$8</formula>
    </cfRule>
  </conditionalFormatting>
  <conditionalFormatting sqref="Y12:Z12 S12:T12 K12">
    <cfRule type="expression" dxfId="282" priority="2630" stopIfTrue="1">
      <formula>$J12=$C$2</formula>
    </cfRule>
    <cfRule type="expression" dxfId="281" priority="2631" stopIfTrue="1">
      <formula>UPPER(LEFT($J12,5))="NÍVEL"</formula>
    </cfRule>
  </conditionalFormatting>
  <conditionalFormatting sqref="K11 K13:K30 K33:K53 K55:K76">
    <cfRule type="expression" dxfId="280" priority="2643" stopIfTrue="1">
      <formula>$J11=$C$2</formula>
    </cfRule>
    <cfRule type="expression" dxfId="279" priority="2644" stopIfTrue="1">
      <formula>AND($J11&lt;&gt;"",$J11&lt;&gt;"Serviço")</formula>
    </cfRule>
    <cfRule type="expression" dxfId="278" priority="2645" stopIfTrue="1">
      <formula>$J11=""</formula>
    </cfRule>
  </conditionalFormatting>
  <conditionalFormatting sqref="P11 P13:P30 P33:P53 P55:P76">
    <cfRule type="expression" dxfId="277" priority="970" stopIfTrue="1">
      <formula>$J11=$C$2</formula>
    </cfRule>
    <cfRule type="expression" dxfId="276" priority="2649" stopIfTrue="1">
      <formula>AND($J11&lt;&gt;"Serviço")</formula>
    </cfRule>
    <cfRule type="expression" dxfId="275" priority="2650" stopIfTrue="1">
      <formula>CELL("proteger",P11)</formula>
    </cfRule>
  </conditionalFormatting>
  <conditionalFormatting sqref="Q11:R11 Q13:R30 Q33:R53 Q55:R76">
    <cfRule type="expression" dxfId="274" priority="2651" stopIfTrue="1">
      <formula>$J11=$C$2</formula>
    </cfRule>
    <cfRule type="expression" dxfId="273" priority="2652" stopIfTrue="1">
      <formula>$J11&lt;&gt;"Serviço"</formula>
    </cfRule>
    <cfRule type="expression" dxfId="272" priority="2653" stopIfTrue="1">
      <formula>CELL("proteger",Q11)</formula>
    </cfRule>
  </conditionalFormatting>
  <conditionalFormatting sqref="S11:T11 Y11:Z11 S13:T30 Y13:Z30 Y33:Z53 S33:T53 S55:T76 Y55:Z76">
    <cfRule type="expression" dxfId="271" priority="2654" stopIfTrue="1">
      <formula>$J11=$C$2</formula>
    </cfRule>
    <cfRule type="expression" dxfId="270" priority="2655" stopIfTrue="1">
      <formula>$J11&lt;&gt;"Serviço"</formula>
    </cfRule>
  </conditionalFormatting>
  <conditionalFormatting sqref="L11:M11 L13:M30 L33:M53 L55:M76">
    <cfRule type="expression" dxfId="269" priority="2675" stopIfTrue="1">
      <formula>$J11=$C$2</formula>
    </cfRule>
    <cfRule type="expression" dxfId="268" priority="2676" stopIfTrue="1">
      <formula>$J11&lt;&gt;"Serviço"</formula>
    </cfRule>
    <cfRule type="expression" dxfId="267" priority="2677" stopIfTrue="1">
      <formula>OR(CELL("proteger",L11),$J11="",TipoOrçamento="Licitado")</formula>
    </cfRule>
  </conditionalFormatting>
  <conditionalFormatting sqref="K78:T78">
    <cfRule type="expression" dxfId="266" priority="2656" stopIfTrue="1">
      <formula>OR(Tipo.Orçamento="LICITADO",Tipo.Orçamento="REPROGRAMADOAC")</formula>
    </cfRule>
    <cfRule type="expression" dxfId="265" priority="2657" stopIfTrue="1">
      <formula>$M$78=""</formula>
    </cfRule>
  </conditionalFormatting>
  <conditionalFormatting sqref="J11 J70:J72 J21:J28 J39:J41 J44:J46 J67 J55:J65 J74:J76 J30 J13:J18 J33:J37">
    <cfRule type="expression" dxfId="264" priority="2684" stopIfTrue="1">
      <formula>TipoOrçamento="Licitado"</formula>
    </cfRule>
  </conditionalFormatting>
  <conditionalFormatting sqref="O11 O13:O30 O33:O53 O55:O76">
    <cfRule type="expression" dxfId="263" priority="990" stopIfTrue="1">
      <formula>$J11=$C$2</formula>
    </cfRule>
    <cfRule type="expression" dxfId="262" priority="991" stopIfTrue="1">
      <formula>AND($J11&lt;&gt;"Serviço")</formula>
    </cfRule>
    <cfRule type="expression" dxfId="261" priority="992" stopIfTrue="1">
      <formula>CELL("proteger",O11)</formula>
    </cfRule>
  </conditionalFormatting>
  <conditionalFormatting sqref="N11 N13:N30 N33:N53 N55:N76">
    <cfRule type="expression" dxfId="260" priority="993" stopIfTrue="1">
      <formula>$J11=$C$2</formula>
    </cfRule>
    <cfRule type="expression" dxfId="259" priority="994" stopIfTrue="1">
      <formula>$J11&lt;&gt;"Serviço"</formula>
    </cfRule>
    <cfRule type="expression" dxfId="258" priority="995" stopIfTrue="1">
      <formula>CELL("proteger",N11)</formula>
    </cfRule>
  </conditionalFormatting>
  <conditionalFormatting sqref="J19 J69">
    <cfRule type="expression" dxfId="257" priority="489" stopIfTrue="1">
      <formula>TipoOrçamento="Licitado"</formula>
    </cfRule>
  </conditionalFormatting>
  <conditionalFormatting sqref="J68">
    <cfRule type="expression" dxfId="256" priority="402" stopIfTrue="1">
      <formula>TipoOrçamento="Licitado"</formula>
    </cfRule>
  </conditionalFormatting>
  <conditionalFormatting sqref="J43">
    <cfRule type="expression" dxfId="255" priority="339" stopIfTrue="1">
      <formula>TipoOrçamento="Licitado"</formula>
    </cfRule>
  </conditionalFormatting>
  <conditionalFormatting sqref="J20">
    <cfRule type="expression" dxfId="254" priority="318" stopIfTrue="1">
      <formula>TipoOrçamento="Licitado"</formula>
    </cfRule>
  </conditionalFormatting>
  <conditionalFormatting sqref="J38">
    <cfRule type="expression" dxfId="253" priority="273" stopIfTrue="1">
      <formula>TipoOrçamento="Licitado"</formula>
    </cfRule>
  </conditionalFormatting>
  <conditionalFormatting sqref="J66">
    <cfRule type="expression" dxfId="252" priority="231" stopIfTrue="1">
      <formula>TipoOrçamento="Licitado"</formula>
    </cfRule>
  </conditionalFormatting>
  <conditionalFormatting sqref="J47:J50 J52">
    <cfRule type="expression" dxfId="251" priority="210" stopIfTrue="1">
      <formula>TipoOrçamento="Licitado"</formula>
    </cfRule>
  </conditionalFormatting>
  <conditionalFormatting sqref="J53">
    <cfRule type="expression" dxfId="250" priority="147" stopIfTrue="1">
      <formula>TipoOrçamento="Licitado"</formula>
    </cfRule>
  </conditionalFormatting>
  <conditionalFormatting sqref="J73">
    <cfRule type="expression" dxfId="249" priority="126" stopIfTrue="1">
      <formula>TipoOrçamento="Licitado"</formula>
    </cfRule>
  </conditionalFormatting>
  <conditionalFormatting sqref="J42">
    <cfRule type="expression" dxfId="248" priority="105" stopIfTrue="1">
      <formula>TipoOrçamento="Licitado"</formula>
    </cfRule>
  </conditionalFormatting>
  <conditionalFormatting sqref="J51">
    <cfRule type="expression" dxfId="247" priority="84" stopIfTrue="1">
      <formula>TipoOrçamento="Licitado"</formula>
    </cfRule>
  </conditionalFormatting>
  <conditionalFormatting sqref="J29">
    <cfRule type="expression" dxfId="246" priority="63" stopIfTrue="1">
      <formula>TipoOrçamento="Licitado"</formula>
    </cfRule>
  </conditionalFormatting>
  <conditionalFormatting sqref="K31:K32">
    <cfRule type="expression" dxfId="245" priority="29" stopIfTrue="1">
      <formula>$J31=$C$2</formula>
    </cfRule>
    <cfRule type="expression" dxfId="244" priority="30" stopIfTrue="1">
      <formula>AND($J31&lt;&gt;"",$J31&lt;&gt;"Serviço")</formula>
    </cfRule>
    <cfRule type="expression" dxfId="243" priority="31" stopIfTrue="1">
      <formula>$J31=""</formula>
    </cfRule>
  </conditionalFormatting>
  <conditionalFormatting sqref="P31:P32">
    <cfRule type="expression" dxfId="242" priority="22" stopIfTrue="1">
      <formula>$J31=$C$2</formula>
    </cfRule>
    <cfRule type="expression" dxfId="241" priority="32" stopIfTrue="1">
      <formula>AND($J31&lt;&gt;"Serviço")</formula>
    </cfRule>
    <cfRule type="expression" dxfId="240" priority="33" stopIfTrue="1">
      <formula>CELL("proteger",P31)</formula>
    </cfRule>
  </conditionalFormatting>
  <conditionalFormatting sqref="Q31:R32">
    <cfRule type="expression" dxfId="239" priority="34" stopIfTrue="1">
      <formula>$J31=$C$2</formula>
    </cfRule>
    <cfRule type="expression" dxfId="238" priority="35" stopIfTrue="1">
      <formula>$J31&lt;&gt;"Serviço"</formula>
    </cfRule>
    <cfRule type="expression" dxfId="237" priority="36" stopIfTrue="1">
      <formula>CELL("proteger",Q31)</formula>
    </cfRule>
  </conditionalFormatting>
  <conditionalFormatting sqref="S31:T32 Y31:Z32">
    <cfRule type="expression" dxfId="236" priority="37" stopIfTrue="1">
      <formula>$J31=$C$2</formula>
    </cfRule>
    <cfRule type="expression" dxfId="235" priority="38" stopIfTrue="1">
      <formula>$J31&lt;&gt;"Serviço"</formula>
    </cfRule>
  </conditionalFormatting>
  <conditionalFormatting sqref="L31:M32">
    <cfRule type="expression" dxfId="234" priority="39" stopIfTrue="1">
      <formula>$J31=$C$2</formula>
    </cfRule>
    <cfRule type="expression" dxfId="233" priority="40" stopIfTrue="1">
      <formula>$J31&lt;&gt;"Serviço"</formula>
    </cfRule>
    <cfRule type="expression" dxfId="232" priority="41" stopIfTrue="1">
      <formula>OR(CELL("proteger",L31),$J31="",TipoOrçamento="Licitado")</formula>
    </cfRule>
  </conditionalFormatting>
  <conditionalFormatting sqref="J31:J32">
    <cfRule type="expression" dxfId="231" priority="42" stopIfTrue="1">
      <formula>TipoOrçamento="Licitado"</formula>
    </cfRule>
  </conditionalFormatting>
  <conditionalFormatting sqref="O31:O32">
    <cfRule type="expression" dxfId="230" priority="23" stopIfTrue="1">
      <formula>$J31=$C$2</formula>
    </cfRule>
    <cfRule type="expression" dxfId="229" priority="24" stopIfTrue="1">
      <formula>AND($J31&lt;&gt;"Serviço")</formula>
    </cfRule>
    <cfRule type="expression" dxfId="228" priority="25" stopIfTrue="1">
      <formula>CELL("proteger",O31)</formula>
    </cfRule>
  </conditionalFormatting>
  <conditionalFormatting sqref="N31:N32">
    <cfRule type="expression" dxfId="227" priority="26" stopIfTrue="1">
      <formula>$J31=$C$2</formula>
    </cfRule>
    <cfRule type="expression" dxfId="226" priority="27" stopIfTrue="1">
      <formula>$J31&lt;&gt;"Serviço"</formula>
    </cfRule>
    <cfRule type="expression" dxfId="225" priority="28" stopIfTrue="1">
      <formula>CELL("proteger",N31)</formula>
    </cfRule>
  </conditionalFormatting>
  <conditionalFormatting sqref="K54">
    <cfRule type="expression" dxfId="224" priority="8" stopIfTrue="1">
      <formula>$J54=$C$2</formula>
    </cfRule>
    <cfRule type="expression" dxfId="223" priority="9" stopIfTrue="1">
      <formula>AND($J54&lt;&gt;"",$J54&lt;&gt;"Serviço")</formula>
    </cfRule>
    <cfRule type="expression" dxfId="222" priority="10" stopIfTrue="1">
      <formula>$J54=""</formula>
    </cfRule>
  </conditionalFormatting>
  <conditionalFormatting sqref="P54">
    <cfRule type="expression" dxfId="221" priority="1" stopIfTrue="1">
      <formula>$J54=$C$2</formula>
    </cfRule>
    <cfRule type="expression" dxfId="220" priority="11" stopIfTrue="1">
      <formula>AND($J54&lt;&gt;"Serviço")</formula>
    </cfRule>
    <cfRule type="expression" dxfId="219" priority="12" stopIfTrue="1">
      <formula>CELL("proteger",P54)</formula>
    </cfRule>
  </conditionalFormatting>
  <conditionalFormatting sqref="Q54:R54">
    <cfRule type="expression" dxfId="218" priority="13" stopIfTrue="1">
      <formula>$J54=$C$2</formula>
    </cfRule>
    <cfRule type="expression" dxfId="217" priority="14" stopIfTrue="1">
      <formula>$J54&lt;&gt;"Serviço"</formula>
    </cfRule>
    <cfRule type="expression" dxfId="216" priority="15" stopIfTrue="1">
      <formula>CELL("proteger",Q54)</formula>
    </cfRule>
  </conditionalFormatting>
  <conditionalFormatting sqref="S54:T54 Y54:Z54">
    <cfRule type="expression" dxfId="215" priority="16" stopIfTrue="1">
      <formula>$J54=$C$2</formula>
    </cfRule>
    <cfRule type="expression" dxfId="214" priority="17" stopIfTrue="1">
      <formula>$J54&lt;&gt;"Serviço"</formula>
    </cfRule>
  </conditionalFormatting>
  <conditionalFormatting sqref="L54:M54">
    <cfRule type="expression" dxfId="213" priority="18" stopIfTrue="1">
      <formula>$J54=$C$2</formula>
    </cfRule>
    <cfRule type="expression" dxfId="212" priority="19" stopIfTrue="1">
      <formula>$J54&lt;&gt;"Serviço"</formula>
    </cfRule>
    <cfRule type="expression" dxfId="211" priority="20" stopIfTrue="1">
      <formula>OR(CELL("proteger",L54),$J54="",TipoOrçamento="Licitado")</formula>
    </cfRule>
  </conditionalFormatting>
  <conditionalFormatting sqref="J54">
    <cfRule type="expression" dxfId="210" priority="21" stopIfTrue="1">
      <formula>TipoOrçamento="Licitado"</formula>
    </cfRule>
  </conditionalFormatting>
  <conditionalFormatting sqref="O54">
    <cfRule type="expression" dxfId="209" priority="2" stopIfTrue="1">
      <formula>$J54=$C$2</formula>
    </cfRule>
    <cfRule type="expression" dxfId="208" priority="3" stopIfTrue="1">
      <formula>AND($J54&lt;&gt;"Serviço")</formula>
    </cfRule>
    <cfRule type="expression" dxfId="207" priority="4" stopIfTrue="1">
      <formula>CELL("proteger",O54)</formula>
    </cfRule>
  </conditionalFormatting>
  <conditionalFormatting sqref="N54">
    <cfRule type="expression" dxfId="206" priority="5" stopIfTrue="1">
      <formula>$J54=$C$2</formula>
    </cfRule>
    <cfRule type="expression" dxfId="205" priority="6" stopIfTrue="1">
      <formula>$J54&lt;&gt;"Serviço"</formula>
    </cfRule>
    <cfRule type="expression" dxfId="204" priority="7" stopIfTrue="1">
      <formula>CELL("proteger",N54)</formula>
    </cfRule>
  </conditionalFormatting>
  <dataValidations count="3">
    <dataValidation type="decimal" operator="greaterThan" allowBlank="1" showInputMessage="1" showErrorMessage="1" error="Apenas números decimais maiores que zero." sqref="Q11 Q13:Q76">
      <formula1>0</formula1>
    </dataValidation>
    <dataValidation type="list" errorStyle="warning" allowBlank="1" showInputMessage="1" showErrorMessage="1" error="Selecione um dos 5 BDI da lista._x000a__x000a_Caso tenha mais de 5 BDI nesta Planilha Orçamentária digite apenas valor percentual." sqref="R11 R13:R76">
      <formula1>Dados.Lista.BDI</formula1>
    </dataValidation>
    <dataValidation type="list" showInputMessage="1" showErrorMessage="1" errorTitle="Erro de Entrada" error="Selecione somente os itens da lista." promptTitle="Nível:" prompt="Selecione na lista o nível de itemização da Planilha." sqref="J11 J14:J76">
      <formula1>$C$2:$G$2</formula1>
    </dataValidation>
  </dataValidations>
  <pageMargins left="0.7" right="0.56000000000000005" top="0.51" bottom="0.51" header="0.3" footer="0.31"/>
  <pageSetup paperSize="9" scale="64" fitToHeight="0" orientation="landscape" r:id="rId1"/>
  <headerFooter alignWithMargins="0">
    <oddHeader>&amp;C&amp;14I</oddHeader>
    <oddFooter>&amp;R&amp;P&amp;L27.476 v007   micro</oddFooter>
  </headerFooter>
  <ignoredErrors>
    <ignoredError sqref="K88 K91" unlocked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83"/>
  <sheetViews>
    <sheetView showGridLines="0" zoomScale="130" zoomScaleNormal="130" zoomScaleSheetLayoutView="100" workbookViewId="0">
      <pane xSplit="5" ySplit="10" topLeftCell="F53" activePane="bottomRight" state="frozen"/>
      <selection pane="topRight"/>
      <selection pane="bottomLeft"/>
      <selection pane="bottomRight" activeCell="F55" sqref="F55"/>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4" customFormat="1" ht="17.25" customHeight="1" x14ac:dyDescent="0.25">
      <c r="E1" s="85" t="s">
        <v>63</v>
      </c>
      <c r="F1" s="36" t="s">
        <v>64</v>
      </c>
      <c r="K1" s="18"/>
      <c r="O1"/>
    </row>
    <row r="2" spans="1:21" s="4" customFormat="1" ht="15.75" x14ac:dyDescent="0.25">
      <c r="D2" s="6"/>
      <c r="E2" s="85"/>
      <c r="F2" s="36"/>
      <c r="K2" s="19"/>
      <c r="O2"/>
    </row>
    <row r="3" spans="1:21" s="4" customFormat="1" x14ac:dyDescent="0.2">
      <c r="K3" s="20"/>
      <c r="P3" s="20"/>
    </row>
    <row r="4" spans="1:21" s="4" customFormat="1" ht="39.950000000000003" customHeight="1" x14ac:dyDescent="0.2">
      <c r="P4" s="20"/>
    </row>
    <row r="5" spans="1:21" s="4" customFormat="1" ht="39.950000000000003" customHeight="1" x14ac:dyDescent="0.2">
      <c r="P5" s="20"/>
    </row>
    <row r="6" spans="1:21" s="4" customFormat="1" ht="20.25" customHeight="1" x14ac:dyDescent="0.2">
      <c r="P6" s="20"/>
    </row>
    <row r="7" spans="1:21" s="4" customFormat="1" ht="12.75" hidden="1" customHeight="1" x14ac:dyDescent="0.2">
      <c r="E7" s="224">
        <f ca="1">OFFSET(PO!$P$12,ROW($E7)-ROW(E$12),0)</f>
        <v>0</v>
      </c>
      <c r="P7" s="20"/>
    </row>
    <row r="8" spans="1:21" s="4" customFormat="1" ht="9.9499999999999993" customHeight="1" x14ac:dyDescent="0.2">
      <c r="P8" s="20"/>
    </row>
    <row r="9" spans="1:21" s="4" customFormat="1" ht="60" customHeight="1" x14ac:dyDescent="0.2">
      <c r="B9" s="17"/>
      <c r="C9" s="14"/>
      <c r="D9" s="9"/>
      <c r="E9" s="146" t="s">
        <v>46</v>
      </c>
      <c r="F9" s="399" t="s">
        <v>301</v>
      </c>
      <c r="G9" s="399"/>
      <c r="H9" s="399"/>
      <c r="I9" s="399"/>
      <c r="J9" s="399"/>
      <c r="K9" s="399"/>
      <c r="L9" s="399"/>
      <c r="M9" s="399"/>
      <c r="N9" s="399"/>
      <c r="O9" s="399"/>
      <c r="U9" s="122"/>
    </row>
    <row r="10" spans="1:21" s="15" customFormat="1" ht="30" customHeight="1" x14ac:dyDescent="0.2">
      <c r="A10" s="123" t="s">
        <v>3</v>
      </c>
      <c r="B10" s="123" t="s">
        <v>147</v>
      </c>
      <c r="C10" s="123" t="s">
        <v>142</v>
      </c>
      <c r="D10" s="124" t="s">
        <v>158</v>
      </c>
      <c r="E10" s="123" t="s">
        <v>148</v>
      </c>
      <c r="F10" s="125">
        <f t="shared" ref="F10:O10" ca="1" si="0">IF(OFFSET(F10,0,-1)="Quantidade",1,OFFSET(F10,0,-1)+1)</f>
        <v>1</v>
      </c>
      <c r="G10" s="125">
        <f t="shared" ca="1" si="0"/>
        <v>2</v>
      </c>
      <c r="H10" s="125">
        <f t="shared" ca="1" si="0"/>
        <v>3</v>
      </c>
      <c r="I10" s="125">
        <f t="shared" ca="1" si="0"/>
        <v>4</v>
      </c>
      <c r="J10" s="125">
        <f t="shared" ca="1" si="0"/>
        <v>5</v>
      </c>
      <c r="K10" s="125">
        <f t="shared" ca="1" si="0"/>
        <v>6</v>
      </c>
      <c r="L10" s="125">
        <f t="shared" ca="1" si="0"/>
        <v>7</v>
      </c>
      <c r="M10" s="125">
        <f t="shared" ca="1" si="0"/>
        <v>8</v>
      </c>
      <c r="N10" s="125">
        <f t="shared" ca="1" si="0"/>
        <v>9</v>
      </c>
      <c r="O10" s="125">
        <f t="shared" ca="1" si="0"/>
        <v>10</v>
      </c>
      <c r="U10" s="125">
        <f ca="1">IF(OFFSET(U10,0,-1)="Quantidade",1,OFFSET(U10,0,-1)+1)</f>
        <v>1</v>
      </c>
    </row>
    <row r="11" spans="1:21" s="4" customFormat="1" hidden="1" x14ac:dyDescent="0.2">
      <c r="A11" s="128" t="str">
        <f ca="1">OFFSET(PO!J$12,ROW(A11)-ROW($A$12),0)</f>
        <v>Serviço</v>
      </c>
      <c r="B11" s="130" t="e">
        <f ca="1">IF($A11=0,"",OFFSET(PO!K$12,ROW(B11)-ROW(B$12),0))</f>
        <v>#VALUE!</v>
      </c>
      <c r="C11" s="127" t="str">
        <f ca="1">IF(OFFSET(PO!N$12,ROW(C11)-ROW(C$12),0)=0,"",OFFSET(PO!N$12,ROW(C11)-ROW(C$12),0))</f>
        <v/>
      </c>
      <c r="D11" s="129" t="str">
        <f ca="1">IF(OFFSET(PO!O$12,ROW(D11)-ROW(D$12),0)=0,"",OFFSET(PO!O$12,ROW(D11)-ROW(D$12),0))</f>
        <v/>
      </c>
      <c r="E11" s="165">
        <f ca="1">IF($A11&lt;&gt;"Serviço",0,ROUND(SUMIF($F$9:$P$9,"&lt;&gt;",$F11:$P11),15-13*PO!$X$3))</f>
        <v>0</v>
      </c>
      <c r="F11" s="215"/>
      <c r="G11" s="215"/>
      <c r="H11" s="215"/>
      <c r="I11" s="215"/>
      <c r="J11" s="215"/>
      <c r="K11" s="215"/>
      <c r="L11" s="215"/>
      <c r="M11" s="215"/>
      <c r="N11" s="215"/>
      <c r="O11" s="215"/>
      <c r="U11" s="215"/>
    </row>
    <row r="12" spans="1:21" s="4" customFormat="1" x14ac:dyDescent="0.2">
      <c r="A12" s="76" t="str">
        <f>PO!J12</f>
        <v>CTEF</v>
      </c>
      <c r="B12" s="76"/>
      <c r="C12" s="76">
        <f>PO!N12</f>
        <v>0</v>
      </c>
      <c r="D12" s="76"/>
      <c r="E12" s="216"/>
      <c r="F12" s="217"/>
      <c r="G12" s="217"/>
      <c r="H12" s="217"/>
      <c r="I12" s="217"/>
      <c r="J12" s="217"/>
      <c r="K12" s="217"/>
      <c r="L12" s="217"/>
      <c r="M12" s="217"/>
      <c r="N12" s="217"/>
      <c r="O12" s="217"/>
      <c r="U12" s="217"/>
    </row>
    <row r="13" spans="1:21" s="4" customFormat="1" x14ac:dyDescent="0.2">
      <c r="A13" s="126" t="str">
        <f ca="1">OFFSET(PO!J$12,ROW(A13)-ROW($A$12),0)</f>
        <v>Meta</v>
      </c>
      <c r="B13" s="130" t="str">
        <f ca="1">IF($A13=0,"",OFFSET(PO!K$12,ROW(B13)-ROW(B$12),0))</f>
        <v>1.</v>
      </c>
      <c r="C13" s="127" t="str">
        <f ca="1">IF(OFFSET(PO!N$12,ROW(C13)-ROW(C$12),0)=0,"",OFFSET(PO!N$12,ROW(C13)-ROW(C$12),0))</f>
        <v>PAVILHÃO - ESTRUTURA METÁLICA - BAIRRO CRISTO REI</v>
      </c>
      <c r="D13" s="129" t="str">
        <f ca="1">IF(OFFSET(PO!O$12,ROW(D13)-ROW(D$12),0)=0,"",OFFSET(PO!O$12,ROW(D13)-ROW(D$12),0))</f>
        <v/>
      </c>
      <c r="E13" s="165">
        <f ca="1">IF($A13&lt;&gt;"Serviço",0,ROUND(SUMIF($F$9:$P$9,"&lt;&gt;",$F13:$P13),15-13*PO!$X$3))</f>
        <v>0</v>
      </c>
      <c r="F13" s="398"/>
      <c r="G13" s="398"/>
      <c r="H13" s="398"/>
      <c r="I13" s="398"/>
      <c r="J13" s="398"/>
      <c r="K13" s="398"/>
      <c r="L13" s="398"/>
      <c r="M13" s="398"/>
      <c r="N13" s="398"/>
      <c r="O13" s="398"/>
      <c r="U13" s="215"/>
    </row>
    <row r="14" spans="1:21" s="4" customFormat="1" x14ac:dyDescent="0.2">
      <c r="A14" s="128" t="str">
        <f ca="1">OFFSET(PO!J$12,ROW(A14)-ROW($A$12),0)</f>
        <v>Nível 2</v>
      </c>
      <c r="B14" s="130" t="str">
        <f ca="1">IF($A14=0,"",OFFSET(PO!K$12,ROW(B14)-ROW(B$12),0))</f>
        <v>1.1.</v>
      </c>
      <c r="C14" s="127" t="str">
        <f ca="1">IF(OFFSET(PO!N$12,ROW(C14)-ROW(C$12),0)=0,"",OFFSET(PO!N$12,ROW(C14)-ROW(C$12),0))</f>
        <v>ESTRUTURA METÁLICA</v>
      </c>
      <c r="D14" s="129" t="str">
        <f ca="1">IF(OFFSET(PO!O$12,ROW(D14)-ROW(D$12),0)=0,"",OFFSET(PO!O$12,ROW(D14)-ROW(D$12),0))</f>
        <v/>
      </c>
      <c r="E14" s="165">
        <f ca="1">IF($A14&lt;&gt;"Serviço",0,ROUND(SUMIF($F$9:$P$9,"&lt;&gt;",$F14:$P14),15-13*PO!$X$3))</f>
        <v>0</v>
      </c>
      <c r="F14" s="398"/>
      <c r="G14" s="398"/>
      <c r="H14" s="398"/>
      <c r="I14" s="398"/>
      <c r="J14" s="398"/>
      <c r="K14" s="398"/>
      <c r="L14" s="398"/>
      <c r="M14" s="398"/>
      <c r="N14" s="398"/>
      <c r="O14" s="398"/>
      <c r="U14" s="215"/>
    </row>
    <row r="15" spans="1:21" s="4" customFormat="1" ht="38.25" x14ac:dyDescent="0.2">
      <c r="A15" s="128" t="str">
        <f ca="1">OFFSET(PO!J$12,ROW(A15)-ROW($A$12),0)</f>
        <v>Serviço</v>
      </c>
      <c r="B15" s="130" t="str">
        <f ca="1">IF($A15=0,"",OFFSET(PO!K$12,ROW(B15)-ROW(B$12),0))</f>
        <v>1.1.1.</v>
      </c>
      <c r="C15" s="127" t="str">
        <f ca="1">IF(OFFSET(PO!N$12,ROW(C15)-ROW(C$12),0)=0,"",OFFSET(PO!N$12,ROW(C15)-ROW(C$12),0))</f>
        <v>FABRICAÇÃO E INSTALAÇÃO DE TESOURA INTEIRA EM AÇO, VÃO DE 12 M, PARA TELHA ONDULADA DE FIBROCIMENTO, METÁLICA, PLÁSTICA OU TERMOACÚSTICA, INCLUSO IÇAMENTO</v>
      </c>
      <c r="D15" s="129" t="str">
        <f ca="1">IF(OFFSET(PO!O$12,ROW(D15)-ROW(D$12),0)=0,"",OFFSET(PO!O$12,ROW(D15)-ROW(D$12),0))</f>
        <v>UN</v>
      </c>
      <c r="E15" s="165">
        <f ca="1">IF($A15&lt;&gt;"Serviço",0,ROUND(SUMIF($F$9:$P$9,"&lt;&gt;",$F15:$P15),15-13*PO!$X$3))</f>
        <v>5</v>
      </c>
      <c r="F15" s="398">
        <v>5</v>
      </c>
      <c r="G15" s="398"/>
      <c r="H15" s="398"/>
      <c r="I15" s="398"/>
      <c r="J15" s="398"/>
      <c r="K15" s="398"/>
      <c r="L15" s="398"/>
      <c r="M15" s="398"/>
      <c r="N15" s="398"/>
      <c r="O15" s="398"/>
      <c r="U15" s="215"/>
    </row>
    <row r="16" spans="1:21" s="4" customFormat="1" ht="51" x14ac:dyDescent="0.2">
      <c r="A16" s="128" t="str">
        <f ca="1">OFFSET(PO!J$12,ROW(A16)-ROW($A$12),0)</f>
        <v>Serviço</v>
      </c>
      <c r="B16" s="130" t="str">
        <f ca="1">IF($A16=0,"",OFFSET(PO!K$12,ROW(B16)-ROW(B$12),0))</f>
        <v>1.1.2.</v>
      </c>
      <c r="C16" s="127" t="str">
        <f ca="1">IF(OFFSET(PO!N$12,ROW(C16)-ROW(C$12),0)=0,"",OFFSET(PO!N$12,ROW(C16)-ROW(C$12),0))</f>
        <v>TRAMA DE AÇO COMPOSTA POR TERÇAS PARA TELHADOS DE ATÉ 2 ÁGUAS PARA TELHA ONDULADA DE FIBROCIMENTO, METÁLICA, PLÁSTICA OU TERMOACÚSTICA, INCLUSO TRANSPORTE VERTICAL</v>
      </c>
      <c r="D16" s="129" t="str">
        <f ca="1">IF(OFFSET(PO!O$12,ROW(D16)-ROW(D$12),0)=0,"",OFFSET(PO!O$12,ROW(D16)-ROW(D$12),0))</f>
        <v>M2</v>
      </c>
      <c r="E16" s="165">
        <f ca="1">IF($A16&lt;&gt;"Serviço",0,ROUND(SUMIF($F$9:$P$9,"&lt;&gt;",$F16:$P16),15-13*PO!$X$3))</f>
        <v>375</v>
      </c>
      <c r="F16" s="398">
        <v>375</v>
      </c>
      <c r="G16" s="398"/>
      <c r="H16" s="398"/>
      <c r="I16" s="398"/>
      <c r="J16" s="398"/>
      <c r="K16" s="398"/>
      <c r="L16" s="398"/>
      <c r="M16" s="398"/>
      <c r="N16" s="398"/>
      <c r="O16" s="398"/>
      <c r="U16" s="215"/>
    </row>
    <row r="17" spans="1:21" s="4" customFormat="1" ht="25.5" x14ac:dyDescent="0.2">
      <c r="A17" s="128" t="str">
        <f ca="1">OFFSET(PO!J$12,ROW(A17)-ROW($A$12),0)</f>
        <v>Serviço</v>
      </c>
      <c r="B17" s="130" t="str">
        <f ca="1">IF($A17=0,"",OFFSET(PO!K$12,ROW(B17)-ROW(B$12),0))</f>
        <v>1.1.3.</v>
      </c>
      <c r="C17" s="127" t="str">
        <f ca="1">IF(OFFSET(PO!N$12,ROW(C17)-ROW(C$12),0)=0,"",OFFSET(PO!N$12,ROW(C17)-ROW(C$12),0))</f>
        <v>TELHAMENTO COM TELHA DE AÇO/ALUMÍNIO E = 0,5 MM, COM ATÉ 2 ÁGUAS, INCLUSO IÇAMENTO</v>
      </c>
      <c r="D17" s="129" t="str">
        <f ca="1">IF(OFFSET(PO!O$12,ROW(D17)-ROW(D$12),0)=0,"",OFFSET(PO!O$12,ROW(D17)-ROW(D$12),0))</f>
        <v>M2</v>
      </c>
      <c r="E17" s="165">
        <f ca="1">IF($A17&lt;&gt;"Serviço",0,ROUND(SUMIF($F$9:$P$9,"&lt;&gt;",$F17:$P17),15-13*PO!$X$3))</f>
        <v>375</v>
      </c>
      <c r="F17" s="398">
        <v>375</v>
      </c>
      <c r="G17" s="398"/>
      <c r="H17" s="398"/>
      <c r="I17" s="398"/>
      <c r="J17" s="398"/>
      <c r="K17" s="398"/>
      <c r="L17" s="398"/>
      <c r="M17" s="398"/>
      <c r="N17" s="398"/>
      <c r="O17" s="398"/>
      <c r="U17" s="215"/>
    </row>
    <row r="18" spans="1:21" s="4" customFormat="1" ht="38.25" x14ac:dyDescent="0.2">
      <c r="A18" s="128" t="str">
        <f ca="1">OFFSET(PO!J$12,ROW(A18)-ROW($A$12),0)</f>
        <v>Serviço</v>
      </c>
      <c r="B18" s="130" t="str">
        <f ca="1">IF($A18=0,"",OFFSET(PO!K$12,ROW(B18)-ROW(B$12),0))</f>
        <v>1.1.4.</v>
      </c>
      <c r="C18" s="127" t="str">
        <f ca="1">IF(OFFSET(PO!N$12,ROW(C18)-ROW(C$12),0)=0,"",OFFSET(PO!N$12,ROW(C18)-ROW(C$12),0))</f>
        <v>CALHA EM CHAPA DE AÇO GALVANIZADO NÚMERO 24, DESENVOLVIMENTO DE 50 CM, INCLUSO TRANSPORTE VERTICAL</v>
      </c>
      <c r="D18" s="129" t="str">
        <f ca="1">IF(OFFSET(PO!O$12,ROW(D18)-ROW(D$12),0)=0,"",OFFSET(PO!O$12,ROW(D18)-ROW(D$12),0))</f>
        <v>M</v>
      </c>
      <c r="E18" s="165">
        <f ca="1">IF($A18&lt;&gt;"Serviço",0,ROUND(SUMIF($F$9:$P$9,"&lt;&gt;",$F18:$P18),15-13*PO!$X$3))</f>
        <v>42</v>
      </c>
      <c r="F18" s="398">
        <v>42</v>
      </c>
      <c r="G18" s="398"/>
      <c r="H18" s="398"/>
      <c r="I18" s="398"/>
      <c r="J18" s="398"/>
      <c r="K18" s="398"/>
      <c r="L18" s="398"/>
      <c r="M18" s="398"/>
      <c r="N18" s="398"/>
      <c r="O18" s="398"/>
      <c r="U18" s="215"/>
    </row>
    <row r="19" spans="1:21" s="4" customFormat="1" x14ac:dyDescent="0.2">
      <c r="A19" s="128" t="str">
        <f ca="1">OFFSET(PO!J$12,ROW(A19)-ROW($A$12),0)</f>
        <v>Nível 2</v>
      </c>
      <c r="B19" s="130" t="str">
        <f ca="1">IF($A19=0,"",OFFSET(PO!K$12,ROW(B19)-ROW(B$12),0))</f>
        <v>1.2.</v>
      </c>
      <c r="C19" s="127" t="str">
        <f ca="1">IF(OFFSET(PO!N$12,ROW(C19)-ROW(C$12),0)=0,"",OFFSET(PO!N$12,ROW(C19)-ROW(C$12),0))</f>
        <v xml:space="preserve">ALVENARIA </v>
      </c>
      <c r="D19" s="129" t="str">
        <f ca="1">IF(OFFSET(PO!O$12,ROW(D19)-ROW(D$12),0)=0,"",OFFSET(PO!O$12,ROW(D19)-ROW(D$12),0))</f>
        <v/>
      </c>
      <c r="E19" s="165">
        <f ca="1">IF($A19&lt;&gt;"Serviço",0,ROUND(SUMIF($F$9:$P$9,"&lt;&gt;",$F19:$P19),15-13*PO!$X$3))</f>
        <v>0</v>
      </c>
      <c r="F19" s="398"/>
      <c r="G19" s="398"/>
      <c r="H19" s="398"/>
      <c r="I19" s="398"/>
      <c r="J19" s="398"/>
      <c r="K19" s="398"/>
      <c r="L19" s="398"/>
      <c r="M19" s="398"/>
      <c r="N19" s="398"/>
      <c r="O19" s="398"/>
      <c r="U19" s="215"/>
    </row>
    <row r="20" spans="1:21" s="4" customFormat="1" ht="51" x14ac:dyDescent="0.2">
      <c r="A20" s="128" t="str">
        <f ca="1">OFFSET(PO!J$12,ROW(A20)-ROW($A$12),0)</f>
        <v>Serviço</v>
      </c>
      <c r="B20" s="130" t="str">
        <f ca="1">IF($A20=0,"",OFFSET(PO!K$12,ROW(B20)-ROW(B$12),0))</f>
        <v>1.2.1.</v>
      </c>
      <c r="C20" s="127" t="str">
        <f ca="1">IF(OFFSET(PO!N$12,ROW(C20)-ROW(C$12),0)=0,"",OFFSET(PO!N$12,ROW(C20)-ROW(C$12),0))</f>
        <v>ALVENARIA DE VEDAÇÃO DE BLOCOS VAZADOS DE CONCRETO DE 9X19X39 CM (ESPESSURA 9 CM) E ARGAMASSA DE ASSENTAMENTO COM PREPARO EM BETONEIRA (Divisórias internas BWC's)</v>
      </c>
      <c r="D20" s="129" t="str">
        <f ca="1">IF(OFFSET(PO!O$12,ROW(D20)-ROW(D$12),0)=0,"",OFFSET(PO!O$12,ROW(D20)-ROW(D$12),0))</f>
        <v>M2</v>
      </c>
      <c r="E20" s="165">
        <f ca="1">IF($A20&lt;&gt;"Serviço",0,ROUND(SUMIF($F$9:$P$9,"&lt;&gt;",$F20:$P20),15-13*PO!$X$3))</f>
        <v>54</v>
      </c>
      <c r="F20" s="398">
        <f>18*3</f>
        <v>54</v>
      </c>
      <c r="G20" s="398"/>
      <c r="H20" s="398"/>
      <c r="I20" s="398"/>
      <c r="J20" s="398"/>
      <c r="K20" s="398"/>
      <c r="L20" s="398"/>
      <c r="M20" s="398"/>
      <c r="N20" s="398"/>
      <c r="O20" s="398"/>
      <c r="U20" s="215"/>
    </row>
    <row r="21" spans="1:21" s="4" customFormat="1" ht="51" x14ac:dyDescent="0.2">
      <c r="A21" s="128" t="str">
        <f ca="1">OFFSET(PO!J$12,ROW(A21)-ROW($A$12),0)</f>
        <v>Serviço</v>
      </c>
      <c r="B21" s="130" t="str">
        <f ca="1">IF($A21=0,"",OFFSET(PO!K$12,ROW(B21)-ROW(B$12),0))</f>
        <v>1.2.2.</v>
      </c>
      <c r="C21" s="127" t="str">
        <f ca="1">IF(OFFSET(PO!N$12,ROW(C21)-ROW(C$12),0)=0,"",OFFSET(PO!N$12,ROW(C21)-ROW(C$12),0))</f>
        <v>ALVENARIA DE VEDAÇÃO DE BLOCOS  VAZADOS DE CONCRETO APARENTE DE 14X19X39 CM (ESPESSURA 14 CM) E ARGAMASSA DE ASSENTAMENTO COM PREPARO EM BETONEIRA</v>
      </c>
      <c r="D21" s="129" t="str">
        <f ca="1">IF(OFFSET(PO!O$12,ROW(D21)-ROW(D$12),0)=0,"",OFFSET(PO!O$12,ROW(D21)-ROW(D$12),0))</f>
        <v>M2</v>
      </c>
      <c r="E21" s="165">
        <f ca="1">IF($A21&lt;&gt;"Serviço",0,ROUND(SUMIF($F$9:$P$9,"&lt;&gt;",$F21:$P21),15-13*PO!$X$3))</f>
        <v>90</v>
      </c>
      <c r="F21" s="398">
        <v>90</v>
      </c>
      <c r="G21" s="398"/>
      <c r="H21" s="398"/>
      <c r="I21" s="398"/>
      <c r="J21" s="398"/>
      <c r="K21" s="398"/>
      <c r="L21" s="398"/>
      <c r="M21" s="398"/>
      <c r="N21" s="398"/>
      <c r="O21" s="398"/>
      <c r="U21" s="215"/>
    </row>
    <row r="22" spans="1:21" s="4" customFormat="1" ht="51" x14ac:dyDescent="0.2">
      <c r="A22" s="128" t="str">
        <f ca="1">OFFSET(PO!J$12,ROW(A22)-ROW($A$12),0)</f>
        <v>Serviço</v>
      </c>
      <c r="B22" s="130" t="str">
        <f ca="1">IF($A22=0,"",OFFSET(PO!K$12,ROW(B22)-ROW(B$12),0))</f>
        <v>1.2.3.</v>
      </c>
      <c r="C22" s="127" t="str">
        <f ca="1">IF(OFFSET(PO!N$12,ROW(C22)-ROW(C$12),0)=0,"",OFFSET(PO!N$12,ROW(C22)-ROW(C$12),0))</f>
        <v>CHAPISCO APLICADO EM ALVENARIA (COM PRESENÇA DE VÃOS) E ESTRUTURAS DE CONCRETO DE FACHADA, COM COLHER DE PEDREIRO.  ARGAMASSA TRAÇO 1:3 COM PREPARO EM BETONEIRA 400L</v>
      </c>
      <c r="D22" s="129" t="str">
        <f ca="1">IF(OFFSET(PO!O$12,ROW(D22)-ROW(D$12),0)=0,"",OFFSET(PO!O$12,ROW(D22)-ROW(D$12),0))</f>
        <v>M2</v>
      </c>
      <c r="E22" s="165">
        <f ca="1">IF($A22&lt;&gt;"Serviço",0,ROUND(SUMIF($F$9:$P$9,"&lt;&gt;",$F22:$P22),15-13*PO!$X$3))</f>
        <v>180</v>
      </c>
      <c r="F22" s="398">
        <v>180</v>
      </c>
      <c r="G22" s="398"/>
      <c r="H22" s="398"/>
      <c r="I22" s="398"/>
      <c r="J22" s="398"/>
      <c r="K22" s="398"/>
      <c r="L22" s="398"/>
      <c r="M22" s="398"/>
      <c r="N22" s="398"/>
      <c r="O22" s="398"/>
      <c r="U22" s="215"/>
    </row>
    <row r="23" spans="1:21" s="4" customFormat="1" ht="51" x14ac:dyDescent="0.2">
      <c r="A23" s="128" t="str">
        <f ca="1">OFFSET(PO!J$12,ROW(A23)-ROW($A$12),0)</f>
        <v>Serviço</v>
      </c>
      <c r="B23" s="130" t="str">
        <f ca="1">IF($A23=0,"",OFFSET(PO!K$12,ROW(B23)-ROW(B$12),0))</f>
        <v>1.2.4.</v>
      </c>
      <c r="C23" s="127" t="str">
        <f ca="1">IF(OFFSET(PO!N$12,ROW(C23)-ROW(C$12),0)=0,"",OFFSET(PO!N$12,ROW(C23)-ROW(C$12),0))</f>
        <v>SERVIÇO DE CONTRAPISO EM ARGAMASSA TRAÇO 1:4 (CIM E AREIA), EM BETONEIRA 400 L, ESPESSURA 3 CM ÁREAS SECAS E 3 CM ÁREAS MOLHADAS, PARA EDIFICAÇÃO PÚBLICA PADRÃO</v>
      </c>
      <c r="D23" s="129" t="str">
        <f ca="1">IF(OFFSET(PO!O$12,ROW(D23)-ROW(D$12),0)=0,"",OFFSET(PO!O$12,ROW(D23)-ROW(D$12),0))</f>
        <v>M2</v>
      </c>
      <c r="E23" s="165">
        <f ca="1">IF($A23&lt;&gt;"Serviço",0,ROUND(SUMIF($F$9:$P$9,"&lt;&gt;",$F23:$P23),15-13*PO!$X$3))</f>
        <v>31.6</v>
      </c>
      <c r="F23" s="398">
        <v>31.6</v>
      </c>
      <c r="G23" s="398"/>
      <c r="H23" s="398"/>
      <c r="I23" s="398"/>
      <c r="J23" s="398"/>
      <c r="K23" s="398"/>
      <c r="L23" s="398"/>
      <c r="M23" s="398"/>
      <c r="N23" s="398"/>
      <c r="O23" s="398"/>
      <c r="U23" s="215"/>
    </row>
    <row r="24" spans="1:21" s="4" customFormat="1" ht="38.25" x14ac:dyDescent="0.2">
      <c r="A24" s="128" t="str">
        <f ca="1">OFFSET(PO!J$12,ROW(A24)-ROW($A$12),0)</f>
        <v>Serviço</v>
      </c>
      <c r="B24" s="130" t="str">
        <f ca="1">IF($A24=0,"",OFFSET(PO!K$12,ROW(B24)-ROW(B$12),0))</f>
        <v>1.2.5.</v>
      </c>
      <c r="C24" s="127" t="str">
        <f ca="1">IF(OFFSET(PO!N$12,ROW(C24)-ROW(C$12),0)=0,"",OFFSET(PO!N$12,ROW(C24)-ROW(C$12),0))</f>
        <v>REVESTIMENTO CERÂMICO PARA PISO COM PLACAS TIPO PORCELANATO DE DIMENSÕES 45X45 CM APLICADA EM AMBIENTES DE ÁREA MAIOR QUE 10 M²</v>
      </c>
      <c r="D24" s="129" t="str">
        <f ca="1">IF(OFFSET(PO!O$12,ROW(D24)-ROW(D$12),0)=0,"",OFFSET(PO!O$12,ROW(D24)-ROW(D$12),0))</f>
        <v>M2</v>
      </c>
      <c r="E24" s="165">
        <f ca="1">IF($A24&lt;&gt;"Serviço",0,ROUND(SUMIF($F$9:$P$9,"&lt;&gt;",$F24:$P24),15-13*PO!$X$3))</f>
        <v>31.6</v>
      </c>
      <c r="F24" s="398">
        <v>31.6</v>
      </c>
      <c r="G24" s="398"/>
      <c r="H24" s="398"/>
      <c r="I24" s="398"/>
      <c r="J24" s="398"/>
      <c r="K24" s="398"/>
      <c r="L24" s="398"/>
      <c r="M24" s="398"/>
      <c r="N24" s="398"/>
      <c r="O24" s="398"/>
      <c r="U24" s="215"/>
    </row>
    <row r="25" spans="1:21" s="4" customFormat="1" ht="51" x14ac:dyDescent="0.2">
      <c r="A25" s="128" t="str">
        <f ca="1">OFFSET(PO!J$12,ROW(A25)-ROW($A$12),0)</f>
        <v>Serviço</v>
      </c>
      <c r="B25" s="130" t="str">
        <f ca="1">IF($A25=0,"",OFFSET(PO!K$12,ROW(B25)-ROW(B$12),0))</f>
        <v>1.2.6.</v>
      </c>
      <c r="C25" s="127" t="str">
        <f ca="1">IF(OFFSET(PO!N$12,ROW(C25)-ROW(C$12),0)=0,"",OFFSET(PO!N$12,ROW(C25)-ROW(C$12),0))</f>
        <v>REVESTIMENTO CERÂMICO PARA PAREDES INTERNAS COM PLACAS TIPO ESMALTADA EXTRA DE DIMENSÕES 25X35 CM APLICADAS EM AMBIENTES DE ÁREA MENOR QUE 5 M² NA ALTURA INTEIRA DAS PAREDES</v>
      </c>
      <c r="D25" s="129" t="str">
        <f ca="1">IF(OFFSET(PO!O$12,ROW(D25)-ROW(D$12),0)=0,"",OFFSET(PO!O$12,ROW(D25)-ROW(D$12),0))</f>
        <v>M2</v>
      </c>
      <c r="E25" s="165">
        <f ca="1">IF($A25&lt;&gt;"Serviço",0,ROUND(SUMIF($F$9:$P$9,"&lt;&gt;",$F25:$P25),15-13*PO!$X$3))</f>
        <v>280</v>
      </c>
      <c r="F25" s="398">
        <v>280</v>
      </c>
      <c r="G25" s="398"/>
      <c r="H25" s="398"/>
      <c r="I25" s="398"/>
      <c r="J25" s="398"/>
      <c r="K25" s="398"/>
      <c r="L25" s="398"/>
      <c r="M25" s="398"/>
      <c r="N25" s="398"/>
      <c r="O25" s="398"/>
      <c r="U25" s="215"/>
    </row>
    <row r="26" spans="1:21" s="4" customFormat="1" x14ac:dyDescent="0.2">
      <c r="A26" s="128" t="str">
        <f ca="1">OFFSET(PO!J$12,ROW(A26)-ROW($A$12),0)</f>
        <v>Nível 2</v>
      </c>
      <c r="B26" s="130" t="str">
        <f ca="1">IF($A26=0,"",OFFSET(PO!K$12,ROW(B26)-ROW(B$12),0))</f>
        <v>1.3.</v>
      </c>
      <c r="C26" s="127" t="str">
        <f ca="1">IF(OFFSET(PO!N$12,ROW(C26)-ROW(C$12),0)=0,"",OFFSET(PO!N$12,ROW(C26)-ROW(C$12),0))</f>
        <v>ESQUADRIAS / PINTURA</v>
      </c>
      <c r="D26" s="129" t="str">
        <f ca="1">IF(OFFSET(PO!O$12,ROW(D26)-ROW(D$12),0)=0,"",OFFSET(PO!O$12,ROW(D26)-ROW(D$12),0))</f>
        <v/>
      </c>
      <c r="E26" s="165">
        <f ca="1">IF($A26&lt;&gt;"Serviço",0,ROUND(SUMIF($F$9:$P$9,"&lt;&gt;",$F26:$P26),15-13*PO!$X$3))</f>
        <v>0</v>
      </c>
      <c r="F26" s="398"/>
      <c r="G26" s="398"/>
      <c r="H26" s="398"/>
      <c r="I26" s="398"/>
      <c r="J26" s="398"/>
      <c r="K26" s="398"/>
      <c r="L26" s="398"/>
      <c r="M26" s="398"/>
      <c r="N26" s="398"/>
      <c r="O26" s="398"/>
      <c r="U26" s="215"/>
    </row>
    <row r="27" spans="1:21" s="4" customFormat="1" ht="38.25" x14ac:dyDescent="0.2">
      <c r="A27" s="128" t="str">
        <f ca="1">OFFSET(PO!J$12,ROW(A27)-ROW($A$12),0)</f>
        <v>Serviço</v>
      </c>
      <c r="B27" s="130" t="str">
        <f ca="1">IF($A27=0,"",OFFSET(PO!K$12,ROW(B27)-ROW(B$12),0))</f>
        <v>1.3.1.</v>
      </c>
      <c r="C27" s="127" t="str">
        <f ca="1">IF(OFFSET(PO!N$12,ROW(C27)-ROW(C$12),0)=0,"",OFFSET(PO!N$12,ROW(C27)-ROW(C$12),0))</f>
        <v>PORTA EM ALUMÍNIO DE ABRIR TIPO VENEZIANA COM GUARNIÇÃO, FIXAÇÃO COM PARAFUSOS - FORNECIMENTO E INSTALAÇÃO</v>
      </c>
      <c r="D27" s="129" t="str">
        <f ca="1">IF(OFFSET(PO!O$12,ROW(D27)-ROW(D$12),0)=0,"",OFFSET(PO!O$12,ROW(D27)-ROW(D$12),0))</f>
        <v>M2</v>
      </c>
      <c r="E27" s="165">
        <f ca="1">IF($A27&lt;&gt;"Serviço",0,ROUND(SUMIF($F$9:$P$9,"&lt;&gt;",$F27:$P27),15-13*PO!$X$3))</f>
        <v>20</v>
      </c>
      <c r="F27" s="398">
        <v>20</v>
      </c>
      <c r="G27" s="398"/>
      <c r="H27" s="398"/>
      <c r="I27" s="398"/>
      <c r="J27" s="398"/>
      <c r="K27" s="398"/>
      <c r="L27" s="398"/>
      <c r="M27" s="398"/>
      <c r="N27" s="398"/>
      <c r="O27" s="398"/>
      <c r="U27" s="215"/>
    </row>
    <row r="28" spans="1:21" s="4" customFormat="1" ht="38.25" x14ac:dyDescent="0.2">
      <c r="A28" s="128" t="str">
        <f ca="1">OFFSET(PO!J$12,ROW(A28)-ROW($A$12),0)</f>
        <v>Serviço</v>
      </c>
      <c r="B28" s="130" t="str">
        <f ca="1">IF($A28=0,"",OFFSET(PO!K$12,ROW(B28)-ROW(B$12),0))</f>
        <v>1.3.2.</v>
      </c>
      <c r="C28" s="127" t="str">
        <f ca="1">IF(OFFSET(PO!N$12,ROW(C28)-ROW(C$12),0)=0,"",OFFSET(PO!N$12,ROW(C28)-ROW(C$12),0))</f>
        <v>JANELA DE AÇO TIPO BASCULANTE PARA VIDROS, COM BATENTE, FERRAGENS E PINTURA ANTICORROSIVA. FORNECIMENTO E INSTALAÇÃO</v>
      </c>
      <c r="D28" s="129" t="str">
        <f ca="1">IF(OFFSET(PO!O$12,ROW(D28)-ROW(D$12),0)=0,"",OFFSET(PO!O$12,ROW(D28)-ROW(D$12),0))</f>
        <v>M2</v>
      </c>
      <c r="E28" s="165">
        <f ca="1">IF($A28&lt;&gt;"Serviço",0,ROUND(SUMIF($F$9:$P$9,"&lt;&gt;",$F28:$P28),15-13*PO!$X$3))</f>
        <v>6</v>
      </c>
      <c r="F28" s="398">
        <v>6</v>
      </c>
      <c r="G28" s="398"/>
      <c r="H28" s="398"/>
      <c r="I28" s="398"/>
      <c r="J28" s="398"/>
      <c r="K28" s="398"/>
      <c r="L28" s="398"/>
      <c r="M28" s="398"/>
      <c r="N28" s="398"/>
      <c r="O28" s="398"/>
      <c r="U28" s="215"/>
    </row>
    <row r="29" spans="1:21" s="4" customFormat="1" ht="38.25" x14ac:dyDescent="0.2">
      <c r="A29" s="128" t="str">
        <f ca="1">OFFSET(PO!J$12,ROW(A29)-ROW($A$12),0)</f>
        <v>Serviço</v>
      </c>
      <c r="B29" s="130" t="str">
        <f ca="1">IF($A29=0,"",OFFSET(PO!K$12,ROW(B29)-ROW(B$12),0))</f>
        <v>1.3.3.</v>
      </c>
      <c r="C29" s="127" t="str">
        <f ca="1">IF(OFFSET(PO!N$12,ROW(C29)-ROW(C$12),0)=0,"",OFFSET(PO!N$12,ROW(C29)-ROW(C$12),0))</f>
        <v>JANELA DE ALUMÍNIO DE CORRER COM 2 FOLHAS PARA VIDROS, COM VIDROS, ACABAMENTO COM ACETATO OU BRILHANTE E FERRAGENS, FORNECIMENTO E INSTALAÇÃO</v>
      </c>
      <c r="D29" s="129" t="str">
        <f ca="1">IF(OFFSET(PO!O$12,ROW(D29)-ROW(D$12),0)=0,"",OFFSET(PO!O$12,ROW(D29)-ROW(D$12),0))</f>
        <v>M2</v>
      </c>
      <c r="E29" s="165">
        <f ca="1">IF($A29&lt;&gt;"Serviço",0,ROUND(SUMIF($F$9:$P$9,"&lt;&gt;",$F29:$P29),15-13*PO!$X$3))</f>
        <v>10</v>
      </c>
      <c r="F29" s="398">
        <v>10</v>
      </c>
      <c r="G29" s="398"/>
      <c r="H29" s="398"/>
      <c r="I29" s="398"/>
      <c r="J29" s="398"/>
      <c r="K29" s="398"/>
      <c r="L29" s="398"/>
      <c r="M29" s="398"/>
      <c r="N29" s="398"/>
      <c r="O29" s="398"/>
      <c r="U29" s="215"/>
    </row>
    <row r="30" spans="1:21" s="4" customFormat="1" x14ac:dyDescent="0.2">
      <c r="A30" s="128" t="str">
        <f ca="1">OFFSET(PO!J$12,ROW(A30)-ROW($A$12),0)</f>
        <v>Serviço</v>
      </c>
      <c r="B30" s="130" t="str">
        <f ca="1">IF($A30=0,"",OFFSET(PO!K$12,ROW(B30)-ROW(B$12),0))</f>
        <v>1.3.4.</v>
      </c>
      <c r="C30" s="127" t="str">
        <f ca="1">IF(OFFSET(PO!N$12,ROW(C30)-ROW(C$12),0)=0,"",OFFSET(PO!N$12,ROW(C30)-ROW(C$12),0))</f>
        <v xml:space="preserve">VIDRO MARTELADO OU CANELADO, 4 MM                                                                                                                                                                                                                                                                                                                                                                                                                                        </v>
      </c>
      <c r="D30" s="129" t="str">
        <f ca="1">IF(OFFSET(PO!O$12,ROW(D30)-ROW(D$12),0)=0,"",OFFSET(PO!O$12,ROW(D30)-ROW(D$12),0))</f>
        <v xml:space="preserve">M2    </v>
      </c>
      <c r="E30" s="165">
        <f ca="1">IF($A30&lt;&gt;"Serviço",0,ROUND(SUMIF($F$9:$P$9,"&lt;&gt;",$F30:$P30),15-13*PO!$X$3))</f>
        <v>6</v>
      </c>
      <c r="F30" s="398">
        <v>6</v>
      </c>
      <c r="G30" s="398"/>
      <c r="H30" s="398"/>
      <c r="I30" s="398"/>
      <c r="J30" s="398"/>
      <c r="K30" s="398"/>
      <c r="L30" s="398"/>
      <c r="M30" s="398"/>
      <c r="N30" s="398"/>
      <c r="O30" s="398"/>
      <c r="U30" s="215"/>
    </row>
    <row r="31" spans="1:21" s="4" customFormat="1" ht="63.75" x14ac:dyDescent="0.2">
      <c r="A31" s="128" t="str">
        <f ca="1">OFFSET(PO!J$12,ROW(A31)-ROW($A$12),0)</f>
        <v>Serviço</v>
      </c>
      <c r="B31" s="130" t="str">
        <f ca="1">IF($A31=0,"",OFFSET(PO!K$12,ROW(B31)-ROW(B$12),0))</f>
        <v>1.3.5.</v>
      </c>
      <c r="C31" s="127" t="str">
        <f ca="1">IF(OFFSET(PO!N$12,ROW(C31)-ROW(C$12),0)=0,"",OFFSET(PO!N$12,ROW(C31)-ROW(C$12),0))</f>
        <v>JANELA DE AÇO TIPO BASCULANTE PARA VIDROS, COM BATENTE, FERRAGENS E PINTURA ANTICORROSIVA. EXCLUSIVE VIDROS, ACABAMENTO, ALIZAR E CONTRAMARCO. FORNECIMENTO E INSTALAÇÃO. (Abertura da Copa - 4,00 x 1,10 m)</v>
      </c>
      <c r="D31" s="129" t="str">
        <f ca="1">IF(OFFSET(PO!O$12,ROW(D31)-ROW(D$12),0)=0,"",OFFSET(PO!O$12,ROW(D31)-ROW(D$12),0))</f>
        <v>M2</v>
      </c>
      <c r="E31" s="165">
        <f ca="1">IF($A31&lt;&gt;"Serviço",0,ROUND(SUMIF($F$9:$P$9,"&lt;&gt;",$F31:$P31),15-13*PO!$X$3))</f>
        <v>4.4000000000000004</v>
      </c>
      <c r="F31" s="398">
        <v>4.4000000000000004</v>
      </c>
      <c r="G31" s="398"/>
      <c r="H31" s="398"/>
      <c r="I31" s="398"/>
      <c r="J31" s="398"/>
      <c r="K31" s="398"/>
      <c r="L31" s="398"/>
      <c r="M31" s="398"/>
      <c r="N31" s="398"/>
      <c r="O31" s="398"/>
      <c r="U31" s="215"/>
    </row>
    <row r="32" spans="1:21" s="4" customFormat="1" ht="51" x14ac:dyDescent="0.2">
      <c r="A32" s="128" t="str">
        <f ca="1">OFFSET(PO!J$12,ROW(A32)-ROW($A$12),0)</f>
        <v>Serviço</v>
      </c>
      <c r="B32" s="130" t="str">
        <f ca="1">IF($A32=0,"",OFFSET(PO!K$12,ROW(B32)-ROW(B$12),0))</f>
        <v>1.3.6.</v>
      </c>
      <c r="C32" s="127" t="str">
        <f ca="1">IF(OFFSET(PO!N$12,ROW(C32)-ROW(C$12),0)=0,"",OFFSET(PO!N$12,ROW(C32)-ROW(C$12),0))</f>
        <v>JANELA FIXA DE ALUMÍNIO PARA VIDRO, COM VIDRO, BATENTE E FERRAGENS. EXCLUSIVE ACABAMENTO, ALIZAR E CONTRAMARCO. FORNECIMENTO E INSTALAÇÃO (Janela da cozinha - 1,20 x 1,10 m)</v>
      </c>
      <c r="D32" s="129" t="str">
        <f ca="1">IF(OFFSET(PO!O$12,ROW(D32)-ROW(D$12),0)=0,"",OFFSET(PO!O$12,ROW(D32)-ROW(D$12),0))</f>
        <v>M2</v>
      </c>
      <c r="E32" s="165">
        <f ca="1">IF($A32&lt;&gt;"Serviço",0,ROUND(SUMIF($F$9:$P$9,"&lt;&gt;",$F32:$P32),15-13*PO!$X$3))</f>
        <v>1.32</v>
      </c>
      <c r="F32" s="398">
        <v>1.32</v>
      </c>
      <c r="G32" s="398"/>
      <c r="H32" s="398"/>
      <c r="I32" s="398"/>
      <c r="J32" s="398"/>
      <c r="K32" s="398"/>
      <c r="L32" s="398"/>
      <c r="M32" s="398"/>
      <c r="N32" s="398"/>
      <c r="O32" s="398"/>
      <c r="U32" s="215"/>
    </row>
    <row r="33" spans="1:21" s="4" customFormat="1" ht="25.5" x14ac:dyDescent="0.2">
      <c r="A33" s="128" t="str">
        <f ca="1">OFFSET(PO!J$12,ROW(A33)-ROW($A$12),0)</f>
        <v>Serviço</v>
      </c>
      <c r="B33" s="130" t="str">
        <f ca="1">IF($A33=0,"",OFFSET(PO!K$12,ROW(B33)-ROW(B$12),0))</f>
        <v>1.3.7.</v>
      </c>
      <c r="C33" s="127" t="str">
        <f ca="1">IF(OFFSET(PO!N$12,ROW(C33)-ROW(C$12),0)=0,"",OFFSET(PO!N$12,ROW(C33)-ROW(C$12),0))</f>
        <v>APLICAÇÃO DE FUNDO SELADOR ACRÍLICO EM PAREDES, UMA DEMÃO (Pintura Externa)</v>
      </c>
      <c r="D33" s="129" t="str">
        <f ca="1">IF(OFFSET(PO!O$12,ROW(D33)-ROW(D$12),0)=0,"",OFFSET(PO!O$12,ROW(D33)-ROW(D$12),0))</f>
        <v>M2</v>
      </c>
      <c r="E33" s="165">
        <f ca="1">IF($A33&lt;&gt;"Serviço",0,ROUND(SUMIF($F$9:$P$9,"&lt;&gt;",$F33:$P33),15-13*PO!$X$3))</f>
        <v>220</v>
      </c>
      <c r="F33" s="398">
        <v>220</v>
      </c>
      <c r="G33" s="398"/>
      <c r="H33" s="398"/>
      <c r="I33" s="398"/>
      <c r="J33" s="398"/>
      <c r="K33" s="398"/>
      <c r="L33" s="398"/>
      <c r="M33" s="398"/>
      <c r="N33" s="398"/>
      <c r="O33" s="398"/>
      <c r="U33" s="215"/>
    </row>
    <row r="34" spans="1:21" s="4" customFormat="1" ht="25.5" x14ac:dyDescent="0.2">
      <c r="A34" s="128" t="str">
        <f ca="1">OFFSET(PO!J$12,ROW(A34)-ROW($A$12),0)</f>
        <v>Serviço</v>
      </c>
      <c r="B34" s="130" t="str">
        <f ca="1">IF($A34=0,"",OFFSET(PO!K$12,ROW(B34)-ROW(B$12),0))</f>
        <v>1.3.8.</v>
      </c>
      <c r="C34" s="127" t="str">
        <f ca="1">IF(OFFSET(PO!N$12,ROW(C34)-ROW(C$12),0)=0,"",OFFSET(PO!N$12,ROW(C34)-ROW(C$12),0))</f>
        <v>APLICAÇÃO MANUAL DE PINTURA COM TINTA LÁTEX ACRÍLICA EM PAREDES, DUAS DEMÃOS (Pintura Externa)</v>
      </c>
      <c r="D34" s="129" t="str">
        <f ca="1">IF(OFFSET(PO!O$12,ROW(D34)-ROW(D$12),0)=0,"",OFFSET(PO!O$12,ROW(D34)-ROW(D$12),0))</f>
        <v>M2</v>
      </c>
      <c r="E34" s="165">
        <f ca="1">IF($A34&lt;&gt;"Serviço",0,ROUND(SUMIF($F$9:$P$9,"&lt;&gt;",$F34:$P34),15-13*PO!$X$3))</f>
        <v>200</v>
      </c>
      <c r="F34" s="398">
        <v>200</v>
      </c>
      <c r="G34" s="398"/>
      <c r="H34" s="398"/>
      <c r="I34" s="398"/>
      <c r="J34" s="398"/>
      <c r="K34" s="398"/>
      <c r="L34" s="398"/>
      <c r="M34" s="398"/>
      <c r="N34" s="398"/>
      <c r="O34" s="398"/>
      <c r="U34" s="215"/>
    </row>
    <row r="35" spans="1:21" s="4" customFormat="1" x14ac:dyDescent="0.2">
      <c r="A35" s="128" t="str">
        <f ca="1">OFFSET(PO!J$12,ROW(A35)-ROW($A$12),0)</f>
        <v>Nível 2</v>
      </c>
      <c r="B35" s="130" t="str">
        <f ca="1">IF($A35=0,"",OFFSET(PO!K$12,ROW(B35)-ROW(B$12),0))</f>
        <v>1.4.</v>
      </c>
      <c r="C35" s="127" t="str">
        <f ca="1">IF(OFFSET(PO!N$12,ROW(C35)-ROW(C$12),0)=0,"",OFFSET(PO!N$12,ROW(C35)-ROW(C$12),0))</f>
        <v>INSTALAÇÕES HIDROSSANITÁRIAS</v>
      </c>
      <c r="D35" s="129" t="str">
        <f ca="1">IF(OFFSET(PO!O$12,ROW(D35)-ROW(D$12),0)=0,"",OFFSET(PO!O$12,ROW(D35)-ROW(D$12),0))</f>
        <v/>
      </c>
      <c r="E35" s="165">
        <f ca="1">IF($A35&lt;&gt;"Serviço",0,ROUND(SUMIF($F$9:$P$9,"&lt;&gt;",$F35:$P35),15-13*PO!$X$3))</f>
        <v>0</v>
      </c>
      <c r="F35" s="398"/>
      <c r="G35" s="398"/>
      <c r="H35" s="398"/>
      <c r="I35" s="398"/>
      <c r="J35" s="398"/>
      <c r="K35" s="398"/>
      <c r="L35" s="398"/>
      <c r="M35" s="398"/>
      <c r="N35" s="398"/>
      <c r="O35" s="398"/>
      <c r="U35" s="215"/>
    </row>
    <row r="36" spans="1:21" s="4" customFormat="1" ht="51" x14ac:dyDescent="0.2">
      <c r="A36" s="128" t="str">
        <f ca="1">OFFSET(PO!J$12,ROW(A36)-ROW($A$12),0)</f>
        <v>Serviço</v>
      </c>
      <c r="B36" s="130" t="str">
        <f ca="1">IF($A36=0,"",OFFSET(PO!K$12,ROW(B36)-ROW(B$12),0))</f>
        <v>1.4.1.</v>
      </c>
      <c r="C36" s="127" t="str">
        <f ca="1">IF(OFFSET(PO!N$12,ROW(C36)-ROW(C$12),0)=0,"",OFFSET(PO!N$12,ROW(C36)-ROW(C$12),0))</f>
        <v>PONTO DE CONSUMO TERMINAL DE ÁGUA FRIA (SUBRAMAL) COM TUBULAÇÃO DE PVC, DN 25 MM, INSTALADO EM RAMAL DE ÁGUA, INCLUSOS RASGO E CHUMBAMENTO EM ALVENARIA (Dois pontos adicionais na cozinha e um ponto adicional na copa)</v>
      </c>
      <c r="D36" s="129" t="str">
        <f ca="1">IF(OFFSET(PO!O$12,ROW(D36)-ROW(D$12),0)=0,"",OFFSET(PO!O$12,ROW(D36)-ROW(D$12),0))</f>
        <v>UN</v>
      </c>
      <c r="E36" s="165">
        <f ca="1">IF($A36&lt;&gt;"Serviço",0,ROUND(SUMIF($F$9:$P$9,"&lt;&gt;",$F36:$P36),15-13*PO!$X$3))</f>
        <v>20</v>
      </c>
      <c r="F36" s="398">
        <v>20</v>
      </c>
      <c r="G36" s="398"/>
      <c r="H36" s="398"/>
      <c r="I36" s="398"/>
      <c r="J36" s="398"/>
      <c r="K36" s="398"/>
      <c r="L36" s="398"/>
      <c r="M36" s="398"/>
      <c r="N36" s="398"/>
      <c r="O36" s="398"/>
      <c r="U36" s="215"/>
    </row>
    <row r="37" spans="1:21" s="4" customFormat="1" ht="38.25" x14ac:dyDescent="0.2">
      <c r="A37" s="128" t="str">
        <f ca="1">OFFSET(PO!J$12,ROW(A37)-ROW($A$12),0)</f>
        <v>Serviço</v>
      </c>
      <c r="B37" s="130" t="str">
        <f ca="1">IF($A37=0,"",OFFSET(PO!K$12,ROW(B37)-ROW(B$12),0))</f>
        <v>1.4.2.</v>
      </c>
      <c r="C37" s="127" t="str">
        <f ca="1">IF(OFFSET(PO!N$12,ROW(C37)-ROW(C$12),0)=0,"",OFFSET(PO!N$12,ROW(C37)-ROW(C$12),0))</f>
        <v>TUBO PVC, SERIE NORMAL, ESGOTO PREDIAL, DN 50 MM, FORNECIDO E INSTALADO EM RAMAL DE DESCARGA OU RAMAL DE ESGOTO SANITÁRIO</v>
      </c>
      <c r="D37" s="129" t="str">
        <f ca="1">IF(OFFSET(PO!O$12,ROW(D37)-ROW(D$12),0)=0,"",OFFSET(PO!O$12,ROW(D37)-ROW(D$12),0))</f>
        <v>M</v>
      </c>
      <c r="E37" s="165">
        <f ca="1">IF($A37&lt;&gt;"Serviço",0,ROUND(SUMIF($F$9:$P$9,"&lt;&gt;",$F37:$P37),15-13*PO!$X$3))</f>
        <v>30</v>
      </c>
      <c r="F37" s="398">
        <v>30</v>
      </c>
      <c r="G37" s="398"/>
      <c r="H37" s="398"/>
      <c r="I37" s="398"/>
      <c r="J37" s="398"/>
      <c r="K37" s="398"/>
      <c r="L37" s="398"/>
      <c r="M37" s="398"/>
      <c r="N37" s="398"/>
      <c r="O37" s="398"/>
      <c r="U37" s="215"/>
    </row>
    <row r="38" spans="1:21" s="4" customFormat="1" ht="38.25" x14ac:dyDescent="0.2">
      <c r="A38" s="128" t="str">
        <f ca="1">OFFSET(PO!J$12,ROW(A38)-ROW($A$12),0)</f>
        <v>Serviço</v>
      </c>
      <c r="B38" s="130" t="str">
        <f ca="1">IF($A38=0,"",OFFSET(PO!K$12,ROW(B38)-ROW(B$12),0))</f>
        <v>1.4.3.</v>
      </c>
      <c r="C38" s="127" t="str">
        <f ca="1">IF(OFFSET(PO!N$12,ROW(C38)-ROW(C$12),0)=0,"",OFFSET(PO!N$12,ROW(C38)-ROW(C$12),0))</f>
        <v>TUBO PVC, SERIE NORMAL, ESGOTO PREDIAL, DN 75 MM, FORNECIDO E INSTALADO EM RAMAL DE DESCARGA OU RAMAL DE ESGOTO SANITÁRIO</v>
      </c>
      <c r="D38" s="129" t="str">
        <f ca="1">IF(OFFSET(PO!O$12,ROW(D38)-ROW(D$12),0)=0,"",OFFSET(PO!O$12,ROW(D38)-ROW(D$12),0))</f>
        <v>M</v>
      </c>
      <c r="E38" s="165">
        <f ca="1">IF($A38&lt;&gt;"Serviço",0,ROUND(SUMIF($F$9:$P$9,"&lt;&gt;",$F38:$P38),15-13*PO!$X$3))</f>
        <v>30</v>
      </c>
      <c r="F38" s="398">
        <v>30</v>
      </c>
      <c r="G38" s="398"/>
      <c r="H38" s="398"/>
      <c r="I38" s="398"/>
      <c r="J38" s="398"/>
      <c r="K38" s="398"/>
      <c r="L38" s="398"/>
      <c r="M38" s="398"/>
      <c r="N38" s="398"/>
      <c r="O38" s="398"/>
      <c r="U38" s="215"/>
    </row>
    <row r="39" spans="1:21" s="4" customFormat="1" ht="38.25" x14ac:dyDescent="0.2">
      <c r="A39" s="128" t="str">
        <f ca="1">OFFSET(PO!J$12,ROW(A39)-ROW($A$12),0)</f>
        <v>Serviço</v>
      </c>
      <c r="B39" s="130" t="str">
        <f ca="1">IF($A39=0,"",OFFSET(PO!K$12,ROW(B39)-ROW(B$12),0))</f>
        <v>1.4.4.</v>
      </c>
      <c r="C39" s="127" t="str">
        <f ca="1">IF(OFFSET(PO!N$12,ROW(C39)-ROW(C$12),0)=0,"",OFFSET(PO!N$12,ROW(C39)-ROW(C$12),0))</f>
        <v>TUBO PVC, SERIE NORMAL, ESGOTO PREDIAL, DN 100 MM, FORNECIDO E INSTALADO EM RAMAL DE DESCARGA OU RAMAL DE ESGOTO SANITÁRIO</v>
      </c>
      <c r="D39" s="129" t="str">
        <f ca="1">IF(OFFSET(PO!O$12,ROW(D39)-ROW(D$12),0)=0,"",OFFSET(PO!O$12,ROW(D39)-ROW(D$12),0))</f>
        <v>M</v>
      </c>
      <c r="E39" s="165">
        <f ca="1">IF($A39&lt;&gt;"Serviço",0,ROUND(SUMIF($F$9:$P$9,"&lt;&gt;",$F39:$P39),15-13*PO!$X$3))</f>
        <v>36</v>
      </c>
      <c r="F39" s="398">
        <v>36</v>
      </c>
      <c r="G39" s="398"/>
      <c r="H39" s="398"/>
      <c r="I39" s="398"/>
      <c r="J39" s="398"/>
      <c r="K39" s="398"/>
      <c r="L39" s="398"/>
      <c r="M39" s="398"/>
      <c r="N39" s="398"/>
      <c r="O39" s="398"/>
      <c r="U39" s="215"/>
    </row>
    <row r="40" spans="1:21" s="4" customFormat="1" ht="51" x14ac:dyDescent="0.2">
      <c r="A40" s="128" t="str">
        <f ca="1">OFFSET(PO!J$12,ROW(A40)-ROW($A$12),0)</f>
        <v>Serviço</v>
      </c>
      <c r="B40" s="130" t="str">
        <f ca="1">IF($A40=0,"",OFFSET(PO!K$12,ROW(B40)-ROW(B$12),0))</f>
        <v>1.4.5.</v>
      </c>
      <c r="C40" s="127" t="str">
        <f ca="1">IF(OFFSET(PO!N$12,ROW(C40)-ROW(C$12),0)=0,"",OFFSET(PO!N$12,ROW(C40)-ROW(C$12),0))</f>
        <v>REGISTRO DE ESFERA, PVC, SOLDÁVEL, DN  25 MM, INSTALADO EM RESERVAÇÃO DE ÁGUA DE EDIFICAÇÃO QUE POSSUA RESERVATÓRIO DE FIBRA/FIBROCIMENTO   FORNECIMENTO E INSTALAÇÃO</v>
      </c>
      <c r="D40" s="129" t="str">
        <f ca="1">IF(OFFSET(PO!O$12,ROW(D40)-ROW(D$12),0)=0,"",OFFSET(PO!O$12,ROW(D40)-ROW(D$12),0))</f>
        <v>UN</v>
      </c>
      <c r="E40" s="165">
        <f ca="1">IF($A40&lt;&gt;"Serviço",0,ROUND(SUMIF($F$9:$P$9,"&lt;&gt;",$F40:$P40),15-13*PO!$X$3))</f>
        <v>9</v>
      </c>
      <c r="F40" s="398">
        <v>9</v>
      </c>
      <c r="G40" s="398"/>
      <c r="H40" s="398"/>
      <c r="I40" s="398"/>
      <c r="J40" s="398"/>
      <c r="K40" s="398"/>
      <c r="L40" s="398"/>
      <c r="M40" s="398"/>
      <c r="N40" s="398"/>
      <c r="O40" s="398"/>
      <c r="U40" s="215"/>
    </row>
    <row r="41" spans="1:21" s="4" customFormat="1" ht="25.5" x14ac:dyDescent="0.2">
      <c r="A41" s="128" t="str">
        <f ca="1">OFFSET(PO!J$12,ROW(A41)-ROW($A$12),0)</f>
        <v>Serviço</v>
      </c>
      <c r="B41" s="130" t="str">
        <f ca="1">IF($A41=0,"",OFFSET(PO!K$12,ROW(B41)-ROW(B$12),0))</f>
        <v>1.4.6.</v>
      </c>
      <c r="C41" s="127" t="str">
        <f ca="1">IF(OFFSET(PO!N$12,ROW(C41)-ROW(C$12),0)=0,"",OFFSET(PO!N$12,ROW(C41)-ROW(C$12),0))</f>
        <v>CAIXA DE INSPEÇÃO EM CONCRETO PRÉ-MOLDADO DN 60CM COM TAMPA H= 60CM - FORNECIMENTO E INSTALACAO</v>
      </c>
      <c r="D41" s="129" t="str">
        <f ca="1">IF(OFFSET(PO!O$12,ROW(D41)-ROW(D$12),0)=0,"",OFFSET(PO!O$12,ROW(D41)-ROW(D$12),0))</f>
        <v>UN</v>
      </c>
      <c r="E41" s="165">
        <f ca="1">IF($A41&lt;&gt;"Serviço",0,ROUND(SUMIF($F$9:$P$9,"&lt;&gt;",$F41:$P41),15-13*PO!$X$3))</f>
        <v>3</v>
      </c>
      <c r="F41" s="398">
        <v>3</v>
      </c>
      <c r="G41" s="398"/>
      <c r="H41" s="398"/>
      <c r="I41" s="398"/>
      <c r="J41" s="398"/>
      <c r="K41" s="398"/>
      <c r="L41" s="398"/>
      <c r="M41" s="398"/>
      <c r="N41" s="398"/>
      <c r="O41" s="398"/>
      <c r="U41" s="215"/>
    </row>
    <row r="42" spans="1:21" s="4" customFormat="1" ht="38.25" x14ac:dyDescent="0.2">
      <c r="A42" s="128" t="str">
        <f ca="1">OFFSET(PO!J$12,ROW(A42)-ROW($A$12),0)</f>
        <v>Serviço</v>
      </c>
      <c r="B42" s="130" t="str">
        <f ca="1">IF($A42=0,"",OFFSET(PO!K$12,ROW(B42)-ROW(B$12),0))</f>
        <v>1.4.7.</v>
      </c>
      <c r="C42" s="127" t="str">
        <f ca="1">IF(OFFSET(PO!N$12,ROW(C42)-ROW(C$12),0)=0,"",OFFSET(PO!N$12,ROW(C42)-ROW(C$12),0))</f>
        <v>CAIXA DE GORDURA RETANGULAR, EM ALVENARIA COM BLOCOS DE CONCRETO, DIMENSÕES INTERNAS = 0,4X0,7 M, ALTURA INTERNA = 0,8 M</v>
      </c>
      <c r="D42" s="129" t="str">
        <f ca="1">IF(OFFSET(PO!O$12,ROW(D42)-ROW(D$12),0)=0,"",OFFSET(PO!O$12,ROW(D42)-ROW(D$12),0))</f>
        <v>UN</v>
      </c>
      <c r="E42" s="165">
        <f ca="1">IF($A42&lt;&gt;"Serviço",0,ROUND(SUMIF($F$9:$P$9,"&lt;&gt;",$F42:$P42),15-13*PO!$X$3))</f>
        <v>1</v>
      </c>
      <c r="F42" s="398">
        <v>1</v>
      </c>
      <c r="G42" s="398"/>
      <c r="H42" s="398"/>
      <c r="I42" s="398"/>
      <c r="J42" s="398"/>
      <c r="K42" s="398"/>
      <c r="L42" s="398"/>
      <c r="M42" s="398"/>
      <c r="N42" s="398"/>
      <c r="O42" s="398"/>
      <c r="U42" s="215"/>
    </row>
    <row r="43" spans="1:21" s="4" customFormat="1" ht="25.5" x14ac:dyDescent="0.2">
      <c r="A43" s="128" t="str">
        <f ca="1">OFFSET(PO!J$12,ROW(A43)-ROW($A$12),0)</f>
        <v>Serviço</v>
      </c>
      <c r="B43" s="130" t="str">
        <f ca="1">IF($A43=0,"",OFFSET(PO!K$12,ROW(B43)-ROW(B$12),0))</f>
        <v>1.4.8.</v>
      </c>
      <c r="C43" s="127" t="str">
        <f ca="1">IF(OFFSET(PO!N$12,ROW(C43)-ROW(C$12),0)=0,"",OFFSET(PO!N$12,ROW(C43)-ROW(C$12),0))</f>
        <v>CAIXA D´ÁGUA EM POLIÉSTER REFORÇADO COM FIBRA DE VIDRO, 1000 LITROS - FORNECIMENTO E INSTALAÇÃO</v>
      </c>
      <c r="D43" s="129" t="str">
        <f ca="1">IF(OFFSET(PO!O$12,ROW(D43)-ROW(D$12),0)=0,"",OFFSET(PO!O$12,ROW(D43)-ROW(D$12),0))</f>
        <v>UN</v>
      </c>
      <c r="E43" s="165">
        <f ca="1">IF($A43&lt;&gt;"Serviço",0,ROUND(SUMIF($F$9:$P$9,"&lt;&gt;",$F43:$P43),15-13*PO!$X$3))</f>
        <v>1</v>
      </c>
      <c r="F43" s="398">
        <v>1</v>
      </c>
      <c r="G43" s="398"/>
      <c r="H43" s="398"/>
      <c r="I43" s="398"/>
      <c r="J43" s="398"/>
      <c r="K43" s="398"/>
      <c r="L43" s="398"/>
      <c r="M43" s="398"/>
      <c r="N43" s="398"/>
      <c r="O43" s="398"/>
      <c r="U43" s="215"/>
    </row>
    <row r="44" spans="1:21" s="4" customFormat="1" ht="38.25" x14ac:dyDescent="0.2">
      <c r="A44" s="128" t="str">
        <f ca="1">OFFSET(PO!J$12,ROW(A44)-ROW($A$12),0)</f>
        <v>Serviço</v>
      </c>
      <c r="B44" s="130" t="str">
        <f ca="1">IF($A44=0,"",OFFSET(PO!K$12,ROW(B44)-ROW(B$12),0))</f>
        <v>1.4.9.</v>
      </c>
      <c r="C44" s="127" t="str">
        <f ca="1">IF(OFFSET(PO!N$12,ROW(C44)-ROW(C$12),0)=0,"",OFFSET(PO!N$12,ROW(C44)-ROW(C$12),0))</f>
        <v xml:space="preserve">FOSSA SEPTICA, SEM FILTRO, CILINDRICA,  COM TAMPA, EM POLIETILENO DE ALTA DENSIDADE (PEAD), CAPACIDADE APROXIMADA DE 1100 LITROS (NBR 7229)                                                                                                                                                                                                                                                                                                                                     </v>
      </c>
      <c r="D44" s="129" t="str">
        <f ca="1">IF(OFFSET(PO!O$12,ROW(D44)-ROW(D$12),0)=0,"",OFFSET(PO!O$12,ROW(D44)-ROW(D$12),0))</f>
        <v xml:space="preserve">UN    </v>
      </c>
      <c r="E44" s="165">
        <f ca="1">IF($A44&lt;&gt;"Serviço",0,ROUND(SUMIF($F$9:$P$9,"&lt;&gt;",$F44:$P44),15-13*PO!$X$3))</f>
        <v>1</v>
      </c>
      <c r="F44" s="398">
        <v>1</v>
      </c>
      <c r="G44" s="398"/>
      <c r="H44" s="398"/>
      <c r="I44" s="398"/>
      <c r="J44" s="398"/>
      <c r="K44" s="398"/>
      <c r="L44" s="398"/>
      <c r="M44" s="398"/>
      <c r="N44" s="398"/>
      <c r="O44" s="398"/>
      <c r="U44" s="215"/>
    </row>
    <row r="45" spans="1:21" s="4" customFormat="1" ht="25.5" x14ac:dyDescent="0.2">
      <c r="A45" s="128" t="str">
        <f ca="1">OFFSET(PO!J$12,ROW(A45)-ROW($A$12),0)</f>
        <v>Serviço</v>
      </c>
      <c r="B45" s="130" t="str">
        <f ca="1">IF($A45=0,"",OFFSET(PO!K$12,ROW(B45)-ROW(B$12),0))</f>
        <v>1.4.10.</v>
      </c>
      <c r="C45" s="127" t="str">
        <f ca="1">IF(OFFSET(PO!N$12,ROW(C45)-ROW(C$12),0)=0,"",OFFSET(PO!N$12,ROW(C45)-ROW(C$12),0))</f>
        <v xml:space="preserve">FILTRO ANAEROBIO, EM POLIETILENO DE ALTA DENSIDADE (PEAD), CAPACIDADE 1100 LITROS (NBR 13969)                                                                                                                                                                                                                                                                                                                                                                                                           </v>
      </c>
      <c r="D45" s="129" t="str">
        <f ca="1">IF(OFFSET(PO!O$12,ROW(D45)-ROW(D$12),0)=0,"",OFFSET(PO!O$12,ROW(D45)-ROW(D$12),0))</f>
        <v xml:space="preserve">UN    </v>
      </c>
      <c r="E45" s="165">
        <f ca="1">IF($A45&lt;&gt;"Serviço",0,ROUND(SUMIF($F$9:$P$9,"&lt;&gt;",$F45:$P45),15-13*PO!$X$3))</f>
        <v>1</v>
      </c>
      <c r="F45" s="398">
        <v>1</v>
      </c>
      <c r="G45" s="398"/>
      <c r="H45" s="398"/>
      <c r="I45" s="398"/>
      <c r="J45" s="398"/>
      <c r="K45" s="398"/>
      <c r="L45" s="398"/>
      <c r="M45" s="398"/>
      <c r="N45" s="398"/>
      <c r="O45" s="398"/>
      <c r="U45" s="215"/>
    </row>
    <row r="46" spans="1:21" s="4" customFormat="1" ht="25.5" x14ac:dyDescent="0.2">
      <c r="A46" s="128" t="str">
        <f ca="1">OFFSET(PO!J$12,ROW(A46)-ROW($A$12),0)</f>
        <v>Serviço</v>
      </c>
      <c r="B46" s="130" t="str">
        <f ca="1">IF($A46=0,"",OFFSET(PO!K$12,ROW(B46)-ROW(B$12),0))</f>
        <v>1.4.11.</v>
      </c>
      <c r="C46" s="127" t="str">
        <f ca="1">IF(OFFSET(PO!N$12,ROW(C46)-ROW(C$12),0)=0,"",OFFSET(PO!N$12,ROW(C46)-ROW(C$12),0))</f>
        <v>SUMIDOURO RETANGULAR, EM ALVENARIA COM BLOCOS DE CONCRETO, DIMENSÕES INTERNAS - CONFORME PROJETO</v>
      </c>
      <c r="D46" s="129" t="str">
        <f ca="1">IF(OFFSET(PO!O$12,ROW(D46)-ROW(D$12),0)=0,"",OFFSET(PO!O$12,ROW(D46)-ROW(D$12),0))</f>
        <v>UN</v>
      </c>
      <c r="E46" s="165">
        <f ca="1">IF($A46&lt;&gt;"Serviço",0,ROUND(SUMIF($F$9:$P$9,"&lt;&gt;",$F46:$P46),15-13*PO!$X$3))</f>
        <v>1</v>
      </c>
      <c r="F46" s="398">
        <v>1</v>
      </c>
      <c r="G46" s="398"/>
      <c r="H46" s="398"/>
      <c r="I46" s="398"/>
      <c r="J46" s="398"/>
      <c r="K46" s="398"/>
      <c r="L46" s="398"/>
      <c r="M46" s="398"/>
      <c r="N46" s="398"/>
      <c r="O46" s="398"/>
      <c r="U46" s="215"/>
    </row>
    <row r="47" spans="1:21" s="4" customFormat="1" x14ac:dyDescent="0.2">
      <c r="A47" s="128" t="str">
        <f ca="1">OFFSET(PO!J$12,ROW(A47)-ROW($A$12),0)</f>
        <v>Nível 2</v>
      </c>
      <c r="B47" s="130" t="str">
        <f ca="1">IF($A47=0,"",OFFSET(PO!K$12,ROW(B47)-ROW(B$12),0))</f>
        <v>1.5.</v>
      </c>
      <c r="C47" s="127" t="str">
        <f ca="1">IF(OFFSET(PO!N$12,ROW(C47)-ROW(C$12),0)=0,"",OFFSET(PO!N$12,ROW(C47)-ROW(C$12),0))</f>
        <v>LOUÇAS E METAIS SANITÁRIOS</v>
      </c>
      <c r="D47" s="129" t="str">
        <f ca="1">IF(OFFSET(PO!O$12,ROW(D47)-ROW(D$12),0)=0,"",OFFSET(PO!O$12,ROW(D47)-ROW(D$12),0))</f>
        <v/>
      </c>
      <c r="E47" s="165">
        <f ca="1">IF($A47&lt;&gt;"Serviço",0,ROUND(SUMIF($F$9:$P$9,"&lt;&gt;",$F47:$P47),15-13*PO!$X$3))</f>
        <v>0</v>
      </c>
      <c r="F47" s="398"/>
      <c r="G47" s="398"/>
      <c r="H47" s="398"/>
      <c r="I47" s="398"/>
      <c r="J47" s="398"/>
      <c r="K47" s="398"/>
      <c r="L47" s="398"/>
      <c r="M47" s="398"/>
      <c r="N47" s="398"/>
      <c r="O47" s="398"/>
      <c r="U47" s="215"/>
    </row>
    <row r="48" spans="1:21" s="4" customFormat="1" ht="38.25" x14ac:dyDescent="0.2">
      <c r="A48" s="128" t="str">
        <f ca="1">OFFSET(PO!J$12,ROW(A48)-ROW($A$12),0)</f>
        <v>Serviço</v>
      </c>
      <c r="B48" s="130" t="str">
        <f ca="1">IF($A48=0,"",OFFSET(PO!K$12,ROW(B48)-ROW(B$12),0))</f>
        <v>1.5.1.</v>
      </c>
      <c r="C48" s="127" t="str">
        <f ca="1">IF(OFFSET(PO!N$12,ROW(C48)-ROW(C$12),0)=0,"",OFFSET(PO!N$12,ROW(C48)-ROW(C$12),0))</f>
        <v>VASO SANITARIO SIFONADO CONVENCIONAL COM LOUÇA BRANCA, INCLUSO CONJUNTO DE LIGAÇÃO PARA BACIA SANITÁRIA - FORNECIMENTO E INSTALAÇÃO</v>
      </c>
      <c r="D48" s="129" t="str">
        <f ca="1">IF(OFFSET(PO!O$12,ROW(D48)-ROW(D$12),0)=0,"",OFFSET(PO!O$12,ROW(D48)-ROW(D$12),0))</f>
        <v>UN</v>
      </c>
      <c r="E48" s="165">
        <f ca="1">IF($A48&lt;&gt;"Serviço",0,ROUND(SUMIF($F$9:$P$9,"&lt;&gt;",$F48:$P48),15-13*PO!$X$3))</f>
        <v>7</v>
      </c>
      <c r="F48" s="398">
        <v>7</v>
      </c>
      <c r="G48" s="398"/>
      <c r="H48" s="398"/>
      <c r="I48" s="398"/>
      <c r="J48" s="398"/>
      <c r="K48" s="398"/>
      <c r="L48" s="398"/>
      <c r="M48" s="398"/>
      <c r="N48" s="398"/>
      <c r="O48" s="398"/>
      <c r="U48" s="215"/>
    </row>
    <row r="49" spans="1:21" s="4" customFormat="1" ht="25.5" x14ac:dyDescent="0.2">
      <c r="A49" s="128" t="str">
        <f ca="1">OFFSET(PO!J$12,ROW(A49)-ROW($A$12),0)</f>
        <v>Serviço</v>
      </c>
      <c r="B49" s="130" t="str">
        <f ca="1">IF($A49=0,"",OFFSET(PO!K$12,ROW(B49)-ROW(B$12),0))</f>
        <v>1.5.2.</v>
      </c>
      <c r="C49" s="127" t="str">
        <f ca="1">IF(OFFSET(PO!N$12,ROW(C49)-ROW(C$12),0)=0,"",OFFSET(PO!N$12,ROW(C49)-ROW(C$12),0))</f>
        <v>MICTÓRIO SIFONADO LOUÇA BRANCA  PADRÃO MÉDIO - FORNECIMENTO E INSTALAÇÃO</v>
      </c>
      <c r="D49" s="129" t="str">
        <f ca="1">IF(OFFSET(PO!O$12,ROW(D49)-ROW(D$12),0)=0,"",OFFSET(PO!O$12,ROW(D49)-ROW(D$12),0))</f>
        <v>UN</v>
      </c>
      <c r="E49" s="165">
        <f ca="1">IF($A49&lt;&gt;"Serviço",0,ROUND(SUMIF($F$9:$P$9,"&lt;&gt;",$F49:$P49),15-13*PO!$X$3))</f>
        <v>3</v>
      </c>
      <c r="F49" s="398">
        <v>3</v>
      </c>
      <c r="G49" s="398"/>
      <c r="H49" s="398"/>
      <c r="I49" s="398"/>
      <c r="J49" s="398"/>
      <c r="K49" s="398"/>
      <c r="L49" s="398"/>
      <c r="M49" s="398"/>
      <c r="N49" s="398"/>
      <c r="O49" s="398"/>
      <c r="U49" s="215"/>
    </row>
    <row r="50" spans="1:21" s="4" customFormat="1" ht="51" x14ac:dyDescent="0.2">
      <c r="A50" s="128" t="str">
        <f ca="1">OFFSET(PO!J$12,ROW(A50)-ROW($A$12),0)</f>
        <v>Serviço</v>
      </c>
      <c r="B50" s="130" t="str">
        <f ca="1">IF($A50=0,"",OFFSET(PO!K$12,ROW(B50)-ROW(B$12),0))</f>
        <v>1.5.3.</v>
      </c>
      <c r="C50" s="127" t="str">
        <f ca="1">IF(OFFSET(PO!N$12,ROW(C50)-ROW(C$12),0)=0,"",OFFSET(PO!N$12,ROW(C50)-ROW(C$12),0))</f>
        <v>LAVATÓRIO LOUÇA BRANCA COM COLUNA, *44 X 35,5* CM, INCLUSO SIFÃO FLEXÍVEL EM PVC, VÁLVULA E ENGATE FLEXÍVEL 30CM EM PLÁSTICO E COM TORNEIRA CROMADA - FORNECIMENTO E INSTALAÇÃO</v>
      </c>
      <c r="D50" s="129" t="str">
        <f ca="1">IF(OFFSET(PO!O$12,ROW(D50)-ROW(D$12),0)=0,"",OFFSET(PO!O$12,ROW(D50)-ROW(D$12),0))</f>
        <v>UN</v>
      </c>
      <c r="E50" s="165">
        <f ca="1">IF($A50&lt;&gt;"Serviço",0,ROUND(SUMIF($F$9:$P$9,"&lt;&gt;",$F50:$P50),15-13*PO!$X$3))</f>
        <v>6</v>
      </c>
      <c r="F50" s="398">
        <v>6</v>
      </c>
      <c r="G50" s="398"/>
      <c r="H50" s="398"/>
      <c r="I50" s="398"/>
      <c r="J50" s="398"/>
      <c r="K50" s="398"/>
      <c r="L50" s="398"/>
      <c r="M50" s="398"/>
      <c r="N50" s="398"/>
      <c r="O50" s="398"/>
      <c r="U50" s="215"/>
    </row>
    <row r="51" spans="1:21" s="4" customFormat="1" ht="25.5" x14ac:dyDescent="0.2">
      <c r="A51" s="128" t="str">
        <f ca="1">OFFSET(PO!J$12,ROW(A51)-ROW($A$12),0)</f>
        <v>Serviço</v>
      </c>
      <c r="B51" s="130" t="str">
        <f ca="1">IF($A51=0,"",OFFSET(PO!K$12,ROW(B51)-ROW(B$12),0))</f>
        <v>1.5.4.</v>
      </c>
      <c r="C51" s="127" t="str">
        <f ca="1">IF(OFFSET(PO!N$12,ROW(C51)-ROW(C$12),0)=0,"",OFFSET(PO!N$12,ROW(C51)-ROW(C$12),0))</f>
        <v>CHUVEIRO ELÉTRICO COMUM CORPO PLÁSTICO, TIPO DUCHA  FORNECIMENTO E INSTALAÇÃO. AF_01/2020</v>
      </c>
      <c r="D51" s="129" t="str">
        <f ca="1">IF(OFFSET(PO!O$12,ROW(D51)-ROW(D$12),0)=0,"",OFFSET(PO!O$12,ROW(D51)-ROW(D$12),0))</f>
        <v>UN</v>
      </c>
      <c r="E51" s="165">
        <f ca="1">IF($A51&lt;&gt;"Serviço",0,ROUND(SUMIF($F$9:$P$9,"&lt;&gt;",$F51:$P51),15-13*PO!$X$3))</f>
        <v>2</v>
      </c>
      <c r="F51" s="398">
        <v>2</v>
      </c>
      <c r="G51" s="398"/>
      <c r="H51" s="398"/>
      <c r="I51" s="398"/>
      <c r="J51" s="398"/>
      <c r="K51" s="398"/>
      <c r="L51" s="398"/>
      <c r="M51" s="398"/>
      <c r="N51" s="398"/>
      <c r="O51" s="398"/>
      <c r="U51" s="215"/>
    </row>
    <row r="52" spans="1:21" s="4" customFormat="1" ht="38.25" x14ac:dyDescent="0.2">
      <c r="A52" s="128" t="str">
        <f ca="1">OFFSET(PO!J$12,ROW(A52)-ROW($A$12),0)</f>
        <v>Serviço</v>
      </c>
      <c r="B52" s="130" t="str">
        <f ca="1">IF($A52=0,"",OFFSET(PO!K$12,ROW(B52)-ROW(B$12),0))</f>
        <v>1.5.5.</v>
      </c>
      <c r="C52" s="127" t="str">
        <f ca="1">IF(OFFSET(PO!N$12,ROW(C52)-ROW(C$12),0)=0,"",OFFSET(PO!N$12,ROW(C52)-ROW(C$12),0))</f>
        <v>BANCADA DE GRANITO CINZA POLIDO, DE 0,50 X 0,60 M, PARA LAVATÓRIO - FORNECIMENTO E INSTALAÇÃO (uma bancada adiconal na cozinha e uma na copa)</v>
      </c>
      <c r="D52" s="129" t="str">
        <f ca="1">IF(OFFSET(PO!O$12,ROW(D52)-ROW(D$12),0)=0,"",OFFSET(PO!O$12,ROW(D52)-ROW(D$12),0))</f>
        <v>UN</v>
      </c>
      <c r="E52" s="165">
        <f ca="1">IF($A52&lt;&gt;"Serviço",0,ROUND(SUMIF($F$9:$P$9,"&lt;&gt;",$F52:$P52),15-13*PO!$X$3))</f>
        <v>6</v>
      </c>
      <c r="F52" s="398">
        <v>6</v>
      </c>
      <c r="G52" s="398"/>
      <c r="H52" s="398"/>
      <c r="I52" s="398"/>
      <c r="J52" s="398"/>
      <c r="K52" s="398"/>
      <c r="L52" s="398"/>
      <c r="M52" s="398"/>
      <c r="N52" s="398"/>
      <c r="O52" s="398"/>
      <c r="U52" s="215"/>
    </row>
    <row r="53" spans="1:21" s="4" customFormat="1" ht="25.5" x14ac:dyDescent="0.2">
      <c r="A53" s="128" t="str">
        <f ca="1">OFFSET(PO!J$12,ROW(A53)-ROW($A$12),0)</f>
        <v>Serviço</v>
      </c>
      <c r="B53" s="130" t="str">
        <f ca="1">IF($A53=0,"",OFFSET(PO!K$12,ROW(B53)-ROW(B$12),0))</f>
        <v>1.5.6.</v>
      </c>
      <c r="C53" s="127" t="str">
        <f ca="1">IF(OFFSET(PO!N$12,ROW(C53)-ROW(C$12),0)=0,"",OFFSET(PO!N$12,ROW(C53)-ROW(C$12),0))</f>
        <v>DIVISORIA SANITÁRIA, TIPO CABINE, EM GRANITO CINZA POLIDO, ESP = 3CM  - FORNECIMENTO E INSTALAÇÃO</v>
      </c>
      <c r="D53" s="129" t="str">
        <f ca="1">IF(OFFSET(PO!O$12,ROW(D53)-ROW(D$12),0)=0,"",OFFSET(PO!O$12,ROW(D53)-ROW(D$12),0))</f>
        <v>M2</v>
      </c>
      <c r="E53" s="165">
        <f ca="1">IF($A53&lt;&gt;"Serviço",0,ROUND(SUMIF($F$9:$P$9,"&lt;&gt;",$F53:$P53),15-13*PO!$X$3))</f>
        <v>4.5</v>
      </c>
      <c r="F53" s="398">
        <f>4.5</f>
        <v>4.5</v>
      </c>
      <c r="G53" s="398"/>
      <c r="H53" s="398"/>
      <c r="I53" s="398"/>
      <c r="J53" s="398"/>
      <c r="K53" s="398"/>
      <c r="L53" s="398"/>
      <c r="M53" s="398"/>
      <c r="N53" s="398"/>
      <c r="O53" s="398"/>
      <c r="U53" s="215"/>
    </row>
    <row r="54" spans="1:21" s="4" customFormat="1" ht="38.25" x14ac:dyDescent="0.2">
      <c r="A54" s="128" t="str">
        <f ca="1">OFFSET(PO!J$12,ROW(A54)-ROW($A$12),0)</f>
        <v>Serviço</v>
      </c>
      <c r="B54" s="130" t="str">
        <f ca="1">IF($A54=0,"",OFFSET(PO!K$12,ROW(B54)-ROW(B$12),0))</f>
        <v>1.5.7.</v>
      </c>
      <c r="C54" s="127" t="str">
        <f ca="1">IF(OFFSET(PO!N$12,ROW(C54)-ROW(C$12),0)=0,"",OFFSET(PO!N$12,ROW(C54)-ROW(C$12),0))</f>
        <v xml:space="preserve">GRANITO PARA BANCADA, POLIDO, TIPO ANDORINHA/ QUARTZ/ CASTELO/ CORUMBA OU OUTROS EQUIVALENTES DA REGIAO, E=  *2,5* CM (Balcões de atendimento)                                                                                                                                                                                                                                                                                                                                                                             </v>
      </c>
      <c r="D54" s="129" t="str">
        <f ca="1">IF(OFFSET(PO!O$12,ROW(D54)-ROW(D$12),0)=0,"",OFFSET(PO!O$12,ROW(D54)-ROW(D$12),0))</f>
        <v xml:space="preserve">M2    </v>
      </c>
      <c r="E54" s="165">
        <f ca="1">IF($A54&lt;&gt;"Serviço",0,ROUND(SUMIF($F$9:$P$9,"&lt;&gt;",$F54:$P54),15-13*PO!$X$3))</f>
        <v>4.16</v>
      </c>
      <c r="F54" s="398">
        <v>4.16</v>
      </c>
      <c r="G54" s="398"/>
      <c r="H54" s="398"/>
      <c r="I54" s="398"/>
      <c r="J54" s="398"/>
      <c r="K54" s="398"/>
      <c r="L54" s="398"/>
      <c r="M54" s="398"/>
      <c r="N54" s="398"/>
      <c r="O54" s="398"/>
      <c r="U54" s="215"/>
    </row>
    <row r="55" spans="1:21" s="4" customFormat="1" ht="25.5" x14ac:dyDescent="0.2">
      <c r="A55" s="128" t="str">
        <f ca="1">OFFSET(PO!J$12,ROW(A55)-ROW($A$12),0)</f>
        <v>Serviço</v>
      </c>
      <c r="B55" s="130" t="str">
        <f ca="1">IF($A55=0,"",OFFSET(PO!K$12,ROW(B55)-ROW(B$12),0))</f>
        <v>1.5.8.</v>
      </c>
      <c r="C55" s="127" t="str">
        <f ca="1">IF(OFFSET(PO!N$12,ROW(C55)-ROW(C$12),0)=0,"",OFFSET(PO!N$12,ROW(C55)-ROW(C$12),0))</f>
        <v>BARRA DE APOIO RETA, EM ACO INOX POLIDO, COMPRIMENTO 80 CM,  FIXADA NA PAREDE - FORNECIMENTO E INSTALAÇÃO</v>
      </c>
      <c r="D55" s="129" t="str">
        <f ca="1">IF(OFFSET(PO!O$12,ROW(D55)-ROW(D$12),0)=0,"",OFFSET(PO!O$12,ROW(D55)-ROW(D$12),0))</f>
        <v>UN</v>
      </c>
      <c r="E55" s="165">
        <f ca="1">IF($A55&lt;&gt;"Serviço",0,ROUND(SUMIF($F$9:$P$9,"&lt;&gt;",$F55:$P55),15-13*PO!$X$3))</f>
        <v>6</v>
      </c>
      <c r="F55" s="398">
        <v>6</v>
      </c>
      <c r="G55" s="398"/>
      <c r="H55" s="398"/>
      <c r="I55" s="398"/>
      <c r="J55" s="398"/>
      <c r="K55" s="398"/>
      <c r="L55" s="398"/>
      <c r="M55" s="398"/>
      <c r="N55" s="398"/>
      <c r="O55" s="398"/>
      <c r="U55" s="215"/>
    </row>
    <row r="56" spans="1:21" s="4" customFormat="1" ht="25.5" x14ac:dyDescent="0.2">
      <c r="A56" s="128" t="str">
        <f ca="1">OFFSET(PO!J$12,ROW(A56)-ROW($A$12),0)</f>
        <v>Serviço</v>
      </c>
      <c r="B56" s="130" t="str">
        <f ca="1">IF($A56=0,"",OFFSET(PO!K$12,ROW(B56)-ROW(B$12),0))</f>
        <v>1.5.9.</v>
      </c>
      <c r="C56" s="127" t="str">
        <f ca="1">IF(OFFSET(PO!N$12,ROW(C56)-ROW(C$12),0)=0,"",OFFSET(PO!N$12,ROW(C56)-ROW(C$12),0))</f>
        <v>BARRA DE APOIO RETA, EM ACO INOX POLIDO, COMPRIMENTO 60CM, FIXADA NA PAREDE - FORNECIMENTO E INSTALAÇÃO</v>
      </c>
      <c r="D56" s="129" t="str">
        <f ca="1">IF(OFFSET(PO!O$12,ROW(D56)-ROW(D$12),0)=0,"",OFFSET(PO!O$12,ROW(D56)-ROW(D$12),0))</f>
        <v>UN</v>
      </c>
      <c r="E56" s="165">
        <f ca="1">IF($A56&lt;&gt;"Serviço",0,ROUND(SUMIF($F$9:$P$9,"&lt;&gt;",$F56:$P56),15-13*PO!$X$3))</f>
        <v>4</v>
      </c>
      <c r="F56" s="398">
        <v>4</v>
      </c>
      <c r="G56" s="398"/>
      <c r="H56" s="398"/>
      <c r="I56" s="398"/>
      <c r="J56" s="398"/>
      <c r="K56" s="398"/>
      <c r="L56" s="398"/>
      <c r="M56" s="398"/>
      <c r="N56" s="398"/>
      <c r="O56" s="398"/>
      <c r="U56" s="215"/>
    </row>
    <row r="57" spans="1:21" s="4" customFormat="1" ht="25.5" x14ac:dyDescent="0.2">
      <c r="A57" s="128" t="str">
        <f ca="1">OFFSET(PO!J$12,ROW(A57)-ROW($A$12),0)</f>
        <v>Serviço</v>
      </c>
      <c r="B57" s="130" t="str">
        <f ca="1">IF($A57=0,"",OFFSET(PO!K$12,ROW(B57)-ROW(B$12),0))</f>
        <v>1.5.10.</v>
      </c>
      <c r="C57" s="127" t="str">
        <f ca="1">IF(OFFSET(PO!N$12,ROW(C57)-ROW(C$12),0)=0,"",OFFSET(PO!N$12,ROW(C57)-ROW(C$12),0))</f>
        <v xml:space="preserve">TOALHEIRO PLASTICO TIPO DISPENSER PARA PAPEL TOALHA INTERFOLHADO                                                                                                                                                                                                                                                                                                                                                                                                                                          </v>
      </c>
      <c r="D57" s="129" t="str">
        <f ca="1">IF(OFFSET(PO!O$12,ROW(D57)-ROW(D$12),0)=0,"",OFFSET(PO!O$12,ROW(D57)-ROW(D$12),0))</f>
        <v xml:space="preserve">UN    </v>
      </c>
      <c r="E57" s="165">
        <f ca="1">IF($A57&lt;&gt;"Serviço",0,ROUND(SUMIF($F$9:$P$9,"&lt;&gt;",$F57:$P57),15-13*PO!$X$3))</f>
        <v>2</v>
      </c>
      <c r="F57" s="398">
        <v>2</v>
      </c>
      <c r="G57" s="398"/>
      <c r="H57" s="398"/>
      <c r="I57" s="398"/>
      <c r="J57" s="398"/>
      <c r="K57" s="398"/>
      <c r="L57" s="398"/>
      <c r="M57" s="398"/>
      <c r="N57" s="398"/>
      <c r="O57" s="398"/>
      <c r="U57" s="215"/>
    </row>
    <row r="58" spans="1:21" s="4" customFormat="1" ht="25.5" x14ac:dyDescent="0.2">
      <c r="A58" s="128" t="str">
        <f ca="1">OFFSET(PO!J$12,ROW(A58)-ROW($A$12),0)</f>
        <v>Serviço</v>
      </c>
      <c r="B58" s="130" t="str">
        <f ca="1">IF($A58=0,"",OFFSET(PO!K$12,ROW(B58)-ROW(B$12),0))</f>
        <v>1.5.11.</v>
      </c>
      <c r="C58" s="127" t="str">
        <f ca="1">IF(OFFSET(PO!N$12,ROW(C58)-ROW(C$12),0)=0,"",OFFSET(PO!N$12,ROW(C58)-ROW(C$12),0))</f>
        <v>SABONETEIRA PLASTICA TIPO DISPENSER PARA SABONETE LIQUIDO COM RESERVATORIO 800 A 1500 ML, INCLUSO FIXAÇÃO</v>
      </c>
      <c r="D58" s="129" t="str">
        <f ca="1">IF(OFFSET(PO!O$12,ROW(D58)-ROW(D$12),0)=0,"",OFFSET(PO!O$12,ROW(D58)-ROW(D$12),0))</f>
        <v>UN</v>
      </c>
      <c r="E58" s="165">
        <f ca="1">IF($A58&lt;&gt;"Serviço",0,ROUND(SUMIF($F$9:$P$9,"&lt;&gt;",$F58:$P58),15-13*PO!$X$3))</f>
        <v>2</v>
      </c>
      <c r="F58" s="398">
        <v>2</v>
      </c>
      <c r="G58" s="398"/>
      <c r="H58" s="398"/>
      <c r="I58" s="398"/>
      <c r="J58" s="398"/>
      <c r="K58" s="398"/>
      <c r="L58" s="398"/>
      <c r="M58" s="398"/>
      <c r="N58" s="398"/>
      <c r="O58" s="398"/>
      <c r="U58" s="215"/>
    </row>
    <row r="59" spans="1:21" s="4" customFormat="1" ht="25.5" x14ac:dyDescent="0.2">
      <c r="A59" s="128" t="str">
        <f ca="1">OFFSET(PO!J$12,ROW(A59)-ROW($A$12),0)</f>
        <v>Serviço</v>
      </c>
      <c r="B59" s="130" t="str">
        <f ca="1">IF($A59=0,"",OFFSET(PO!K$12,ROW(B59)-ROW(B$12),0))</f>
        <v>1.5.12.</v>
      </c>
      <c r="C59" s="127" t="str">
        <f ca="1">IF(OFFSET(PO!N$12,ROW(C59)-ROW(C$12),0)=0,"",OFFSET(PO!N$12,ROW(C59)-ROW(C$12),0))</f>
        <v xml:space="preserve">PAPELEIRA PLASTICA TIPO DISPENSER PARA PAPEL HIGIENICO ROLAO                                                                                                                                                                                                                                                                                                                                                                                                                                              </v>
      </c>
      <c r="D59" s="129" t="str">
        <f ca="1">IF(OFFSET(PO!O$12,ROW(D59)-ROW(D$12),0)=0,"",OFFSET(PO!O$12,ROW(D59)-ROW(D$12),0))</f>
        <v xml:space="preserve">UN    </v>
      </c>
      <c r="E59" s="165">
        <f ca="1">IF($A59&lt;&gt;"Serviço",0,ROUND(SUMIF($F$9:$P$9,"&lt;&gt;",$F59:$P59),15-13*PO!$X$3))</f>
        <v>2</v>
      </c>
      <c r="F59" s="398">
        <v>2</v>
      </c>
      <c r="G59" s="398"/>
      <c r="H59" s="398"/>
      <c r="I59" s="398"/>
      <c r="J59" s="398"/>
      <c r="K59" s="398"/>
      <c r="L59" s="398"/>
      <c r="M59" s="398"/>
      <c r="N59" s="398"/>
      <c r="O59" s="398"/>
      <c r="U59" s="215"/>
    </row>
    <row r="60" spans="1:21" s="4" customFormat="1" ht="38.25" x14ac:dyDescent="0.2">
      <c r="A60" s="128" t="str">
        <f ca="1">OFFSET(PO!J$12,ROW(A60)-ROW($A$12),0)</f>
        <v>Serviço</v>
      </c>
      <c r="B60" s="130" t="str">
        <f ca="1">IF($A60=0,"",OFFSET(PO!K$12,ROW(B60)-ROW(B$12),0))</f>
        <v>1.5.13.</v>
      </c>
      <c r="C60" s="127" t="str">
        <f ca="1">IF(OFFSET(PO!N$12,ROW(C60)-ROW(C$12),0)=0,"",OFFSET(PO!N$12,ROW(C60)-ROW(C$12),0))</f>
        <v xml:space="preserve">TORNEIRA METALICA CROMADA DE PAREDE LONGA PARA LAVATORIO, COM AREJADOR, ACIONAMENTO ALAVANCA, 1/4 DE VOLTA                                                                                                                                                                                                                                                                                                                                                                                   </v>
      </c>
      <c r="D60" s="129" t="str">
        <f ca="1">IF(OFFSET(PO!O$12,ROW(D60)-ROW(D$12),0)=0,"",OFFSET(PO!O$12,ROW(D60)-ROW(D$12),0))</f>
        <v xml:space="preserve">UN    </v>
      </c>
      <c r="E60" s="165">
        <f ca="1">IF($A60&lt;&gt;"Serviço",0,ROUND(SUMIF($F$9:$P$9,"&lt;&gt;",$F60:$P60),15-13*PO!$X$3))</f>
        <v>2</v>
      </c>
      <c r="F60" s="398">
        <v>2</v>
      </c>
      <c r="G60" s="398"/>
      <c r="H60" s="398"/>
      <c r="I60" s="398"/>
      <c r="J60" s="398"/>
      <c r="K60" s="398"/>
      <c r="L60" s="398"/>
      <c r="M60" s="398"/>
      <c r="N60" s="398"/>
      <c r="O60" s="398"/>
      <c r="U60" s="215"/>
    </row>
    <row r="61" spans="1:21" s="4" customFormat="1" x14ac:dyDescent="0.2">
      <c r="A61" s="128" t="str">
        <f ca="1">OFFSET(PO!J$12,ROW(A61)-ROW($A$12),0)</f>
        <v>Serviço</v>
      </c>
      <c r="B61" s="130" t="str">
        <f ca="1">IF($A61=0,"",OFFSET(PO!K$12,ROW(B61)-ROW(B$12),0))</f>
        <v>1.5.14.</v>
      </c>
      <c r="C61" s="127" t="str">
        <f ca="1">IF(OFFSET(PO!N$12,ROW(C61)-ROW(C$12),0)=0,"",OFFSET(PO!N$12,ROW(C61)-ROW(C$12),0))</f>
        <v xml:space="preserve">CAMPAINHA ALTA POTENCIA 110V / 220V, DIAMETRO 150 MM                                                                                                                                                                                                                                                                                                                                                                                                                                                      </v>
      </c>
      <c r="D61" s="129" t="str">
        <f ca="1">IF(OFFSET(PO!O$12,ROW(D61)-ROW(D$12),0)=0,"",OFFSET(PO!O$12,ROW(D61)-ROW(D$12),0))</f>
        <v xml:space="preserve">UN    </v>
      </c>
      <c r="E61" s="165">
        <f ca="1">IF($A61&lt;&gt;"Serviço",0,ROUND(SUMIF($F$9:$P$9,"&lt;&gt;",$F61:$P61),15-13*PO!$X$3))</f>
        <v>2</v>
      </c>
      <c r="F61" s="398">
        <v>2</v>
      </c>
      <c r="G61" s="398"/>
      <c r="H61" s="398"/>
      <c r="I61" s="398"/>
      <c r="J61" s="398"/>
      <c r="K61" s="398"/>
      <c r="L61" s="398"/>
      <c r="M61" s="398"/>
      <c r="N61" s="398"/>
      <c r="O61" s="398"/>
      <c r="U61" s="215"/>
    </row>
    <row r="62" spans="1:21" s="4" customFormat="1" x14ac:dyDescent="0.2">
      <c r="A62" s="128" t="str">
        <f ca="1">OFFSET(PO!J$12,ROW(A62)-ROW($A$12),0)</f>
        <v>Nível 2</v>
      </c>
      <c r="B62" s="130" t="str">
        <f ca="1">IF($A62=0,"",OFFSET(PO!K$12,ROW(B62)-ROW(B$12),0))</f>
        <v>1.6.</v>
      </c>
      <c r="C62" s="127" t="str">
        <f ca="1">IF(OFFSET(PO!N$12,ROW(C62)-ROW(C$12),0)=0,"",OFFSET(PO!N$12,ROW(C62)-ROW(C$12),0))</f>
        <v>INSTALAÇÕES ELÉTRICAS</v>
      </c>
      <c r="D62" s="129" t="str">
        <f ca="1">IF(OFFSET(PO!O$12,ROW(D62)-ROW(D$12),0)=0,"",OFFSET(PO!O$12,ROW(D62)-ROW(D$12),0))</f>
        <v/>
      </c>
      <c r="E62" s="165">
        <f ca="1">IF($A62&lt;&gt;"Serviço",0,ROUND(SUMIF($F$9:$P$9,"&lt;&gt;",$F62:$P62),15-13*PO!$X$3))</f>
        <v>0</v>
      </c>
      <c r="F62" s="398"/>
      <c r="G62" s="398"/>
      <c r="H62" s="398"/>
      <c r="I62" s="398"/>
      <c r="J62" s="398"/>
      <c r="K62" s="398"/>
      <c r="L62" s="398"/>
      <c r="M62" s="398"/>
      <c r="N62" s="398"/>
      <c r="O62" s="398"/>
      <c r="U62" s="215"/>
    </row>
    <row r="63" spans="1:21" s="4" customFormat="1" ht="25.5" x14ac:dyDescent="0.2">
      <c r="A63" s="128" t="str">
        <f ca="1">OFFSET(PO!J$12,ROW(A63)-ROW($A$12),0)</f>
        <v>Serviço</v>
      </c>
      <c r="B63" s="130" t="str">
        <f ca="1">IF($A63=0,"",OFFSET(PO!K$12,ROW(B63)-ROW(B$12),0))</f>
        <v>1.6.1.</v>
      </c>
      <c r="C63" s="127" t="str">
        <f ca="1">IF(OFFSET(PO!N$12,ROW(C63)-ROW(C$12),0)=0,"",OFFSET(PO!N$12,ROW(C63)-ROW(C$12),0))</f>
        <v>DISJUNTOR TRIPOLAR TIPO DIN, CORRENTE NOMINAL DE 10A - FORNECIMENTO E INSTALAÇÃO</v>
      </c>
      <c r="D63" s="129" t="str">
        <f ca="1">IF(OFFSET(PO!O$12,ROW(D63)-ROW(D$12),0)=0,"",OFFSET(PO!O$12,ROW(D63)-ROW(D$12),0))</f>
        <v>UN</v>
      </c>
      <c r="E63" s="165">
        <f ca="1">IF($A63&lt;&gt;"Serviço",0,ROUND(SUMIF($F$9:$P$9,"&lt;&gt;",$F63:$P63),15-13*PO!$X$3))</f>
        <v>16</v>
      </c>
      <c r="F63" s="398">
        <v>16</v>
      </c>
      <c r="G63" s="398"/>
      <c r="H63" s="398"/>
      <c r="I63" s="398"/>
      <c r="J63" s="398"/>
      <c r="K63" s="398"/>
      <c r="L63" s="398"/>
      <c r="M63" s="398"/>
      <c r="N63" s="398"/>
      <c r="O63" s="398"/>
      <c r="U63" s="215"/>
    </row>
    <row r="64" spans="1:21" s="4" customFormat="1" ht="51" x14ac:dyDescent="0.2">
      <c r="A64" s="128" t="str">
        <f ca="1">OFFSET(PO!J$12,ROW(A64)-ROW($A$12),0)</f>
        <v>Serviço</v>
      </c>
      <c r="B64" s="130" t="str">
        <f ca="1">IF($A64=0,"",OFFSET(PO!K$12,ROW(B64)-ROW(B$12),0))</f>
        <v>1.6.2.</v>
      </c>
      <c r="C64" s="127" t="str">
        <f ca="1">IF(OFFSET(PO!N$12,ROW(C64)-ROW(C$12),0)=0,"",OFFSET(PO!N$12,ROW(C64)-ROW(C$12),0))</f>
        <v>PONTO DE ILUMINAÇÃO E TOMADA, RESIDENCIAL, INCLUINDO INTERRUPTOR SIMPLES E TOMADA 10A/250V, CAIXA ELÉTRICA, ELETRODUTO, CABO, RASGO, QUEBRA E CHUMBAMENTO (COM LUMINÁRIA E LÂMPADA) - Banheiros, Copa e Cozinha</v>
      </c>
      <c r="D64" s="129" t="str">
        <f ca="1">IF(OFFSET(PO!O$12,ROW(D64)-ROW(D$12),0)=0,"",OFFSET(PO!O$12,ROW(D64)-ROW(D$12),0))</f>
        <v>UN</v>
      </c>
      <c r="E64" s="165">
        <f ca="1">IF($A64&lt;&gt;"Serviço",0,ROUND(SUMIF($F$9:$P$9,"&lt;&gt;",$F64:$P64),15-13*PO!$X$3))</f>
        <v>20</v>
      </c>
      <c r="F64" s="398">
        <v>20</v>
      </c>
      <c r="G64" s="398"/>
      <c r="H64" s="398"/>
      <c r="I64" s="398"/>
      <c r="J64" s="398"/>
      <c r="K64" s="398"/>
      <c r="L64" s="398"/>
      <c r="M64" s="398"/>
      <c r="N64" s="398"/>
      <c r="O64" s="398"/>
      <c r="U64" s="215"/>
    </row>
    <row r="65" spans="1:21" s="4" customFormat="1" ht="38.25" x14ac:dyDescent="0.2">
      <c r="A65" s="128" t="str">
        <f ca="1">OFFSET(PO!J$12,ROW(A65)-ROW($A$12),0)</f>
        <v>Serviço</v>
      </c>
      <c r="B65" s="130" t="str">
        <f ca="1">IF($A65=0,"",OFFSET(PO!K$12,ROW(B65)-ROW(B$12),0))</f>
        <v>1.6.3.</v>
      </c>
      <c r="C65" s="127" t="str">
        <f ca="1">IF(OFFSET(PO!N$12,ROW(C65)-ROW(C$12),0)=0,"",OFFSET(PO!N$12,ROW(C65)-ROW(C$12),0))</f>
        <v>QUADRO DE DISTRIBUICAO, EM PVC, DE EMBUTIR, COM BARRAMENTO TERRA / NEUTRO, PARA 12 DISJUNTORES NEMA OU 16 DISJUNTORES DIN</v>
      </c>
      <c r="D65" s="129" t="str">
        <f ca="1">IF(OFFSET(PO!O$12,ROW(D65)-ROW(D$12),0)=0,"",OFFSET(PO!O$12,ROW(D65)-ROW(D$12),0))</f>
        <v xml:space="preserve">UN    </v>
      </c>
      <c r="E65" s="165">
        <f ca="1">IF($A65&lt;&gt;"Serviço",0,ROUND(SUMIF($F$9:$P$9,"&lt;&gt;",$F65:$P65),15-13*PO!$X$3))</f>
        <v>1</v>
      </c>
      <c r="F65" s="398">
        <v>1</v>
      </c>
      <c r="G65" s="398"/>
      <c r="H65" s="398"/>
      <c r="I65" s="398"/>
      <c r="J65" s="398"/>
      <c r="K65" s="398"/>
      <c r="L65" s="398"/>
      <c r="M65" s="398"/>
      <c r="N65" s="398"/>
      <c r="O65" s="398"/>
      <c r="U65" s="215"/>
    </row>
    <row r="66" spans="1:21" s="4" customFormat="1" ht="25.5" x14ac:dyDescent="0.2">
      <c r="A66" s="128" t="str">
        <f ca="1">OFFSET(PO!J$12,ROW(A66)-ROW($A$12),0)</f>
        <v>Serviço</v>
      </c>
      <c r="B66" s="130" t="str">
        <f ca="1">IF($A66=0,"",OFFSET(PO!K$12,ROW(B66)-ROW(B$12),0))</f>
        <v>1.6.4.</v>
      </c>
      <c r="C66" s="127" t="str">
        <f ca="1">IF(OFFSET(PO!N$12,ROW(C66)-ROW(C$12),0)=0,"",OFFSET(PO!N$12,ROW(C66)-ROW(C$12),0))</f>
        <v>ELETRODUTO RÍGIDO ROSCÁVEL, PVC, DN 25 MM (3/4"), PARA CIRCUITOS TERMINAIS - FORNECIMENTO E INSTALAÇÃO</v>
      </c>
      <c r="D66" s="129" t="str">
        <f ca="1">IF(OFFSET(PO!O$12,ROW(D66)-ROW(D$12),0)=0,"",OFFSET(PO!O$12,ROW(D66)-ROW(D$12),0))</f>
        <v>M</v>
      </c>
      <c r="E66" s="165">
        <f ca="1">IF($A66&lt;&gt;"Serviço",0,ROUND(SUMIF($F$9:$P$9,"&lt;&gt;",$F66:$P66),15-13*PO!$X$3))</f>
        <v>60</v>
      </c>
      <c r="F66" s="398">
        <v>60</v>
      </c>
      <c r="G66" s="398"/>
      <c r="H66" s="398"/>
      <c r="I66" s="398"/>
      <c r="J66" s="398"/>
      <c r="K66" s="398"/>
      <c r="L66" s="398"/>
      <c r="M66" s="398"/>
      <c r="N66" s="398"/>
      <c r="O66" s="398"/>
      <c r="U66" s="215"/>
    </row>
    <row r="67" spans="1:21" s="4" customFormat="1" ht="38.25" x14ac:dyDescent="0.2">
      <c r="A67" s="128" t="str">
        <f ca="1">OFFSET(PO!J$12,ROW(A67)-ROW($A$12),0)</f>
        <v>Serviço</v>
      </c>
      <c r="B67" s="130" t="str">
        <f ca="1">IF($A67=0,"",OFFSET(PO!K$12,ROW(B67)-ROW(B$12),0))</f>
        <v>1.6.5.</v>
      </c>
      <c r="C67" s="127" t="str">
        <f ca="1">IF(OFFSET(PO!N$12,ROW(C67)-ROW(C$12),0)=0,"",OFFSET(PO!N$12,ROW(C67)-ROW(C$12),0))</f>
        <v>CABO DE COBRE FLEXÍVEL ISOLADO, 25 MM², 0,6/1,0 KV, PARA REDE AÉREA DE DISTRIBUIÇÃO DE ENERGIA ELÉTRICA DE BAIXA TENSÃO - FORNECIMENTO E INSTALAÇÃO</v>
      </c>
      <c r="D67" s="129" t="str">
        <f ca="1">IF(OFFSET(PO!O$12,ROW(D67)-ROW(D$12),0)=0,"",OFFSET(PO!O$12,ROW(D67)-ROW(D$12),0))</f>
        <v>M</v>
      </c>
      <c r="E67" s="165">
        <f ca="1">IF($A67&lt;&gt;"Serviço",0,ROUND(SUMIF($F$9:$P$9,"&lt;&gt;",$F67:$P67),15-13*PO!$X$3))</f>
        <v>90</v>
      </c>
      <c r="F67" s="398">
        <v>90</v>
      </c>
      <c r="G67" s="398"/>
      <c r="H67" s="398"/>
      <c r="I67" s="398"/>
      <c r="J67" s="398"/>
      <c r="K67" s="398"/>
      <c r="L67" s="398"/>
      <c r="M67" s="398"/>
      <c r="N67" s="398"/>
      <c r="O67" s="398"/>
      <c r="U67" s="215"/>
    </row>
    <row r="68" spans="1:21" s="4" customFormat="1" ht="25.5" x14ac:dyDescent="0.2">
      <c r="A68" s="128" t="str">
        <f ca="1">OFFSET(PO!J$12,ROW(A68)-ROW($A$12),0)</f>
        <v>Serviço</v>
      </c>
      <c r="B68" s="130" t="str">
        <f ca="1">IF($A68=0,"",OFFSET(PO!K$12,ROW(B68)-ROW(B$12),0))</f>
        <v>1.6.6.</v>
      </c>
      <c r="C68" s="127" t="str">
        <f ca="1">IF(OFFSET(PO!N$12,ROW(C68)-ROW(C$12),0)=0,"",OFFSET(PO!N$12,ROW(C68)-ROW(C$12),0))</f>
        <v>LUMINÁRIA DE LED, DE 33 W ATÉ 50 W - FORNECIMENTO E INSTALAÇÃO</v>
      </c>
      <c r="D68" s="129" t="str">
        <f ca="1">IF(OFFSET(PO!O$12,ROW(D68)-ROW(D$12),0)=0,"",OFFSET(PO!O$12,ROW(D68)-ROW(D$12),0))</f>
        <v>UN</v>
      </c>
      <c r="E68" s="165">
        <f ca="1">IF($A68&lt;&gt;"Serviço",0,ROUND(SUMIF($F$9:$P$9,"&lt;&gt;",$F68:$P68),15-13*PO!$X$3))</f>
        <v>16</v>
      </c>
      <c r="F68" s="398">
        <v>16</v>
      </c>
      <c r="G68" s="398"/>
      <c r="H68" s="398"/>
      <c r="I68" s="398"/>
      <c r="J68" s="398"/>
      <c r="K68" s="398"/>
      <c r="L68" s="398"/>
      <c r="M68" s="398"/>
      <c r="N68" s="398"/>
      <c r="O68" s="398"/>
      <c r="U68" s="215"/>
    </row>
    <row r="69" spans="1:21" s="4" customFormat="1" x14ac:dyDescent="0.2">
      <c r="A69" s="128" t="str">
        <f ca="1">OFFSET(PO!J$12,ROW(A69)-ROW($A$12),0)</f>
        <v>Nível 2</v>
      </c>
      <c r="B69" s="130" t="str">
        <f ca="1">IF($A69=0,"",OFFSET(PO!K$12,ROW(B69)-ROW(B$12),0))</f>
        <v>1.7.</v>
      </c>
      <c r="C69" s="127" t="str">
        <f ca="1">IF(OFFSET(PO!N$12,ROW(C69)-ROW(C$12),0)=0,"",OFFSET(PO!N$12,ROW(C69)-ROW(C$12),0))</f>
        <v>FORRO</v>
      </c>
      <c r="D69" s="129" t="str">
        <f ca="1">IF(OFFSET(PO!O$12,ROW(D69)-ROW(D$12),0)=0,"",OFFSET(PO!O$12,ROW(D69)-ROW(D$12),0))</f>
        <v/>
      </c>
      <c r="E69" s="165">
        <f ca="1">IF($A69&lt;&gt;"Serviço",0,ROUND(SUMIF($F$9:$P$9,"&lt;&gt;",$F69:$P69),15-13*PO!$X$3))</f>
        <v>0</v>
      </c>
      <c r="F69" s="398"/>
      <c r="G69" s="398"/>
      <c r="H69" s="398"/>
      <c r="I69" s="398"/>
      <c r="J69" s="398"/>
      <c r="K69" s="398"/>
      <c r="L69" s="398"/>
      <c r="M69" s="398"/>
      <c r="N69" s="398"/>
      <c r="O69" s="398"/>
      <c r="U69" s="215"/>
    </row>
    <row r="70" spans="1:21" s="4" customFormat="1" ht="25.5" x14ac:dyDescent="0.2">
      <c r="A70" s="128" t="str">
        <f ca="1">OFFSET(PO!J$12,ROW(A70)-ROW($A$12),0)</f>
        <v>Serviço</v>
      </c>
      <c r="B70" s="130" t="str">
        <f ca="1">IF($A70=0,"",OFFSET(PO!K$12,ROW(B70)-ROW(B$12),0))</f>
        <v>1.7.1.</v>
      </c>
      <c r="C70" s="127" t="str">
        <f ca="1">IF(OFFSET(PO!N$12,ROW(C70)-ROW(C$12),0)=0,"",OFFSET(PO!N$12,ROW(C70)-ROW(C$12),0))</f>
        <v>FORRO EM RÉGUAS DE PVC, FRISADO, PARA AMBIENTES RESIDENCIAIS, INCLUSIVE ESTRUTURA DE FIXAÇÃO</v>
      </c>
      <c r="D70" s="129" t="str">
        <f ca="1">IF(OFFSET(PO!O$12,ROW(D70)-ROW(D$12),0)=0,"",OFFSET(PO!O$12,ROW(D70)-ROW(D$12),0))</f>
        <v>M2</v>
      </c>
      <c r="E70" s="165">
        <f ca="1">IF($A70&lt;&gt;"Serviço",0,ROUND(SUMIF($F$9:$P$9,"&lt;&gt;",$F70:$P70),15-13*PO!$X$3))</f>
        <v>75</v>
      </c>
      <c r="F70" s="398">
        <v>75</v>
      </c>
      <c r="G70" s="398"/>
      <c r="H70" s="398"/>
      <c r="I70" s="398"/>
      <c r="J70" s="398"/>
      <c r="K70" s="398"/>
      <c r="L70" s="398"/>
      <c r="M70" s="398"/>
      <c r="N70" s="398"/>
      <c r="O70" s="398"/>
      <c r="U70" s="215"/>
    </row>
    <row r="71" spans="1:21" s="4" customFormat="1" x14ac:dyDescent="0.2">
      <c r="A71" s="128" t="str">
        <f ca="1">OFFSET(PO!J$12,ROW(A71)-ROW($A$12),0)</f>
        <v>Nível 2</v>
      </c>
      <c r="B71" s="130" t="str">
        <f ca="1">IF($A71=0,"",OFFSET(PO!K$12,ROW(B71)-ROW(B$12),0))</f>
        <v>1.8.</v>
      </c>
      <c r="C71" s="127" t="str">
        <f ca="1">IF(OFFSET(PO!N$12,ROW(C71)-ROW(C$12),0)=0,"",OFFSET(PO!N$12,ROW(C71)-ROW(C$12),0))</f>
        <v>ACESSIBILIDADE/CALÇADA EXTERNA</v>
      </c>
      <c r="D71" s="129" t="str">
        <f ca="1">IF(OFFSET(PO!O$12,ROW(D71)-ROW(D$12),0)=0,"",OFFSET(PO!O$12,ROW(D71)-ROW(D$12),0))</f>
        <v/>
      </c>
      <c r="E71" s="165">
        <f ca="1">IF($A71&lt;&gt;"Serviço",0,ROUND(SUMIF($F$9:$P$9,"&lt;&gt;",$F71:$P71),15-13*PO!$X$3))</f>
        <v>0</v>
      </c>
      <c r="F71" s="398"/>
      <c r="G71" s="398"/>
      <c r="H71" s="398"/>
      <c r="I71" s="398"/>
      <c r="J71" s="398"/>
      <c r="K71" s="398"/>
      <c r="L71" s="398"/>
      <c r="M71" s="398"/>
      <c r="N71" s="398"/>
      <c r="O71" s="398"/>
      <c r="U71" s="215"/>
    </row>
    <row r="72" spans="1:21" s="4" customFormat="1" ht="38.25" x14ac:dyDescent="0.2">
      <c r="A72" s="128" t="str">
        <f ca="1">OFFSET(PO!J$12,ROW(A72)-ROW($A$12),0)</f>
        <v>Serviço</v>
      </c>
      <c r="B72" s="130" t="str">
        <f ca="1">IF($A72=0,"",OFFSET(PO!K$12,ROW(B72)-ROW(B$12),0))</f>
        <v>1.8.1.</v>
      </c>
      <c r="C72" s="127" t="str">
        <f ca="1">IF(OFFSET(PO!N$12,ROW(C72)-ROW(C$12),0)=0,"",OFFSET(PO!N$12,ROW(C72)-ROW(C$12),0))</f>
        <v>EXECUÇÃO DE PISO DE CONCRETO COM CONCRETO MOLDADO IN LOCO, FEITO EM OBRA, ACABAMENTO CONVENCIONAL, ESPESSURA 6 CM, ARMADO (Vaga PCD)</v>
      </c>
      <c r="D72" s="129" t="str">
        <f ca="1">IF(OFFSET(PO!O$12,ROW(D72)-ROW(D$12),0)=0,"",OFFSET(PO!O$12,ROW(D72)-ROW(D$12),0))</f>
        <v>M2</v>
      </c>
      <c r="E72" s="165">
        <f ca="1">IF($A72&lt;&gt;"Serviço",0,ROUND(SUMIF($F$9:$P$9,"&lt;&gt;",$F72:$P72),15-13*PO!$X$3))</f>
        <v>18.5</v>
      </c>
      <c r="F72" s="398">
        <v>18.5</v>
      </c>
      <c r="G72" s="398"/>
      <c r="H72" s="398"/>
      <c r="I72" s="398"/>
      <c r="J72" s="398"/>
      <c r="K72" s="398"/>
      <c r="L72" s="398"/>
      <c r="M72" s="398"/>
      <c r="N72" s="398"/>
      <c r="O72" s="398"/>
      <c r="U72" s="215"/>
    </row>
    <row r="73" spans="1:21" s="4" customFormat="1" ht="25.5" x14ac:dyDescent="0.2">
      <c r="A73" s="128" t="str">
        <f ca="1">OFFSET(PO!J$12,ROW(A73)-ROW($A$12),0)</f>
        <v>Serviço</v>
      </c>
      <c r="B73" s="130" t="str">
        <f ca="1">IF($A73=0,"",OFFSET(PO!K$12,ROW(B73)-ROW(B$12),0))</f>
        <v>1.8.2.</v>
      </c>
      <c r="C73" s="127" t="str">
        <f ca="1">IF(OFFSET(PO!N$12,ROW(C73)-ROW(C$12),0)=0,"",OFFSET(PO!N$12,ROW(C73)-ROW(C$12),0))</f>
        <v>PISO PODOTÁTIL DE ALERTA OU DIRECIONAL, DE BORRACHA, ASSENTADO COM COLA</v>
      </c>
      <c r="D73" s="129" t="str">
        <f ca="1">IF(OFFSET(PO!O$12,ROW(D73)-ROW(D$12),0)=0,"",OFFSET(PO!O$12,ROW(D73)-ROW(D$12),0))</f>
        <v>M</v>
      </c>
      <c r="E73" s="165">
        <f ca="1">IF($A73&lt;&gt;"Serviço",0,ROUND(SUMIF($F$9:$P$9,"&lt;&gt;",$F73:$P73),15-13*PO!$X$3))</f>
        <v>35</v>
      </c>
      <c r="F73" s="398">
        <v>35</v>
      </c>
      <c r="G73" s="398"/>
      <c r="H73" s="398"/>
      <c r="I73" s="398"/>
      <c r="J73" s="398"/>
      <c r="K73" s="398"/>
      <c r="L73" s="398"/>
      <c r="M73" s="398"/>
      <c r="N73" s="398"/>
      <c r="O73" s="398"/>
      <c r="U73" s="215"/>
    </row>
    <row r="74" spans="1:21" s="4" customFormat="1" ht="25.5" x14ac:dyDescent="0.2">
      <c r="A74" s="128" t="str">
        <f ca="1">OFFSET(PO!J$12,ROW(A74)-ROW($A$12),0)</f>
        <v>Serviço</v>
      </c>
      <c r="B74" s="130" t="str">
        <f ca="1">IF($A74=0,"",OFFSET(PO!K$12,ROW(B74)-ROW(B$12),0))</f>
        <v>1.8.3.</v>
      </c>
      <c r="C74" s="127" t="str">
        <f ca="1">IF(OFFSET(PO!N$12,ROW(C74)-ROW(C$12),0)=0,"",OFFSET(PO!N$12,ROW(C74)-ROW(C$12),0))</f>
        <v>EXTINTOR INCENDIO TP PO QUIMICO 4KG FORNECIMENTO E COLOCACAO</v>
      </c>
      <c r="D74" s="129" t="str">
        <f ca="1">IF(OFFSET(PO!O$12,ROW(D74)-ROW(D$12),0)=0,"",OFFSET(PO!O$12,ROW(D74)-ROW(D$12),0))</f>
        <v>UN</v>
      </c>
      <c r="E74" s="165">
        <f ca="1">IF($A74&lt;&gt;"Serviço",0,ROUND(SUMIF($F$9:$P$9,"&lt;&gt;",$F74:$P74),15-13*PO!$X$3))</f>
        <v>1</v>
      </c>
      <c r="F74" s="398">
        <v>1</v>
      </c>
      <c r="G74" s="398"/>
      <c r="H74" s="398"/>
      <c r="I74" s="398"/>
      <c r="J74" s="398"/>
      <c r="K74" s="398"/>
      <c r="L74" s="398"/>
      <c r="M74" s="398"/>
      <c r="N74" s="398"/>
      <c r="O74" s="398"/>
      <c r="U74" s="215"/>
    </row>
    <row r="75" spans="1:21" s="4" customFormat="1" ht="25.5" x14ac:dyDescent="0.2">
      <c r="A75" s="128" t="str">
        <f ca="1">OFFSET(PO!J$12,ROW(A75)-ROW($A$12),0)</f>
        <v>Serviço</v>
      </c>
      <c r="B75" s="130" t="str">
        <f ca="1">IF($A75=0,"",OFFSET(PO!K$12,ROW(B75)-ROW(B$12),0))</f>
        <v>1.8.4.</v>
      </c>
      <c r="C75" s="127" t="str">
        <f ca="1">IF(OFFSET(PO!N$12,ROW(C75)-ROW(C$12),0)=0,"",OFFSET(PO!N$12,ROW(C75)-ROW(C$12),0))</f>
        <v>LUMINÁRIA DE EMERGÊNCIA, COM 30 LÂMPADAS LED DE 2 W FORNECIMENTO E INSTALAÇÃO</v>
      </c>
      <c r="D75" s="129" t="str">
        <f ca="1">IF(OFFSET(PO!O$12,ROW(D75)-ROW(D$12),0)=0,"",OFFSET(PO!O$12,ROW(D75)-ROW(D$12),0))</f>
        <v>UN</v>
      </c>
      <c r="E75" s="165">
        <f ca="1">IF($A75&lt;&gt;"Serviço",0,ROUND(SUMIF($F$9:$P$9,"&lt;&gt;",$F75:$P75),15-13*PO!$X$3))</f>
        <v>2</v>
      </c>
      <c r="F75" s="398">
        <v>2</v>
      </c>
      <c r="G75" s="398"/>
      <c r="H75" s="398"/>
      <c r="I75" s="398"/>
      <c r="J75" s="398"/>
      <c r="K75" s="398"/>
      <c r="L75" s="398"/>
      <c r="M75" s="398"/>
      <c r="N75" s="398"/>
      <c r="O75" s="398"/>
      <c r="U75" s="215"/>
    </row>
    <row r="76" spans="1:21" s="4" customFormat="1" ht="51" x14ac:dyDescent="0.2">
      <c r="A76" s="128" t="str">
        <f ca="1">OFFSET(PO!J$12,ROW(A76)-ROW($A$12),0)</f>
        <v>Serviço</v>
      </c>
      <c r="B76" s="130" t="str">
        <f ca="1">IF($A76=0,"",OFFSET(PO!K$12,ROW(B76)-ROW(B$12),0))</f>
        <v>1.8.5.</v>
      </c>
      <c r="C76" s="127" t="str">
        <f ca="1">IF(OFFSET(PO!N$12,ROW(C76)-ROW(C$12),0)=0,"",OFFSET(PO!N$12,ROW(C76)-ROW(C$12),0))</f>
        <v>PLACA DE SINALIZACAO DE SEGURANCA CONTRA INCENDIO, FOTOLUMINESCENTE, RETANGULAR, *20 X 40* CM, EM PVC *2* MM ANTI-CHAMAS (SIMBOLOS, CORES E PICTOGRAMAS CONFORME NBR 13434)</v>
      </c>
      <c r="D76" s="129" t="str">
        <f ca="1">IF(OFFSET(PO!O$12,ROW(D76)-ROW(D$12),0)=0,"",OFFSET(PO!O$12,ROW(D76)-ROW(D$12),0))</f>
        <v xml:space="preserve">UN    </v>
      </c>
      <c r="E76" s="165">
        <f ca="1">IF($A76&lt;&gt;"Serviço",0,ROUND(SUMIF($F$9:$P$9,"&lt;&gt;",$F76:$P76),15-13*PO!$X$3))</f>
        <v>2</v>
      </c>
      <c r="F76" s="398">
        <v>2</v>
      </c>
      <c r="G76" s="398"/>
      <c r="H76" s="398"/>
      <c r="I76" s="398"/>
      <c r="J76" s="398"/>
      <c r="K76" s="398"/>
      <c r="L76" s="398"/>
      <c r="M76" s="398"/>
      <c r="N76" s="398"/>
      <c r="O76" s="398"/>
      <c r="U76" s="215"/>
    </row>
    <row r="77" spans="1:21" s="4" customFormat="1" x14ac:dyDescent="0.2">
      <c r="A77" s="83"/>
      <c r="B77" s="83"/>
      <c r="C77" s="83"/>
      <c r="D77" s="83"/>
      <c r="E77" s="83"/>
      <c r="F77" s="83"/>
      <c r="G77" s="83"/>
      <c r="H77" s="83"/>
      <c r="I77" s="83"/>
      <c r="J77" s="83"/>
      <c r="K77" s="83"/>
      <c r="L77" s="83"/>
      <c r="M77" s="83"/>
      <c r="N77" s="83"/>
      <c r="O77" s="83"/>
      <c r="U77" s="83"/>
    </row>
    <row r="78" spans="1:21" s="4" customFormat="1" x14ac:dyDescent="0.2">
      <c r="B78" s="9"/>
      <c r="C78" s="14"/>
      <c r="D78" s="9"/>
      <c r="E78" s="16"/>
      <c r="F78" s="16"/>
      <c r="G78" s="16"/>
      <c r="H78" s="16"/>
      <c r="I78" s="16"/>
      <c r="J78" s="16"/>
      <c r="K78" s="16"/>
      <c r="L78" s="16"/>
      <c r="M78" s="16"/>
      <c r="N78" s="16"/>
      <c r="O78" s="16"/>
      <c r="U78" s="16"/>
    </row>
    <row r="79" spans="1:21" s="4" customFormat="1" x14ac:dyDescent="0.2">
      <c r="B79" s="371" t="str">
        <f>PO!$K$88</f>
        <v>SÃO CARLOS/SC</v>
      </c>
      <c r="C79" s="371"/>
      <c r="D79" s="9"/>
      <c r="E79" s="16"/>
      <c r="F79" s="16"/>
      <c r="G79" s="16"/>
      <c r="H79" s="16"/>
      <c r="I79" s="16"/>
      <c r="J79" s="16"/>
      <c r="K79" s="16"/>
      <c r="L79" s="16"/>
      <c r="M79" s="16"/>
      <c r="N79" s="16"/>
      <c r="O79" s="16"/>
      <c r="U79" s="16"/>
    </row>
    <row r="80" spans="1:21" s="4" customFormat="1" x14ac:dyDescent="0.2">
      <c r="B80" s="113" t="s">
        <v>120</v>
      </c>
      <c r="C80" s="14"/>
      <c r="D80" s="9"/>
      <c r="E80" s="16"/>
      <c r="F80" s="16"/>
      <c r="G80" s="16"/>
      <c r="H80" s="16"/>
      <c r="I80" s="16"/>
      <c r="J80" s="16"/>
      <c r="K80" s="16"/>
      <c r="L80" s="16"/>
      <c r="M80" s="16"/>
      <c r="N80" s="16"/>
      <c r="O80" s="16"/>
      <c r="U80" s="16"/>
    </row>
    <row r="81" spans="2:21" s="4" customFormat="1" x14ac:dyDescent="0.2">
      <c r="B81" s="14"/>
      <c r="C81" s="14"/>
      <c r="D81" s="9"/>
      <c r="E81" s="16"/>
      <c r="F81" s="16"/>
      <c r="G81" s="16"/>
      <c r="H81" s="16"/>
      <c r="I81" s="16"/>
      <c r="J81" s="16"/>
      <c r="K81" s="16"/>
      <c r="L81" s="16"/>
      <c r="M81" s="16"/>
      <c r="N81" s="16"/>
      <c r="O81" s="16"/>
      <c r="U81" s="16"/>
    </row>
    <row r="82" spans="2:21" s="4" customFormat="1" x14ac:dyDescent="0.2">
      <c r="B82" s="372">
        <f ca="1">PO!$K$91</f>
        <v>45457</v>
      </c>
      <c r="C82" s="372"/>
      <c r="D82" s="9"/>
      <c r="E82" s="16"/>
      <c r="F82" s="16"/>
      <c r="G82" s="16"/>
      <c r="H82" s="16"/>
      <c r="I82" s="16"/>
      <c r="J82" s="16"/>
      <c r="K82" s="16"/>
      <c r="L82" s="16"/>
      <c r="M82" s="16"/>
      <c r="N82" s="16"/>
      <c r="O82" s="16"/>
      <c r="U82" s="16"/>
    </row>
    <row r="83" spans="2:21" s="4" customFormat="1" x14ac:dyDescent="0.2">
      <c r="B83" s="142" t="s">
        <v>121</v>
      </c>
      <c r="C83" s="143"/>
      <c r="D83" s="9"/>
      <c r="E83" s="16"/>
      <c r="F83" s="16"/>
      <c r="G83" s="16"/>
      <c r="H83" s="16"/>
      <c r="I83" s="16"/>
      <c r="J83" s="16"/>
      <c r="K83" s="16"/>
      <c r="L83" s="16"/>
      <c r="M83" s="16"/>
      <c r="N83" s="16"/>
      <c r="O83" s="16"/>
      <c r="U83" s="16"/>
    </row>
  </sheetData>
  <sheetProtection algorithmName="SHA-512" hashValue="Uc+fPGwfldytGgadF2QmyaDyrtZysf80yWoaaH1BomKiirDXI43T7eiKgZ05+B05gdS7HeZuSEuDwGZe5FBnAQ==" saltValue="J4dkNJ/lkYasgdU/yb0h8w==" spinCount="100000" sheet="1" objects="1" scenarios="1"/>
  <mergeCells count="2">
    <mergeCell ref="B79:C79"/>
    <mergeCell ref="B82:C82"/>
  </mergeCells>
  <phoneticPr fontId="25" type="noConversion"/>
  <conditionalFormatting sqref="D11:E11 D70:E72 D21:E28 D44:E46 D67:E68 D55:E65 D39:E41 D74:E76 D30:E30 D13:E18 D33:E37">
    <cfRule type="expression" dxfId="203" priority="1259" stopIfTrue="1">
      <formula>$A11="Meta"</formula>
    </cfRule>
    <cfRule type="expression" dxfId="202" priority="1260" stopIfTrue="1">
      <formula>$A11&lt;&gt;"Serviço"</formula>
    </cfRule>
  </conditionalFormatting>
  <conditionalFormatting sqref="C11 C70:C72 C21:C28 C44:C46 C67:C68 C55:C65 C39:C41 C74:C76 C30 C13:C18 C33:C37">
    <cfRule type="expression" dxfId="201" priority="1261" stopIfTrue="1">
      <formula>$A11="Meta"</formula>
    </cfRule>
    <cfRule type="expression" dxfId="200" priority="1262" stopIfTrue="1">
      <formula>$A11&lt;&gt;"Serviço"</formula>
    </cfRule>
  </conditionalFormatting>
  <conditionalFormatting sqref="A11:B11 A70:B72 A21:B28 A44:B46 A67:B68 A55:B65 A39:B41 A74:B76 A30:B30 A13:B18 A33:B37">
    <cfRule type="expression" dxfId="199" priority="1263" stopIfTrue="1">
      <formula>$A11="Meta"</formula>
    </cfRule>
    <cfRule type="expression" dxfId="198" priority="1264" stopIfTrue="1">
      <formula>LEFT($A11,5)="Nível"</formula>
    </cfRule>
    <cfRule type="expression" dxfId="197" priority="1265" stopIfTrue="1">
      <formula>$A11=0</formula>
    </cfRule>
  </conditionalFormatting>
  <conditionalFormatting sqref="U11 U13:U30 F13:O30 F33:O53 U33:U53 U55:U76 F55:O76">
    <cfRule type="expression" dxfId="196" priority="1275" stopIfTrue="1">
      <formula>$A11="Meta"</formula>
    </cfRule>
    <cfRule type="expression" dxfId="195" priority="1276" stopIfTrue="1">
      <formula>OR(F$9=0,$A11&lt;&gt;"Serviço")</formula>
    </cfRule>
    <cfRule type="expression" dxfId="194" priority="1277" stopIfTrue="1">
      <formula>TipoOrçamento="Licitado"</formula>
    </cfRule>
  </conditionalFormatting>
  <conditionalFormatting sqref="U9">
    <cfRule type="expression" dxfId="193" priority="697" stopIfTrue="1">
      <formula>AND(T9=0,U9=0)</formula>
    </cfRule>
    <cfRule type="expression" dxfId="192" priority="698" stopIfTrue="1">
      <formula>TipoOrçamento="Licitado"</formula>
    </cfRule>
  </conditionalFormatting>
  <conditionalFormatting sqref="F11:O11">
    <cfRule type="expression" dxfId="191" priority="657" stopIfTrue="1">
      <formula>$A11="Meta"</formula>
    </cfRule>
    <cfRule type="expression" dxfId="190" priority="658" stopIfTrue="1">
      <formula>OR(F$9=0,$A11&lt;&gt;"Serviço")</formula>
    </cfRule>
    <cfRule type="expression" dxfId="189" priority="659" stopIfTrue="1">
      <formula>TipoOrçamento="Licitado"</formula>
    </cfRule>
  </conditionalFormatting>
  <conditionalFormatting sqref="F9:O9">
    <cfRule type="expression" dxfId="188" priority="655" stopIfTrue="1">
      <formula>AND(E9=0,F9=0)</formula>
    </cfRule>
    <cfRule type="expression" dxfId="187" priority="656" stopIfTrue="1">
      <formula>TipoOrçamento="Licitado"</formula>
    </cfRule>
  </conditionalFormatting>
  <conditionalFormatting sqref="D19:E19 D69:E69">
    <cfRule type="expression" dxfId="186" priority="284" stopIfTrue="1">
      <formula>$A19="Meta"</formula>
    </cfRule>
    <cfRule type="expression" dxfId="185" priority="285" stopIfTrue="1">
      <formula>$A19&lt;&gt;"Serviço"</formula>
    </cfRule>
  </conditionalFormatting>
  <conditionalFormatting sqref="C19 C69">
    <cfRule type="expression" dxfId="184" priority="286" stopIfTrue="1">
      <formula>$A19="Meta"</formula>
    </cfRule>
    <cfRule type="expression" dxfId="183" priority="287" stopIfTrue="1">
      <formula>$A19&lt;&gt;"Serviço"</formula>
    </cfRule>
  </conditionalFormatting>
  <conditionalFormatting sqref="A19:B19 A69:B69">
    <cfRule type="expression" dxfId="182" priority="288" stopIfTrue="1">
      <formula>$A19="Meta"</formula>
    </cfRule>
    <cfRule type="expression" dxfId="181" priority="289" stopIfTrue="1">
      <formula>LEFT($A19,5)="Nível"</formula>
    </cfRule>
    <cfRule type="expression" dxfId="180" priority="290" stopIfTrue="1">
      <formula>$A19=0</formula>
    </cfRule>
  </conditionalFormatting>
  <conditionalFormatting sqref="D43:E43">
    <cfRule type="expression" dxfId="179" priority="193" stopIfTrue="1">
      <formula>$A43="Meta"</formula>
    </cfRule>
    <cfRule type="expression" dxfId="178" priority="194" stopIfTrue="1">
      <formula>$A43&lt;&gt;"Serviço"</formula>
    </cfRule>
  </conditionalFormatting>
  <conditionalFormatting sqref="C43">
    <cfRule type="expression" dxfId="177" priority="195" stopIfTrue="1">
      <formula>$A43="Meta"</formula>
    </cfRule>
    <cfRule type="expression" dxfId="176" priority="196" stopIfTrue="1">
      <formula>$A43&lt;&gt;"Serviço"</formula>
    </cfRule>
  </conditionalFormatting>
  <conditionalFormatting sqref="A43:B43">
    <cfRule type="expression" dxfId="175" priority="197" stopIfTrue="1">
      <formula>$A43="Meta"</formula>
    </cfRule>
    <cfRule type="expression" dxfId="174" priority="198" stopIfTrue="1">
      <formula>LEFT($A43,5)="Nível"</formula>
    </cfRule>
    <cfRule type="expression" dxfId="173" priority="199" stopIfTrue="1">
      <formula>$A43=0</formula>
    </cfRule>
  </conditionalFormatting>
  <conditionalFormatting sqref="D20:E20">
    <cfRule type="expression" dxfId="172" priority="160" stopIfTrue="1">
      <formula>$A20="Meta"</formula>
    </cfRule>
    <cfRule type="expression" dxfId="171" priority="161" stopIfTrue="1">
      <formula>$A20&lt;&gt;"Serviço"</formula>
    </cfRule>
  </conditionalFormatting>
  <conditionalFormatting sqref="C20">
    <cfRule type="expression" dxfId="170" priority="162" stopIfTrue="1">
      <formula>$A20="Meta"</formula>
    </cfRule>
    <cfRule type="expression" dxfId="169" priority="163" stopIfTrue="1">
      <formula>$A20&lt;&gt;"Serviço"</formula>
    </cfRule>
  </conditionalFormatting>
  <conditionalFormatting sqref="A20:B20">
    <cfRule type="expression" dxfId="168" priority="164" stopIfTrue="1">
      <formula>$A20="Meta"</formula>
    </cfRule>
    <cfRule type="expression" dxfId="167" priority="165" stopIfTrue="1">
      <formula>LEFT($A20,5)="Nível"</formula>
    </cfRule>
    <cfRule type="expression" dxfId="166" priority="166" stopIfTrue="1">
      <formula>$A20=0</formula>
    </cfRule>
  </conditionalFormatting>
  <conditionalFormatting sqref="D38:E38">
    <cfRule type="expression" dxfId="165" priority="134" stopIfTrue="1">
      <formula>$A38="Meta"</formula>
    </cfRule>
    <cfRule type="expression" dxfId="164" priority="135" stopIfTrue="1">
      <formula>$A38&lt;&gt;"Serviço"</formula>
    </cfRule>
  </conditionalFormatting>
  <conditionalFormatting sqref="C38">
    <cfRule type="expression" dxfId="163" priority="136" stopIfTrue="1">
      <formula>$A38="Meta"</formula>
    </cfRule>
    <cfRule type="expression" dxfId="162" priority="137" stopIfTrue="1">
      <formula>$A38&lt;&gt;"Serviço"</formula>
    </cfRule>
  </conditionalFormatting>
  <conditionalFormatting sqref="A38:B38">
    <cfRule type="expression" dxfId="161" priority="138" stopIfTrue="1">
      <formula>$A38="Meta"</formula>
    </cfRule>
    <cfRule type="expression" dxfId="160" priority="139" stopIfTrue="1">
      <formula>LEFT($A38,5)="Nível"</formula>
    </cfRule>
    <cfRule type="expression" dxfId="159" priority="140" stopIfTrue="1">
      <formula>$A38=0</formula>
    </cfRule>
  </conditionalFormatting>
  <conditionalFormatting sqref="D66:E66">
    <cfRule type="expression" dxfId="158" priority="108" stopIfTrue="1">
      <formula>$A66="Meta"</formula>
    </cfRule>
    <cfRule type="expression" dxfId="157" priority="109" stopIfTrue="1">
      <formula>$A66&lt;&gt;"Serviço"</formula>
    </cfRule>
  </conditionalFormatting>
  <conditionalFormatting sqref="C66">
    <cfRule type="expression" dxfId="156" priority="110" stopIfTrue="1">
      <formula>$A66="Meta"</formula>
    </cfRule>
    <cfRule type="expression" dxfId="155" priority="111" stopIfTrue="1">
      <formula>$A66&lt;&gt;"Serviço"</formula>
    </cfRule>
  </conditionalFormatting>
  <conditionalFormatting sqref="A66:B66">
    <cfRule type="expression" dxfId="154" priority="112" stopIfTrue="1">
      <formula>$A66="Meta"</formula>
    </cfRule>
    <cfRule type="expression" dxfId="153" priority="113" stopIfTrue="1">
      <formula>LEFT($A66,5)="Nível"</formula>
    </cfRule>
    <cfRule type="expression" dxfId="152" priority="114" stopIfTrue="1">
      <formula>$A66=0</formula>
    </cfRule>
  </conditionalFormatting>
  <conditionalFormatting sqref="D47:E50 D52:E52">
    <cfRule type="expression" dxfId="151" priority="95" stopIfTrue="1">
      <formula>$A47="Meta"</formula>
    </cfRule>
    <cfRule type="expression" dxfId="150" priority="96" stopIfTrue="1">
      <formula>$A47&lt;&gt;"Serviço"</formula>
    </cfRule>
  </conditionalFormatting>
  <conditionalFormatting sqref="C47:C50 C52">
    <cfRule type="expression" dxfId="149" priority="97" stopIfTrue="1">
      <formula>$A47="Meta"</formula>
    </cfRule>
    <cfRule type="expression" dxfId="148" priority="98" stopIfTrue="1">
      <formula>$A47&lt;&gt;"Serviço"</formula>
    </cfRule>
  </conditionalFormatting>
  <conditionalFormatting sqref="A47:B50 A52:B52">
    <cfRule type="expression" dxfId="147" priority="99" stopIfTrue="1">
      <formula>$A47="Meta"</formula>
    </cfRule>
    <cfRule type="expression" dxfId="146" priority="100" stopIfTrue="1">
      <formula>LEFT($A47,5)="Nível"</formula>
    </cfRule>
    <cfRule type="expression" dxfId="145" priority="101" stopIfTrue="1">
      <formula>$A47=0</formula>
    </cfRule>
  </conditionalFormatting>
  <conditionalFormatting sqref="D53:E53">
    <cfRule type="expression" dxfId="144" priority="82" stopIfTrue="1">
      <formula>$A53="Meta"</formula>
    </cfRule>
    <cfRule type="expression" dxfId="143" priority="83" stopIfTrue="1">
      <formula>$A53&lt;&gt;"Serviço"</formula>
    </cfRule>
  </conditionalFormatting>
  <conditionalFormatting sqref="C53">
    <cfRule type="expression" dxfId="142" priority="84" stopIfTrue="1">
      <formula>$A53="Meta"</formula>
    </cfRule>
    <cfRule type="expression" dxfId="141" priority="85" stopIfTrue="1">
      <formula>$A53&lt;&gt;"Serviço"</formula>
    </cfRule>
  </conditionalFormatting>
  <conditionalFormatting sqref="A53:B53">
    <cfRule type="expression" dxfId="140" priority="86" stopIfTrue="1">
      <formula>$A53="Meta"</formula>
    </cfRule>
    <cfRule type="expression" dxfId="139" priority="87" stopIfTrue="1">
      <formula>LEFT($A53,5)="Nível"</formula>
    </cfRule>
    <cfRule type="expression" dxfId="138" priority="88" stopIfTrue="1">
      <formula>$A53=0</formula>
    </cfRule>
  </conditionalFormatting>
  <conditionalFormatting sqref="D73:E73">
    <cfRule type="expression" dxfId="137" priority="69" stopIfTrue="1">
      <formula>$A73="Meta"</formula>
    </cfRule>
    <cfRule type="expression" dxfId="136" priority="70" stopIfTrue="1">
      <formula>$A73&lt;&gt;"Serviço"</formula>
    </cfRule>
  </conditionalFormatting>
  <conditionalFormatting sqref="C73">
    <cfRule type="expression" dxfId="135" priority="71" stopIfTrue="1">
      <formula>$A73="Meta"</formula>
    </cfRule>
    <cfRule type="expression" dxfId="134" priority="72" stopIfTrue="1">
      <formula>$A73&lt;&gt;"Serviço"</formula>
    </cfRule>
  </conditionalFormatting>
  <conditionalFormatting sqref="A73:B73">
    <cfRule type="expression" dxfId="133" priority="73" stopIfTrue="1">
      <formula>$A73="Meta"</formula>
    </cfRule>
    <cfRule type="expression" dxfId="132" priority="74" stopIfTrue="1">
      <formula>LEFT($A73,5)="Nível"</formula>
    </cfRule>
    <cfRule type="expression" dxfId="131" priority="75" stopIfTrue="1">
      <formula>$A73=0</formula>
    </cfRule>
  </conditionalFormatting>
  <conditionalFormatting sqref="D42:E42">
    <cfRule type="expression" dxfId="130" priority="56" stopIfTrue="1">
      <formula>$A42="Meta"</formula>
    </cfRule>
    <cfRule type="expression" dxfId="129" priority="57" stopIfTrue="1">
      <formula>$A42&lt;&gt;"Serviço"</formula>
    </cfRule>
  </conditionalFormatting>
  <conditionalFormatting sqref="C42">
    <cfRule type="expression" dxfId="128" priority="58" stopIfTrue="1">
      <formula>$A42="Meta"</formula>
    </cfRule>
    <cfRule type="expression" dxfId="127" priority="59" stopIfTrue="1">
      <formula>$A42&lt;&gt;"Serviço"</formula>
    </cfRule>
  </conditionalFormatting>
  <conditionalFormatting sqref="A42:B42">
    <cfRule type="expression" dxfId="126" priority="60" stopIfTrue="1">
      <formula>$A42="Meta"</formula>
    </cfRule>
    <cfRule type="expression" dxfId="125" priority="61" stopIfTrue="1">
      <formula>LEFT($A42,5)="Nível"</formula>
    </cfRule>
    <cfRule type="expression" dxfId="124" priority="62" stopIfTrue="1">
      <formula>$A42=0</formula>
    </cfRule>
  </conditionalFormatting>
  <conditionalFormatting sqref="D51:E51">
    <cfRule type="expression" dxfId="123" priority="43" stopIfTrue="1">
      <formula>$A51="Meta"</formula>
    </cfRule>
    <cfRule type="expression" dxfId="122" priority="44" stopIfTrue="1">
      <formula>$A51&lt;&gt;"Serviço"</formula>
    </cfRule>
  </conditionalFormatting>
  <conditionalFormatting sqref="C51">
    <cfRule type="expression" dxfId="121" priority="45" stopIfTrue="1">
      <formula>$A51="Meta"</formula>
    </cfRule>
    <cfRule type="expression" dxfId="120" priority="46" stopIfTrue="1">
      <formula>$A51&lt;&gt;"Serviço"</formula>
    </cfRule>
  </conditionalFormatting>
  <conditionalFormatting sqref="A51:B51">
    <cfRule type="expression" dxfId="119" priority="47" stopIfTrue="1">
      <formula>$A51="Meta"</formula>
    </cfRule>
    <cfRule type="expression" dxfId="118" priority="48" stopIfTrue="1">
      <formula>LEFT($A51,5)="Nível"</formula>
    </cfRule>
    <cfRule type="expression" dxfId="117" priority="49" stopIfTrue="1">
      <formula>$A51=0</formula>
    </cfRule>
  </conditionalFormatting>
  <conditionalFormatting sqref="D29:E29">
    <cfRule type="expression" dxfId="116" priority="30" stopIfTrue="1">
      <formula>$A29="Meta"</formula>
    </cfRule>
    <cfRule type="expression" dxfId="115" priority="31" stopIfTrue="1">
      <formula>$A29&lt;&gt;"Serviço"</formula>
    </cfRule>
  </conditionalFormatting>
  <conditionalFormatting sqref="C29">
    <cfRule type="expression" dxfId="114" priority="32" stopIfTrue="1">
      <formula>$A29="Meta"</formula>
    </cfRule>
    <cfRule type="expression" dxfId="113" priority="33" stopIfTrue="1">
      <formula>$A29&lt;&gt;"Serviço"</formula>
    </cfRule>
  </conditionalFormatting>
  <conditionalFormatting sqref="A29:B29">
    <cfRule type="expression" dxfId="112" priority="34" stopIfTrue="1">
      <formula>$A29="Meta"</formula>
    </cfRule>
    <cfRule type="expression" dxfId="111" priority="35" stopIfTrue="1">
      <formula>LEFT($A29,5)="Nível"</formula>
    </cfRule>
    <cfRule type="expression" dxfId="110" priority="36" stopIfTrue="1">
      <formula>$A29=0</formula>
    </cfRule>
  </conditionalFormatting>
  <conditionalFormatting sqref="D31:E32">
    <cfRule type="expression" dxfId="109" priority="17" stopIfTrue="1">
      <formula>$A31="Meta"</formula>
    </cfRule>
    <cfRule type="expression" dxfId="108" priority="18" stopIfTrue="1">
      <formula>$A31&lt;&gt;"Serviço"</formula>
    </cfRule>
  </conditionalFormatting>
  <conditionalFormatting sqref="C31:C32">
    <cfRule type="expression" dxfId="107" priority="19" stopIfTrue="1">
      <formula>$A31="Meta"</formula>
    </cfRule>
    <cfRule type="expression" dxfId="106" priority="20" stopIfTrue="1">
      <formula>$A31&lt;&gt;"Serviço"</formula>
    </cfRule>
  </conditionalFormatting>
  <conditionalFormatting sqref="A31:B32">
    <cfRule type="expression" dxfId="105" priority="21" stopIfTrue="1">
      <formula>$A31="Meta"</formula>
    </cfRule>
    <cfRule type="expression" dxfId="104" priority="22" stopIfTrue="1">
      <formula>LEFT($A31,5)="Nível"</formula>
    </cfRule>
    <cfRule type="expression" dxfId="103" priority="23" stopIfTrue="1">
      <formula>$A31=0</formula>
    </cfRule>
  </conditionalFormatting>
  <conditionalFormatting sqref="U31:U32">
    <cfRule type="expression" dxfId="102" priority="24" stopIfTrue="1">
      <formula>$A31="Meta"</formula>
    </cfRule>
    <cfRule type="expression" dxfId="101" priority="25" stopIfTrue="1">
      <formula>OR(U$9=0,$A31&lt;&gt;"Serviço")</formula>
    </cfRule>
    <cfRule type="expression" dxfId="100" priority="26" stopIfTrue="1">
      <formula>TipoOrçamento="Licitado"</formula>
    </cfRule>
  </conditionalFormatting>
  <conditionalFormatting sqref="F31:O32">
    <cfRule type="expression" dxfId="99" priority="14" stopIfTrue="1">
      <formula>$A31="Meta"</formula>
    </cfRule>
    <cfRule type="expression" dxfId="98" priority="15" stopIfTrue="1">
      <formula>OR(F$9=0,$A31&lt;&gt;"Serviço")</formula>
    </cfRule>
    <cfRule type="expression" dxfId="97" priority="16" stopIfTrue="1">
      <formula>TipoOrçamento="Licitado"</formula>
    </cfRule>
  </conditionalFormatting>
  <conditionalFormatting sqref="D54:E54">
    <cfRule type="expression" dxfId="96" priority="4" stopIfTrue="1">
      <formula>$A54="Meta"</formula>
    </cfRule>
    <cfRule type="expression" dxfId="95" priority="5" stopIfTrue="1">
      <formula>$A54&lt;&gt;"Serviço"</formula>
    </cfRule>
  </conditionalFormatting>
  <conditionalFormatting sqref="C54">
    <cfRule type="expression" dxfId="94" priority="6" stopIfTrue="1">
      <formula>$A54="Meta"</formula>
    </cfRule>
    <cfRule type="expression" dxfId="93" priority="7" stopIfTrue="1">
      <formula>$A54&lt;&gt;"Serviço"</formula>
    </cfRule>
  </conditionalFormatting>
  <conditionalFormatting sqref="A54:B54">
    <cfRule type="expression" dxfId="92" priority="8" stopIfTrue="1">
      <formula>$A54="Meta"</formula>
    </cfRule>
    <cfRule type="expression" dxfId="91" priority="9" stopIfTrue="1">
      <formula>LEFT($A54,5)="Nível"</formula>
    </cfRule>
    <cfRule type="expression" dxfId="90" priority="10" stopIfTrue="1">
      <formula>$A54=0</formula>
    </cfRule>
  </conditionalFormatting>
  <conditionalFormatting sqref="U54">
    <cfRule type="expression" dxfId="89" priority="11" stopIfTrue="1">
      <formula>$A54="Meta"</formula>
    </cfRule>
    <cfRule type="expression" dxfId="88" priority="12" stopIfTrue="1">
      <formula>OR(U$9=0,$A54&lt;&gt;"Serviço")</formula>
    </cfRule>
    <cfRule type="expression" dxfId="87" priority="13" stopIfTrue="1">
      <formula>TipoOrçamento="Licitado"</formula>
    </cfRule>
  </conditionalFormatting>
  <conditionalFormatting sqref="F54:O54">
    <cfRule type="expression" dxfId="86" priority="1" stopIfTrue="1">
      <formula>$A54="Meta"</formula>
    </cfRule>
    <cfRule type="expression" dxfId="85" priority="2" stopIfTrue="1">
      <formula>OR(F$9=0,$A54&lt;&gt;"Serviço")</formula>
    </cfRule>
    <cfRule type="expression" dxfId="84" priority="3"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U14:U76 F14:O76">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v007   micro</oddFooter>
  </headerFooter>
  <ignoredErrors>
    <ignoredError sqref="B82 B79" unlockedFormula="1"/>
    <ignoredError sqref="A12 C12"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sheetPr>
  <dimension ref="A1:AC55"/>
  <sheetViews>
    <sheetView showGridLines="0" topLeftCell="L1" zoomScaleNormal="100" zoomScaleSheetLayoutView="100" workbookViewId="0"/>
  </sheetViews>
  <sheetFormatPr defaultRowHeight="12.75" x14ac:dyDescent="0.2"/>
  <cols>
    <col min="1" max="4" width="9.140625" style="42" hidden="1" customWidth="1"/>
    <col min="5" max="8" width="5.7109375" style="42" hidden="1" customWidth="1"/>
    <col min="9" max="10" width="6.7109375" style="42" hidden="1" customWidth="1"/>
    <col min="11" max="11" width="10.7109375" style="42" hidden="1" customWidth="1"/>
    <col min="12" max="12" width="10.7109375" style="42" customWidth="1"/>
    <col min="13" max="13" width="40.5703125" style="42" customWidth="1"/>
    <col min="14" max="14" width="16.42578125" style="47" customWidth="1"/>
    <col min="15" max="15" width="16.5703125" style="42" bestFit="1" customWidth="1"/>
    <col min="16" max="23" width="15.7109375" style="42" customWidth="1"/>
    <col min="24" max="24" width="0.85546875" style="46" customWidth="1"/>
    <col min="25" max="28" width="9.140625" style="42"/>
    <col min="29" max="29" width="15.7109375" style="42" hidden="1" customWidth="1"/>
    <col min="30" max="16384" width="9.140625" style="42"/>
  </cols>
  <sheetData>
    <row r="1" spans="1:29" s="41" customFormat="1" ht="12.95" customHeight="1" x14ac:dyDescent="0.2">
      <c r="A1" s="21"/>
      <c r="B1" s="21"/>
      <c r="C1" s="21"/>
      <c r="D1" s="21"/>
      <c r="E1" s="172"/>
      <c r="F1" s="172"/>
      <c r="G1" s="172"/>
      <c r="H1" s="172"/>
      <c r="I1" s="172"/>
      <c r="J1" s="172"/>
      <c r="K1" s="172"/>
      <c r="L1" s="21"/>
      <c r="M1" s="21"/>
      <c r="N1" s="21"/>
      <c r="O1" s="173" t="s">
        <v>22</v>
      </c>
      <c r="P1" s="174" t="s">
        <v>115</v>
      </c>
      <c r="Q1" s="175"/>
      <c r="R1" s="21"/>
      <c r="S1" s="21"/>
      <c r="T1" s="21"/>
      <c r="U1" s="1"/>
      <c r="V1" s="1"/>
      <c r="W1" s="1"/>
      <c r="X1" s="1"/>
      <c r="AC1" s="1"/>
    </row>
    <row r="2" spans="1:29" s="41" customFormat="1" ht="12.75" customHeight="1" x14ac:dyDescent="0.2">
      <c r="A2" s="1"/>
      <c r="B2" s="1"/>
      <c r="C2" s="1"/>
      <c r="D2" s="1"/>
      <c r="E2" s="1"/>
      <c r="F2" s="1"/>
      <c r="G2" s="1"/>
      <c r="H2" s="1"/>
      <c r="I2" s="1"/>
      <c r="J2" s="1"/>
      <c r="K2" s="1"/>
      <c r="L2" s="1"/>
      <c r="M2" s="1"/>
      <c r="N2" s="1"/>
      <c r="O2" s="173"/>
      <c r="P2" s="176"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s="1"/>
      <c r="R2" s="1"/>
      <c r="S2" s="1"/>
      <c r="T2" s="1"/>
      <c r="U2" s="1"/>
      <c r="V2" s="174"/>
      <c r="W2" s="1"/>
      <c r="X2" s="1"/>
      <c r="AC2" s="1"/>
    </row>
    <row r="3" spans="1:29" s="41" customFormat="1" ht="12.75" customHeight="1" x14ac:dyDescent="0.2">
      <c r="A3" s="1"/>
      <c r="B3" s="1"/>
      <c r="C3" s="1"/>
      <c r="D3" s="1"/>
      <c r="E3" s="1"/>
      <c r="F3" s="1"/>
      <c r="G3" s="1"/>
      <c r="H3" s="1"/>
      <c r="I3" s="1"/>
      <c r="J3" s="1"/>
      <c r="K3" s="1"/>
      <c r="L3" s="1"/>
      <c r="M3" s="1"/>
      <c r="N3" s="1"/>
      <c r="O3" s="1"/>
      <c r="P3" s="1"/>
      <c r="Q3" s="1"/>
      <c r="R3" s="1"/>
      <c r="S3" s="82"/>
      <c r="T3" s="1"/>
      <c r="U3" s="1"/>
      <c r="V3" s="1"/>
      <c r="W3" s="1"/>
      <c r="X3" s="1"/>
      <c r="AC3" s="1"/>
    </row>
    <row r="4" spans="1:29" s="41" customFormat="1" ht="24.95" customHeight="1" x14ac:dyDescent="0.2">
      <c r="A4" s="1"/>
      <c r="B4" s="1"/>
      <c r="C4" s="1"/>
      <c r="D4" s="1"/>
      <c r="E4" s="1"/>
      <c r="F4" s="1"/>
      <c r="G4" s="1"/>
      <c r="H4" s="1"/>
      <c r="I4" s="1"/>
      <c r="J4" s="1"/>
      <c r="K4" s="1"/>
      <c r="L4" s="1"/>
      <c r="M4" s="1"/>
      <c r="N4" s="1"/>
      <c r="O4" s="1"/>
      <c r="P4" s="1"/>
      <c r="Q4" s="1"/>
      <c r="R4" s="1"/>
      <c r="S4" s="1"/>
      <c r="T4" s="1"/>
      <c r="U4" s="1"/>
      <c r="V4" s="1"/>
      <c r="W4" s="1"/>
      <c r="X4" s="1"/>
      <c r="AC4" s="1"/>
    </row>
    <row r="5" spans="1:29" s="41" customFormat="1" ht="24.95" customHeight="1" x14ac:dyDescent="0.2">
      <c r="A5" s="1"/>
      <c r="B5" s="1"/>
      <c r="C5" s="1"/>
      <c r="D5" s="1"/>
      <c r="E5" s="1"/>
      <c r="F5" s="1"/>
      <c r="G5" s="1"/>
      <c r="H5" s="1"/>
      <c r="I5" s="1"/>
      <c r="J5" s="1"/>
      <c r="K5" s="1"/>
      <c r="L5" s="1"/>
      <c r="M5" s="1"/>
      <c r="N5" s="1"/>
      <c r="O5" s="1"/>
      <c r="P5" s="1"/>
      <c r="Q5" s="1"/>
      <c r="R5" s="1"/>
      <c r="S5" s="1"/>
      <c r="T5" s="1"/>
      <c r="U5" s="1"/>
      <c r="V5" s="1"/>
      <c r="W5" s="1"/>
      <c r="X5" s="1"/>
      <c r="AC5" s="1"/>
    </row>
    <row r="6" spans="1:29" s="41" customFormat="1" ht="24.95" customHeight="1" x14ac:dyDescent="0.2">
      <c r="A6" s="1"/>
      <c r="B6" s="1"/>
      <c r="C6" s="1"/>
      <c r="D6" s="1"/>
      <c r="E6" s="1"/>
      <c r="F6" s="1"/>
      <c r="G6" s="1"/>
      <c r="H6" s="1"/>
      <c r="I6" s="1"/>
      <c r="J6" s="1"/>
      <c r="K6" s="1"/>
      <c r="L6" s="1"/>
      <c r="M6" s="1"/>
      <c r="N6" s="1"/>
      <c r="O6" s="1"/>
      <c r="P6" s="1"/>
      <c r="Q6" s="1"/>
      <c r="R6" s="1"/>
      <c r="S6" s="1"/>
      <c r="T6" s="1"/>
      <c r="U6" s="1"/>
      <c r="V6" s="1"/>
      <c r="W6" s="1"/>
      <c r="X6" s="1"/>
      <c r="AC6" s="1"/>
    </row>
    <row r="7" spans="1:29" s="41" customFormat="1" ht="21.75" customHeight="1" x14ac:dyDescent="0.2">
      <c r="A7" s="1"/>
      <c r="B7" s="1"/>
      <c r="C7" s="1"/>
      <c r="D7" s="1"/>
      <c r="E7" s="1"/>
      <c r="F7" s="1"/>
      <c r="G7" s="1"/>
      <c r="H7" s="1"/>
      <c r="I7" s="1"/>
      <c r="J7" s="1"/>
      <c r="K7" s="1"/>
      <c r="L7" s="1"/>
      <c r="M7" s="1"/>
      <c r="N7" s="1"/>
      <c r="O7" s="1"/>
      <c r="P7" s="1"/>
      <c r="Q7" s="1"/>
      <c r="R7" s="1"/>
      <c r="S7" s="1"/>
      <c r="T7" s="1"/>
      <c r="U7" s="1"/>
      <c r="V7" s="1"/>
      <c r="W7" s="1"/>
      <c r="X7" s="1"/>
      <c r="AC7" s="1"/>
    </row>
    <row r="8" spans="1:29" s="41" customFormat="1" ht="30" customHeight="1" x14ac:dyDescent="0.2">
      <c r="A8" s="177" t="s">
        <v>176</v>
      </c>
      <c r="B8" s="1"/>
      <c r="C8" s="1"/>
      <c r="D8" s="1"/>
      <c r="E8" s="1"/>
      <c r="F8" s="1"/>
      <c r="G8" s="1"/>
      <c r="H8" s="1"/>
      <c r="I8" s="1"/>
      <c r="J8" s="1"/>
      <c r="K8" s="1"/>
      <c r="L8" s="389" t="str">
        <f ca="1">IF(MAX($A$14:$A$46)&lt;&gt;MAX(PO!$V$12:$V$77),"ERRO: CRONOGRAMA DESATUALIZADO",IF(OR(COUNTIF($O$16:$X$16,"&gt;1")&gt;0,OFFSET($X$17,0,-1)&lt;&gt;$N$14),"ERRO: CRONOGRAMA NÃO FECHA EM 100%",""))</f>
        <v>ERRO: CRONOGRAMA NÃO FECHA EM 100%</v>
      </c>
      <c r="M8" s="389"/>
      <c r="N8" s="160" t="str">
        <f>IF(TipoOrçamento="REPROGRAMADOAC","Qtde de Medições realizadas","")</f>
        <v/>
      </c>
      <c r="O8" s="178"/>
      <c r="P8" s="179"/>
      <c r="Q8" s="1"/>
      <c r="R8" s="1"/>
      <c r="S8" s="1"/>
      <c r="T8" s="1"/>
      <c r="U8" s="1"/>
      <c r="V8" s="1"/>
      <c r="W8" s="1"/>
      <c r="X8" s="1"/>
      <c r="AC8" s="1"/>
    </row>
    <row r="9" spans="1:29" s="41" customFormat="1" ht="14.1" customHeight="1" x14ac:dyDescent="0.2">
      <c r="A9" s="166">
        <v>2</v>
      </c>
      <c r="B9" s="1"/>
      <c r="C9" s="1"/>
      <c r="D9" s="1"/>
      <c r="E9" s="1"/>
      <c r="F9" s="1"/>
      <c r="G9" s="1"/>
      <c r="H9" s="1"/>
      <c r="I9" s="1"/>
      <c r="J9" s="1"/>
      <c r="K9" s="1"/>
      <c r="L9" s="82"/>
      <c r="M9" s="82"/>
      <c r="N9" s="159">
        <v>1</v>
      </c>
      <c r="O9" s="149">
        <f>IF(AND(TipoOrçamento="REPROGRAMADOAC",$N$9&gt;0),$N$9-1,0)</f>
        <v>0</v>
      </c>
      <c r="P9" s="148">
        <f t="shared" ref="P9:W9" ca="1" si="0">OFFSET(P9,0,-1)+1</f>
        <v>1</v>
      </c>
      <c r="Q9" s="148">
        <f t="shared" ca="1" si="0"/>
        <v>2</v>
      </c>
      <c r="R9" s="148">
        <f t="shared" ca="1" si="0"/>
        <v>3</v>
      </c>
      <c r="S9" s="148">
        <f t="shared" ca="1" si="0"/>
        <v>4</v>
      </c>
      <c r="T9" s="148">
        <f t="shared" ca="1" si="0"/>
        <v>5</v>
      </c>
      <c r="U9" s="148">
        <f t="shared" ca="1" si="0"/>
        <v>6</v>
      </c>
      <c r="V9" s="148">
        <f t="shared" ca="1" si="0"/>
        <v>7</v>
      </c>
      <c r="W9" s="148">
        <f t="shared" ca="1" si="0"/>
        <v>8</v>
      </c>
      <c r="X9" s="1"/>
      <c r="AC9" s="148">
        <f ca="1">OFFSET(AC9,0,-1)+1</f>
        <v>1</v>
      </c>
    </row>
    <row r="10" spans="1:29" s="43" customFormat="1" ht="30" customHeight="1" x14ac:dyDescent="0.2">
      <c r="A10" s="180" t="s">
        <v>161</v>
      </c>
      <c r="B10" s="180" t="s">
        <v>129</v>
      </c>
      <c r="C10" s="180" t="s">
        <v>3</v>
      </c>
      <c r="D10" s="180" t="s">
        <v>123</v>
      </c>
      <c r="E10" s="180" t="s">
        <v>109</v>
      </c>
      <c r="F10" s="180" t="s">
        <v>110</v>
      </c>
      <c r="G10" s="180" t="s">
        <v>127</v>
      </c>
      <c r="H10" s="180" t="s">
        <v>128</v>
      </c>
      <c r="I10" s="180" t="s">
        <v>124</v>
      </c>
      <c r="J10" s="180" t="s">
        <v>125</v>
      </c>
      <c r="K10" s="180" t="s">
        <v>178</v>
      </c>
      <c r="L10" s="181" t="s">
        <v>147</v>
      </c>
      <c r="M10" s="182" t="s">
        <v>160</v>
      </c>
      <c r="N10" s="183" t="s">
        <v>139</v>
      </c>
      <c r="O10" s="218" t="str">
        <f>IF(TipoOrçamento="REPROGRAMADOAC","Reinício de Obra","Início de Obra")&amp;CHAR(10)&amp;TEXT(DADOS!A48,"dd/mm/aa")</f>
        <v>Início de Obra
15/06/24</v>
      </c>
      <c r="P10" s="219" t="str">
        <f ca="1">IF(AND(TipoOrçamento="REPROGRAMADOAC",$N$9&gt;0,N10="Valores Totais (R$)"),"Parcela "&amp;$N$9&amp;" Executado","Parcela "&amp;P$9&amp;CHAR(10)&amp;TEXT(DATE(YEAR(DADOS!$A$48),MONTH(DADOS!$A$48)+P$9-IF(AND(TipoOrçamento="REPROGRAMADOAC",$N$9&gt;0),$N$9,0),1),"mmm/aa"))</f>
        <v>Parcela 1
jul/24</v>
      </c>
      <c r="Q10" s="210" t="str">
        <f ca="1">IF(AND(TipoOrçamento="REPROGRAMADOAC",$N$9&gt;0,O10="Valores Totais (R$)"),"Parcela "&amp;$N$9&amp;" Executado","Parcela "&amp;Q$9&amp;CHAR(10)&amp;TEXT(DATE(YEAR(DADOS!$A$48),MONTH(DADOS!$A$48)+Q$9-IF(AND(TipoOrçamento="REPROGRAMADOAC",$N$9&gt;0),$N$9,0),1),"mmm/aa"))</f>
        <v>Parcela 2
ago/24</v>
      </c>
      <c r="R10" s="210" t="str">
        <f ca="1">IF(AND(TipoOrçamento="REPROGRAMADOAC",$N$9&gt;0,P10="Valores Totais (R$)"),"Parcela "&amp;$N$9&amp;" Executado","Parcela "&amp;R$9&amp;CHAR(10)&amp;TEXT(DATE(YEAR(DADOS!$A$48),MONTH(DADOS!$A$48)+R$9-IF(AND(TipoOrçamento="REPROGRAMADOAC",$N$9&gt;0),$N$9,0),1),"mmm/aa"))</f>
        <v>Parcela 3
set/24</v>
      </c>
      <c r="S10" s="210" t="str">
        <f ca="1">IF(AND(TipoOrçamento="REPROGRAMADOAC",$N$9&gt;0,Q10="Valores Totais (R$)"),"Parcela "&amp;$N$9&amp;" Executado","Parcela "&amp;S$9&amp;CHAR(10)&amp;TEXT(DATE(YEAR(DADOS!$A$48),MONTH(DADOS!$A$48)+S$9-IF(AND(TipoOrçamento="REPROGRAMADOAC",$N$9&gt;0),$N$9,0),1),"mmm/aa"))</f>
        <v>Parcela 4
out/24</v>
      </c>
      <c r="T10" s="210" t="str">
        <f ca="1">IF(AND(TipoOrçamento="REPROGRAMADOAC",$N$9&gt;0,R10="Valores Totais (R$)"),"Parcela "&amp;$N$9&amp;" Executado","Parcela "&amp;T$9&amp;CHAR(10)&amp;TEXT(DATE(YEAR(DADOS!$A$48),MONTH(DADOS!$A$48)+T$9-IF(AND(TipoOrçamento="REPROGRAMADOAC",$N$9&gt;0),$N$9,0),1),"mmm/aa"))</f>
        <v>Parcela 5
nov/24</v>
      </c>
      <c r="U10" s="210" t="str">
        <f ca="1">IF(AND(TipoOrçamento="REPROGRAMADOAC",$N$9&gt;0,S10="Valores Totais (R$)"),"Parcela "&amp;$N$9&amp;" Executado","Parcela "&amp;U$9&amp;CHAR(10)&amp;TEXT(DATE(YEAR(DADOS!$A$48),MONTH(DADOS!$A$48)+U$9-IF(AND(TipoOrçamento="REPROGRAMADOAC",$N$9&gt;0),$N$9,0),1),"mmm/aa"))</f>
        <v>Parcela 6
dez/24</v>
      </c>
      <c r="V10" s="210" t="str">
        <f ca="1">IF(AND(TipoOrçamento="REPROGRAMADOAC",$N$9&gt;0,T10="Valores Totais (R$)"),"Parcela "&amp;$N$9&amp;" Executado","Parcela "&amp;V$9&amp;CHAR(10)&amp;TEXT(DATE(YEAR(DADOS!$A$48),MONTH(DADOS!$A$48)+V$9-IF(AND(TipoOrçamento="REPROGRAMADOAC",$N$9&gt;0),$N$9,0),1),"mmm/aa"))</f>
        <v>Parcela 7
jan/25</v>
      </c>
      <c r="W10" s="222" t="str">
        <f ca="1">IF(AND(TipoOrçamento="REPROGRAMADOAC",$N$9&gt;0,U10="Valores Totais (R$)"),"Parcela "&amp;$N$9&amp;" Executado","Parcela "&amp;W$9&amp;CHAR(10)&amp;TEXT(DATE(YEAR(DADOS!$A$48),MONTH(DADOS!$A$48)+W$9-IF(AND(TipoOrçamento="REPROGRAMADOAC",$N$9&gt;0),$N$9,0),1),"mmm/aa"))</f>
        <v>Parcela 8
fev/25</v>
      </c>
      <c r="X10" s="195"/>
      <c r="AC10" s="210" t="str">
        <f ca="1">IF(AND(TipoOrçamento="REPROGRAMADOAC",$N$9&gt;0,AA10="Valores Totais (R$)"),"Parcela "&amp;$N$9&amp;" Executado","Parcela "&amp;AC$9&amp;CHAR(10)&amp;TEXT(DATE(YEAR(DADOS!$A$48),MONTH(DADOS!$A$48)+AC$9-IF(AND(TipoOrçamento="REPROGRAMADOAC",$N$9&gt;0),$N$9,0),1),"mmm/aa"))</f>
        <v>Parcela 1
jul/24</v>
      </c>
    </row>
    <row r="11" spans="1:29" customFormat="1" ht="14.25" hidden="1" customHeight="1" x14ac:dyDescent="0.2">
      <c r="A11" s="82"/>
      <c r="B11" s="82"/>
      <c r="C11" s="82"/>
      <c r="D11" s="82"/>
      <c r="E11" s="82"/>
      <c r="F11" s="82"/>
      <c r="G11" s="82"/>
      <c r="H11" s="82"/>
      <c r="I11" s="82"/>
      <c r="J11" s="82"/>
      <c r="K11" s="82"/>
      <c r="L11" s="374" t="e">
        <f ca="1">INDEX(PO!K$12:K$77,MATCH($A13,PO!$V$12:$V$77,0))</f>
        <v>#VALUE!</v>
      </c>
      <c r="M11" s="376" t="e">
        <f ca="1">INDEX(PO!N$12:N$77,MATCH($A13,PO!$V$12:$V$77,0))</f>
        <v>#VALUE!</v>
      </c>
      <c r="N11" s="387" t="e">
        <f ca="1">IF(ROUND(K13,2)=0,K13,ROUND(K13,2))</f>
        <v>#VALUE!</v>
      </c>
      <c r="O11" s="220" t="s">
        <v>143</v>
      </c>
      <c r="P11" s="226" t="e">
        <f ca="1">IF($B13,0,P12-IF(ISNUMBER(O12),O12,0))</f>
        <v>#VALUE!</v>
      </c>
      <c r="Q11" s="227" t="e">
        <f t="shared" ref="Q11:W11" ca="1" si="1">IF($B13,0,Q12-IF(ISNUMBER(P12),P12,0))</f>
        <v>#VALUE!</v>
      </c>
      <c r="R11" s="227" t="e">
        <f t="shared" ca="1" si="1"/>
        <v>#VALUE!</v>
      </c>
      <c r="S11" s="227" t="e">
        <f t="shared" ca="1" si="1"/>
        <v>#VALUE!</v>
      </c>
      <c r="T11" s="227" t="e">
        <f t="shared" ca="1" si="1"/>
        <v>#VALUE!</v>
      </c>
      <c r="U11" s="227" t="e">
        <f t="shared" ca="1" si="1"/>
        <v>#VALUE!</v>
      </c>
      <c r="V11" s="227" t="e">
        <f t="shared" ca="1" si="1"/>
        <v>#VALUE!</v>
      </c>
      <c r="W11" s="228" t="e">
        <f t="shared" ca="1" si="1"/>
        <v>#VALUE!</v>
      </c>
      <c r="X11" s="196"/>
      <c r="AC11" s="221" t="e">
        <f ca="1">IF($B13,0,AC12-IF(ISNUMBER(AB12),AB12,0))</f>
        <v>#VALUE!</v>
      </c>
    </row>
    <row r="12" spans="1:29" customFormat="1" ht="14.25" hidden="1" x14ac:dyDescent="0.2">
      <c r="A12" s="184"/>
      <c r="B12" s="184"/>
      <c r="C12" s="184"/>
      <c r="D12" s="184"/>
      <c r="E12" s="184"/>
      <c r="F12" s="184"/>
      <c r="G12" s="184"/>
      <c r="H12" s="184"/>
      <c r="I12" s="184"/>
      <c r="J12" s="184"/>
      <c r="K12" s="184"/>
      <c r="L12" s="375"/>
      <c r="M12" s="377"/>
      <c r="N12" s="388"/>
      <c r="O12" s="170" t="s">
        <v>145</v>
      </c>
      <c r="P12" s="198" t="e">
        <f ca="1">MIN(IF($B13,P11+IF(ISNUMBER(O12),O12,0),P13/$N11),1)</f>
        <v>#VALUE!</v>
      </c>
      <c r="Q12" s="168" t="e">
        <f t="shared" ref="Q12:W12" ca="1" si="2">MIN(IF($B13,Q11+IF(ISNUMBER(P12),P12,0),Q13/$N11),1)</f>
        <v>#VALUE!</v>
      </c>
      <c r="R12" s="168" t="e">
        <f t="shared" ca="1" si="2"/>
        <v>#VALUE!</v>
      </c>
      <c r="S12" s="168" t="e">
        <f t="shared" ca="1" si="2"/>
        <v>#VALUE!</v>
      </c>
      <c r="T12" s="168" t="e">
        <f t="shared" ca="1" si="2"/>
        <v>#VALUE!</v>
      </c>
      <c r="U12" s="168" t="e">
        <f t="shared" ca="1" si="2"/>
        <v>#VALUE!</v>
      </c>
      <c r="V12" s="168" t="e">
        <f t="shared" ca="1" si="2"/>
        <v>#VALUE!</v>
      </c>
      <c r="W12" s="168" t="e">
        <f t="shared" ca="1" si="2"/>
        <v>#VALUE!</v>
      </c>
      <c r="X12" s="196"/>
      <c r="AC12" s="168" t="e">
        <f ca="1">MIN(IF($B13,AC11+IF(ISNUMBER(AB12),AB12,0),AC13/$N11),1)</f>
        <v>#VALUE!</v>
      </c>
    </row>
    <row r="13" spans="1:29" customFormat="1" ht="14.25" hidden="1" x14ac:dyDescent="0.2">
      <c r="A13" s="184" t="e">
        <f ca="1">OFFSET(A13,-CFF.NumLinha,0)+1</f>
        <v>#VALUE!</v>
      </c>
      <c r="B13" s="184" t="e">
        <f ca="1">$C13&gt;=OFFSET($C13,CFF.NumLinha,0)</f>
        <v>#VALUE!</v>
      </c>
      <c r="C13" s="184" t="e">
        <f ca="1">INDEX(PO!A$12:A$77,MATCH($A13,PO!$V$12:$V$77,0))</f>
        <v>#VALUE!</v>
      </c>
      <c r="D13" s="184" t="e">
        <f ca="1">IF(ISERROR(J13),I13,SMALL(I13:J13,1))-1</f>
        <v>#VALUE!</v>
      </c>
      <c r="E13" s="184" t="e">
        <f ca="1">IF($C13=1,OFFSET(E13,-CFF.NumLinha,0)+1,OFFSET(E13,-CFF.NumLinha,0))</f>
        <v>#VALUE!</v>
      </c>
      <c r="F13" s="184" t="e">
        <f ca="1">IF($C13=1,0,IF($C13=2,OFFSET(F13,-CFF.NumLinha,0)+1,OFFSET(F13,-CFF.NumLinha,0)))</f>
        <v>#VALUE!</v>
      </c>
      <c r="G13" s="184" t="e">
        <f ca="1">IF(AND($C13&lt;=2,$C13&lt;&gt;0),0,IF($C13=3,OFFSET(G13,-CFF.NumLinha,0)+1,OFFSET(G13,-CFF.NumLinha,0)))</f>
        <v>#VALUE!</v>
      </c>
      <c r="H13" s="184" t="e">
        <f ca="1">IF(AND($C13&lt;=3,$C13&lt;&gt;0),0,IF($C13=4,OFFSET(H13,-CFF.NumLinha,0)+1,OFFSET(H13,-CFF.NumLinha,0)))</f>
        <v>#VALUE!</v>
      </c>
      <c r="I13" s="184" t="e">
        <f ca="1">MATCH(0,OFFSET($D13,1,$C13,ROW($A$45)-ROW($A13)),0)</f>
        <v>#VALUE!</v>
      </c>
      <c r="J13" s="184" t="e">
        <f ca="1">MATCH(OFFSET($D13,0,$C13)+1,OFFSET($D13,1,$C13,ROW($A$45)-ROW($A13)),0)</f>
        <v>#VALUE!</v>
      </c>
      <c r="K13" s="185" t="e">
        <f ca="1">ROUND(INDEX(PO!T$12:T$77,MATCH($A13,PO!$V$12:$V$77,0)),2)+10^-12</f>
        <v>#VALUE!</v>
      </c>
      <c r="L13" s="375"/>
      <c r="M13" s="377"/>
      <c r="N13" s="388"/>
      <c r="O13" s="204" t="s">
        <v>20</v>
      </c>
      <c r="P13" s="199" t="e">
        <f ca="1">IF($B13,ROUND(P12*$N11,2),ROUND(SUMIF(OFFSET($B13,1,0,$D13),TRUE,OFFSET(P13,1,0,$D13))/SUMIF(OFFSET($B13,1,0,$D13),TRUE,OFFSET($K13,1,0,$D13))*$N11,2))</f>
        <v>#VALUE!</v>
      </c>
      <c r="Q13" s="169" t="e">
        <f t="shared" ref="Q13:W13" ca="1" si="3">IF($B13,ROUND(Q12*$N11,2),ROUND(SUMIF(OFFSET($B13,1,0,$D13),TRUE,OFFSET(Q13,1,0,$D13))/SUMIF(OFFSET($B13,1,0,$D13),TRUE,OFFSET($K13,1,0,$D13))*$N11,2))</f>
        <v>#VALUE!</v>
      </c>
      <c r="R13" s="169" t="e">
        <f t="shared" ca="1" si="3"/>
        <v>#VALUE!</v>
      </c>
      <c r="S13" s="169" t="e">
        <f t="shared" ca="1" si="3"/>
        <v>#VALUE!</v>
      </c>
      <c r="T13" s="169" t="e">
        <f t="shared" ca="1" si="3"/>
        <v>#VALUE!</v>
      </c>
      <c r="U13" s="169" t="e">
        <f t="shared" ca="1" si="3"/>
        <v>#VALUE!</v>
      </c>
      <c r="V13" s="169" t="e">
        <f t="shared" ca="1" si="3"/>
        <v>#VALUE!</v>
      </c>
      <c r="W13" s="207" t="e">
        <f t="shared" ca="1" si="3"/>
        <v>#VALUE!</v>
      </c>
      <c r="X13" s="196"/>
      <c r="AC13" s="169" t="e">
        <f ca="1">IF($B13,ROUND(AC12*$N11,2),ROUND(SUMIF(OFFSET($B13,1,0,$D13),TRUE,OFFSET(AC13,1,0,$D13))/SUMIF(OFFSET($B13,1,0,$D13),TRUE,OFFSET($K13,1,0,$D13))*$N11,2))</f>
        <v>#VALUE!</v>
      </c>
    </row>
    <row r="14" spans="1:29" s="44" customFormat="1" ht="12.75" customHeight="1" x14ac:dyDescent="0.2">
      <c r="A14" s="1"/>
      <c r="B14" s="1"/>
      <c r="C14" s="1"/>
      <c r="D14" s="1"/>
      <c r="E14" s="1"/>
      <c r="F14" s="1"/>
      <c r="G14" s="1"/>
      <c r="H14" s="1"/>
      <c r="I14" s="1"/>
      <c r="J14" s="1"/>
      <c r="K14" s="1"/>
      <c r="L14" s="378" t="s">
        <v>19</v>
      </c>
      <c r="M14" s="379"/>
      <c r="N14" s="384">
        <f ca="1">IF(PO!$T$12=0,10^-12,PO!$T$12)</f>
        <v>9.9999999999999998E-13</v>
      </c>
      <c r="O14" s="167" t="s">
        <v>143</v>
      </c>
      <c r="P14" s="205">
        <f ca="1">ROUND(P15/$N14,4)</f>
        <v>0</v>
      </c>
      <c r="Q14" s="206">
        <f t="shared" ref="Q14:W14" ca="1" si="4">ROUND(Q15/$N14,4)</f>
        <v>0</v>
      </c>
      <c r="R14" s="206">
        <f t="shared" ca="1" si="4"/>
        <v>0</v>
      </c>
      <c r="S14" s="206">
        <f t="shared" ca="1" si="4"/>
        <v>0</v>
      </c>
      <c r="T14" s="206">
        <f t="shared" ca="1" si="4"/>
        <v>0</v>
      </c>
      <c r="U14" s="206">
        <f t="shared" ca="1" si="4"/>
        <v>0</v>
      </c>
      <c r="V14" s="206">
        <f t="shared" ca="1" si="4"/>
        <v>0</v>
      </c>
      <c r="W14" s="206">
        <f t="shared" ca="1" si="4"/>
        <v>0</v>
      </c>
      <c r="X14" s="171"/>
      <c r="AC14" s="206">
        <f ca="1">ROUND(AC15/$N14,4)</f>
        <v>0</v>
      </c>
    </row>
    <row r="15" spans="1:29" s="44" customFormat="1" ht="12.75" customHeight="1" x14ac:dyDescent="0.2">
      <c r="A15" s="1"/>
      <c r="B15" s="1"/>
      <c r="C15" s="1"/>
      <c r="D15" s="1"/>
      <c r="E15" s="1"/>
      <c r="F15" s="1"/>
      <c r="G15" s="1"/>
      <c r="H15" s="1"/>
      <c r="I15" s="1"/>
      <c r="J15" s="1"/>
      <c r="K15" s="1"/>
      <c r="L15" s="380"/>
      <c r="M15" s="381"/>
      <c r="N15" s="385"/>
      <c r="O15" s="156" t="s">
        <v>144</v>
      </c>
      <c r="P15" s="200">
        <f ca="1">P17-IF(ISNUMBER(O17),O17,0)</f>
        <v>0</v>
      </c>
      <c r="Q15" s="150">
        <f t="shared" ref="Q15:W15" ca="1" si="5">Q17-IF(ISNUMBER(P17),P17,0)</f>
        <v>0</v>
      </c>
      <c r="R15" s="150">
        <f t="shared" ca="1" si="5"/>
        <v>0</v>
      </c>
      <c r="S15" s="150">
        <f t="shared" ca="1" si="5"/>
        <v>0</v>
      </c>
      <c r="T15" s="150">
        <f t="shared" ca="1" si="5"/>
        <v>0</v>
      </c>
      <c r="U15" s="150">
        <f t="shared" ca="1" si="5"/>
        <v>0</v>
      </c>
      <c r="V15" s="150">
        <f t="shared" ca="1" si="5"/>
        <v>0</v>
      </c>
      <c r="W15" s="150">
        <f t="shared" ca="1" si="5"/>
        <v>0</v>
      </c>
      <c r="X15" s="171"/>
      <c r="AC15" s="150">
        <f ca="1">AC17-IF(ISNUMBER(AB17),AB17,0)</f>
        <v>0</v>
      </c>
    </row>
    <row r="16" spans="1:29" s="44" customFormat="1" ht="12.75" customHeight="1" x14ac:dyDescent="0.2">
      <c r="A16" s="1"/>
      <c r="B16" s="1"/>
      <c r="C16" s="1"/>
      <c r="D16" s="1"/>
      <c r="E16" s="1"/>
      <c r="F16" s="1"/>
      <c r="G16" s="1"/>
      <c r="H16" s="1"/>
      <c r="I16" s="1"/>
      <c r="J16" s="1"/>
      <c r="K16" s="1"/>
      <c r="L16" s="380"/>
      <c r="M16" s="381"/>
      <c r="N16" s="385"/>
      <c r="O16" s="157" t="s">
        <v>145</v>
      </c>
      <c r="P16" s="201">
        <f ca="1">ROUND(P17/$N14,4)</f>
        <v>0</v>
      </c>
      <c r="Q16" s="151">
        <f t="shared" ref="Q16:W16" ca="1" si="6">ROUND(Q17/$N14,4)</f>
        <v>0</v>
      </c>
      <c r="R16" s="151">
        <f t="shared" ca="1" si="6"/>
        <v>0</v>
      </c>
      <c r="S16" s="151">
        <f t="shared" ca="1" si="6"/>
        <v>0</v>
      </c>
      <c r="T16" s="151">
        <f t="shared" ca="1" si="6"/>
        <v>0</v>
      </c>
      <c r="U16" s="151">
        <f t="shared" ca="1" si="6"/>
        <v>0</v>
      </c>
      <c r="V16" s="151">
        <f t="shared" ca="1" si="6"/>
        <v>0</v>
      </c>
      <c r="W16" s="151">
        <f t="shared" ca="1" si="6"/>
        <v>0</v>
      </c>
      <c r="X16" s="171"/>
      <c r="AC16" s="151">
        <f ca="1">ROUND(AC17/$N14,4)</f>
        <v>0</v>
      </c>
    </row>
    <row r="17" spans="1:29" s="44" customFormat="1" ht="12.75" customHeight="1" x14ac:dyDescent="0.2">
      <c r="A17" s="114">
        <v>0</v>
      </c>
      <c r="B17" s="1"/>
      <c r="C17" s="1"/>
      <c r="D17" s="114">
        <f>ROW(D$45)-ROW(D18)</f>
        <v>27</v>
      </c>
      <c r="E17" s="1"/>
      <c r="F17" s="1"/>
      <c r="G17" s="1"/>
      <c r="H17" s="1"/>
      <c r="I17" s="1"/>
      <c r="J17" s="1"/>
      <c r="K17" s="1"/>
      <c r="L17" s="382"/>
      <c r="M17" s="383"/>
      <c r="N17" s="386"/>
      <c r="O17" s="158" t="s">
        <v>20</v>
      </c>
      <c r="P17" s="202">
        <f ca="1">SUMIF(OFFSET($C17,1,0):$C$45,1,OFFSET(P17,1,0):P$45)</f>
        <v>0</v>
      </c>
      <c r="Q17" s="152">
        <f ca="1">SUMIF(OFFSET($C17,1,0):$C$45,1,OFFSET(Q17,1,0):Q$45)</f>
        <v>0</v>
      </c>
      <c r="R17" s="152">
        <f ca="1">SUMIF(OFFSET($C17,1,0):$C$45,1,OFFSET(R17,1,0):R$45)</f>
        <v>0</v>
      </c>
      <c r="S17" s="152">
        <f ca="1">SUMIF(OFFSET($C17,1,0):$C$45,1,OFFSET(S17,1,0):S$45)</f>
        <v>0</v>
      </c>
      <c r="T17" s="152">
        <f ca="1">SUMIF(OFFSET($C17,1,0):$C$45,1,OFFSET(T17,1,0):T$45)</f>
        <v>0</v>
      </c>
      <c r="U17" s="152">
        <f ca="1">SUMIF(OFFSET($C17,1,0):$C$45,1,OFFSET(U17,1,0):U$45)</f>
        <v>0</v>
      </c>
      <c r="V17" s="152">
        <f ca="1">SUMIF(OFFSET($C17,1,0):$C$45,1,OFFSET(V17,1,0):V$45)</f>
        <v>0</v>
      </c>
      <c r="W17" s="152">
        <f ca="1">SUMIF(OFFSET($C17,1,0):$C$45,1,OFFSET(W17,1,0):W$45)</f>
        <v>0</v>
      </c>
      <c r="X17" s="171"/>
      <c r="AC17" s="152">
        <f ca="1">SUMIF(OFFSET($C17,1,0):$C$45,1,OFFSET(AC17,1,0):AC$45)</f>
        <v>0</v>
      </c>
    </row>
    <row r="18" spans="1:29" customFormat="1" ht="14.25" customHeight="1" x14ac:dyDescent="0.2">
      <c r="A18" s="1"/>
      <c r="B18" s="1"/>
      <c r="C18" s="1"/>
      <c r="D18" s="1"/>
      <c r="E18" s="1"/>
      <c r="F18" s="1"/>
      <c r="G18" s="1"/>
      <c r="H18" s="1"/>
      <c r="I18" s="1"/>
      <c r="J18" s="1"/>
      <c r="K18" s="1"/>
      <c r="L18" s="374" t="str">
        <f ca="1">INDEX(PO!K$12:K$77,MATCH($A20,PO!$V$12:$V$77,0))</f>
        <v>1.</v>
      </c>
      <c r="M18" s="376" t="str">
        <f ca="1">INDEX(PO!N$12:N$77,MATCH($A20,PO!$V$12:$V$77,0))</f>
        <v>PAVILHÃO - ESTRUTURA METÁLICA - BAIRRO CRISTO REI</v>
      </c>
      <c r="N18" s="387">
        <f ca="1">IF(ROUND(K20,2)=0,K20,ROUND(K20,2))</f>
        <v>9.9999999999999998E-13</v>
      </c>
      <c r="O18" s="203" t="s">
        <v>143</v>
      </c>
      <c r="P18" s="227">
        <v>1</v>
      </c>
      <c r="Q18" s="227">
        <v>0</v>
      </c>
      <c r="R18" s="227">
        <v>0</v>
      </c>
      <c r="S18" s="227">
        <v>0</v>
      </c>
      <c r="T18" s="227">
        <f t="shared" ref="T18:W18" ca="1" si="7">IF($B20,0,T19-IF(ISNUMBER(S19),S19,0))</f>
        <v>0</v>
      </c>
      <c r="U18" s="227">
        <f t="shared" ca="1" si="7"/>
        <v>0</v>
      </c>
      <c r="V18" s="227">
        <f t="shared" ca="1" si="7"/>
        <v>0</v>
      </c>
      <c r="W18" s="228">
        <f t="shared" ca="1" si="7"/>
        <v>0</v>
      </c>
      <c r="X18" s="197" t="s">
        <v>106</v>
      </c>
      <c r="AC18" s="221">
        <f ca="1">IF($B20,0,AC19-IF(ISNUMBER(AB19),AB19,0))</f>
        <v>0</v>
      </c>
    </row>
    <row r="19" spans="1:29" customFormat="1" ht="14.25" x14ac:dyDescent="0.2">
      <c r="A19" s="1"/>
      <c r="B19" s="1"/>
      <c r="C19" s="1"/>
      <c r="D19" s="1"/>
      <c r="E19" s="1"/>
      <c r="F19" s="1"/>
      <c r="G19" s="1"/>
      <c r="H19" s="1"/>
      <c r="I19" s="1"/>
      <c r="J19" s="1"/>
      <c r="K19" s="1"/>
      <c r="L19" s="375"/>
      <c r="M19" s="377"/>
      <c r="N19" s="388"/>
      <c r="O19" s="170" t="s">
        <v>145</v>
      </c>
      <c r="P19" s="198">
        <f t="shared" ref="P19:W19" ca="1" si="8">MIN(IF($B20,P18+IF(ISNUMBER(O19),O19,0),P20/$N18),1)</f>
        <v>0</v>
      </c>
      <c r="Q19" s="168">
        <f t="shared" ca="1" si="8"/>
        <v>0</v>
      </c>
      <c r="R19" s="168">
        <f t="shared" ca="1" si="8"/>
        <v>0</v>
      </c>
      <c r="S19" s="168">
        <f t="shared" ca="1" si="8"/>
        <v>0</v>
      </c>
      <c r="T19" s="168">
        <f t="shared" ca="1" si="8"/>
        <v>0</v>
      </c>
      <c r="U19" s="168">
        <f t="shared" ca="1" si="8"/>
        <v>0</v>
      </c>
      <c r="V19" s="168">
        <f t="shared" ca="1" si="8"/>
        <v>0</v>
      </c>
      <c r="W19" s="168">
        <f t="shared" ca="1" si="8"/>
        <v>0</v>
      </c>
      <c r="X19" s="196"/>
      <c r="AC19" s="168">
        <f ca="1">MIN(IF($B20,AC18+IF(ISNUMBER(AB19),AB19,0),AC20/$N18),1)</f>
        <v>0</v>
      </c>
    </row>
    <row r="20" spans="1:29" customFormat="1" ht="14.25" x14ac:dyDescent="0.2">
      <c r="A20" s="114">
        <f ca="1">OFFSET(A20,-CFF.NumLinha,0)+1</f>
        <v>1</v>
      </c>
      <c r="B20" s="1" t="b">
        <f ca="1">$C20&gt;=OFFSET($C20,CFF.NumLinha,0)</f>
        <v>0</v>
      </c>
      <c r="C20" s="184">
        <f ca="1">INDEX(PO!A$12:A$77,MATCH($A20,PO!$V$12:$V$77,0))</f>
        <v>1</v>
      </c>
      <c r="D20" s="184">
        <f ca="1">IF(ISERROR(J20),I20,SMALL(I20:J20,1))-1</f>
        <v>24</v>
      </c>
      <c r="E20" s="184">
        <f ca="1">IF($C20=1,OFFSET(E20,-CFF.NumLinha,0)+1,OFFSET(E20,-CFF.NumLinha,0))</f>
        <v>1</v>
      </c>
      <c r="F20" s="184">
        <f ca="1">IF($C20=1,0,IF($C20=2,OFFSET(F20,-CFF.NumLinha,0)+1,OFFSET(F20,-CFF.NumLinha,0)))</f>
        <v>0</v>
      </c>
      <c r="G20" s="184">
        <f ca="1">IF(AND($C20&lt;=2,$C20&lt;&gt;0),0,IF($C20=3,OFFSET(G20,-CFF.NumLinha,0)+1,OFFSET(G20,-CFF.NumLinha,0)))</f>
        <v>0</v>
      </c>
      <c r="H20" s="184">
        <f ca="1">IF(AND($C20&lt;=3,$C20&lt;&gt;0),0,IF($C20=4,OFFSET(H20,-CFF.NumLinha,0)+1,OFFSET(H20,-CFF.NumLinha,0)))</f>
        <v>0</v>
      </c>
      <c r="I20" s="184">
        <f ca="1">MATCH(0,OFFSET($D20,1,$C20,ROW($A$45)-ROW($A20)),0)</f>
        <v>25</v>
      </c>
      <c r="J20" s="184" t="e">
        <f ca="1">MATCH(OFFSET($D20,0,$C20)+1,OFFSET($D20,1,$C20,ROW($A$45)-ROW($A20)),0)</f>
        <v>#N/A</v>
      </c>
      <c r="K20" s="185">
        <f ca="1">ROUND(INDEX(PO!T$12:T$77,MATCH($A20,PO!$V$12:$V$77,0)),2)+10^-12</f>
        <v>9.9999999999999998E-13</v>
      </c>
      <c r="L20" s="375"/>
      <c r="M20" s="377"/>
      <c r="N20" s="388"/>
      <c r="O20" s="204" t="s">
        <v>20</v>
      </c>
      <c r="P20" s="199">
        <f t="shared" ref="P20:W20" ca="1" si="9">IF($B20,ROUND(P19*$N18,2),ROUND(SUMIF(OFFSET($B20,1,0,$D20),TRUE,OFFSET(P20,1,0,$D20))/SUMIF(OFFSET($B20,1,0,$D20),TRUE,OFFSET($K20,1,0,$D20))*$N18,2))</f>
        <v>0</v>
      </c>
      <c r="Q20" s="169">
        <f t="shared" ca="1" si="9"/>
        <v>0</v>
      </c>
      <c r="R20" s="169">
        <f t="shared" ca="1" si="9"/>
        <v>0</v>
      </c>
      <c r="S20" s="169">
        <f t="shared" ca="1" si="9"/>
        <v>0</v>
      </c>
      <c r="T20" s="169">
        <f t="shared" ca="1" si="9"/>
        <v>0</v>
      </c>
      <c r="U20" s="169">
        <f t="shared" ca="1" si="9"/>
        <v>0</v>
      </c>
      <c r="V20" s="169">
        <f t="shared" ca="1" si="9"/>
        <v>0</v>
      </c>
      <c r="W20" s="207">
        <f t="shared" ca="1" si="9"/>
        <v>0</v>
      </c>
      <c r="X20" s="196"/>
      <c r="AC20" s="169">
        <f ca="1">IF($B20,ROUND(AC19*$N18,2),ROUND(SUMIF(OFFSET($B20,1,0,$D20),TRUE,OFFSET(AC20,1,0,$D20))/SUMIF(OFFSET($B20,1,0,$D20),TRUE,OFFSET($K20,1,0,$D20))*$N18,2))</f>
        <v>0</v>
      </c>
    </row>
    <row r="21" spans="1:29" customFormat="1" ht="14.25" customHeight="1" x14ac:dyDescent="0.2">
      <c r="A21" s="82"/>
      <c r="B21" s="82"/>
      <c r="C21" s="82"/>
      <c r="D21" s="82"/>
      <c r="E21" s="82"/>
      <c r="F21" s="82"/>
      <c r="G21" s="82"/>
      <c r="H21" s="82"/>
      <c r="I21" s="82"/>
      <c r="J21" s="82"/>
      <c r="K21" s="82"/>
      <c r="L21" s="374" t="str">
        <f ca="1">INDEX(PO!K$12:K$77,MATCH($A23,PO!$V$12:$V$77,0))</f>
        <v>1.1.</v>
      </c>
      <c r="M21" s="376" t="str">
        <f ca="1">INDEX(PO!N$12:N$77,MATCH($A23,PO!$V$12:$V$77,0))</f>
        <v>ESTRUTURA METÁLICA</v>
      </c>
      <c r="N21" s="387">
        <f t="shared" ref="N21" ca="1" si="10">IF(ROUND(K23,2)=0,K23,ROUND(K23,2))</f>
        <v>9.9999999999999998E-13</v>
      </c>
      <c r="O21" s="220" t="s">
        <v>143</v>
      </c>
      <c r="P21" s="226">
        <v>1</v>
      </c>
      <c r="Q21" s="227">
        <f t="shared" ref="Q21" ca="1" si="11">IF($B23,0,Q22-IF(ISNUMBER(P22),P22,0))</f>
        <v>0</v>
      </c>
      <c r="R21" s="227">
        <f t="shared" ref="R21" ca="1" si="12">IF($B23,0,R22-IF(ISNUMBER(Q22),Q22,0))</f>
        <v>0</v>
      </c>
      <c r="S21" s="227">
        <f t="shared" ref="S21" ca="1" si="13">IF($B23,0,S22-IF(ISNUMBER(R22),R22,0))</f>
        <v>0</v>
      </c>
      <c r="T21" s="227">
        <f t="shared" ref="T21" ca="1" si="14">IF($B23,0,T22-IF(ISNUMBER(S22),S22,0))</f>
        <v>0</v>
      </c>
      <c r="U21" s="227">
        <f t="shared" ref="U21" ca="1" si="15">IF($B23,0,U22-IF(ISNUMBER(T22),T22,0))</f>
        <v>0</v>
      </c>
      <c r="V21" s="227">
        <f t="shared" ref="V21" ca="1" si="16">IF($B23,0,V22-IF(ISNUMBER(U22),U22,0))</f>
        <v>0</v>
      </c>
      <c r="W21" s="228">
        <f t="shared" ref="W21" ca="1" si="17">IF($B23,0,W22-IF(ISNUMBER(V22),V22,0))</f>
        <v>0</v>
      </c>
      <c r="X21" s="196"/>
      <c r="AC21" s="221">
        <f t="shared" ref="AC21" ca="1" si="18">IF($B23,0,AC22-IF(ISNUMBER(AB22),AB22,0))</f>
        <v>0</v>
      </c>
    </row>
    <row r="22" spans="1:29" customFormat="1" ht="14.25" x14ac:dyDescent="0.2">
      <c r="A22" s="184"/>
      <c r="B22" s="184"/>
      <c r="C22" s="184"/>
      <c r="D22" s="184"/>
      <c r="E22" s="184"/>
      <c r="F22" s="184"/>
      <c r="G22" s="184"/>
      <c r="H22" s="184"/>
      <c r="I22" s="184"/>
      <c r="J22" s="184"/>
      <c r="K22" s="184"/>
      <c r="L22" s="375"/>
      <c r="M22" s="377"/>
      <c r="N22" s="388"/>
      <c r="O22" s="170" t="s">
        <v>145</v>
      </c>
      <c r="P22" s="198">
        <f t="shared" ref="P22" ca="1" si="19">MIN(IF($B23,P21+IF(ISNUMBER(O22),O22,0),P23/$N21),1)</f>
        <v>1</v>
      </c>
      <c r="Q22" s="168">
        <f t="shared" ref="Q22" ca="1" si="20">MIN(IF($B23,Q21+IF(ISNUMBER(P22),P22,0),Q23/$N21),1)</f>
        <v>1</v>
      </c>
      <c r="R22" s="168">
        <f t="shared" ref="R22" ca="1" si="21">MIN(IF($B23,R21+IF(ISNUMBER(Q22),Q22,0),R23/$N21),1)</f>
        <v>1</v>
      </c>
      <c r="S22" s="168">
        <f t="shared" ref="S22" ca="1" si="22">MIN(IF($B23,S21+IF(ISNUMBER(R22),R22,0),S23/$N21),1)</f>
        <v>1</v>
      </c>
      <c r="T22" s="168">
        <f t="shared" ref="T22" ca="1" si="23">MIN(IF($B23,T21+IF(ISNUMBER(S22),S22,0),T23/$N21),1)</f>
        <v>1</v>
      </c>
      <c r="U22" s="168">
        <f t="shared" ref="U22" ca="1" si="24">MIN(IF($B23,U21+IF(ISNUMBER(T22),T22,0),U23/$N21),1)</f>
        <v>1</v>
      </c>
      <c r="V22" s="168">
        <f t="shared" ref="V22" ca="1" si="25">MIN(IF($B23,V21+IF(ISNUMBER(U22),U22,0),V23/$N21),1)</f>
        <v>1</v>
      </c>
      <c r="W22" s="168">
        <f t="shared" ref="W22" ca="1" si="26">MIN(IF($B23,W21+IF(ISNUMBER(V22),V22,0),W23/$N21),1)</f>
        <v>1</v>
      </c>
      <c r="X22" s="196"/>
      <c r="AC22" s="168">
        <f t="shared" ref="AC22" ca="1" si="27">MIN(IF($B23,AC21+IF(ISNUMBER(AB22),AB22,0),AC23/$N21),1)</f>
        <v>0</v>
      </c>
    </row>
    <row r="23" spans="1:29" customFormat="1" ht="14.25" x14ac:dyDescent="0.2">
      <c r="A23" s="184">
        <f ca="1">OFFSET(A23,-CFF.NumLinha,0)+1</f>
        <v>2</v>
      </c>
      <c r="B23" s="184" t="b">
        <f ca="1">$C23&gt;=OFFSET($C23,CFF.NumLinha,0)</f>
        <v>1</v>
      </c>
      <c r="C23" s="184">
        <f ca="1">INDEX(PO!A$12:A$77,MATCH($A23,PO!$V$12:$V$77,0))</f>
        <v>2</v>
      </c>
      <c r="D23" s="184">
        <f t="shared" ref="D23" ca="1" si="28">IF(ISERROR(J23),I23,SMALL(I23:J23,1))-1</f>
        <v>2</v>
      </c>
      <c r="E23" s="184">
        <f ca="1">IF($C23=1,OFFSET(E23,-CFF.NumLinha,0)+1,OFFSET(E23,-CFF.NumLinha,0))</f>
        <v>1</v>
      </c>
      <c r="F23" s="184">
        <f ca="1">IF($C23=1,0,IF($C23=2,OFFSET(F23,-CFF.NumLinha,0)+1,OFFSET(F23,-CFF.NumLinha,0)))</f>
        <v>1</v>
      </c>
      <c r="G23" s="184">
        <f ca="1">IF(AND($C23&lt;=2,$C23&lt;&gt;0),0,IF($C23=3,OFFSET(G23,-CFF.NumLinha,0)+1,OFFSET(G23,-CFF.NumLinha,0)))</f>
        <v>0</v>
      </c>
      <c r="H23" s="184">
        <f ca="1">IF(AND($C23&lt;=3,$C23&lt;&gt;0),0,IF($C23=4,OFFSET(H23,-CFF.NumLinha,0)+1,OFFSET(H23,-CFF.NumLinha,0)))</f>
        <v>0</v>
      </c>
      <c r="I23" s="184">
        <f ca="1">MATCH(0,OFFSET($D23,1,$C23,ROW($A$45)-ROW($A23)),0)</f>
        <v>22</v>
      </c>
      <c r="J23" s="184">
        <f ca="1">MATCH(OFFSET($D23,0,$C23)+1,OFFSET($D23,1,$C23,ROW($A$45)-ROW($A23)),0)</f>
        <v>3</v>
      </c>
      <c r="K23" s="185">
        <f ca="1">ROUND(INDEX(PO!T$12:T$77,MATCH($A23,PO!$V$12:$V$77,0)),2)+10^-12</f>
        <v>9.9999999999999998E-13</v>
      </c>
      <c r="L23" s="375"/>
      <c r="M23" s="377"/>
      <c r="N23" s="388"/>
      <c r="O23" s="204" t="s">
        <v>20</v>
      </c>
      <c r="P23" s="199">
        <f t="shared" ref="P23:W23" ca="1" si="29">IF($B23,ROUND(P22*$N21,2),ROUND(SUMIF(OFFSET($B23,1,0,$D23),TRUE,OFFSET(P23,1,0,$D23))/SUMIF(OFFSET($B23,1,0,$D23),TRUE,OFFSET($K23,1,0,$D23))*$N21,2))</f>
        <v>0</v>
      </c>
      <c r="Q23" s="169">
        <f t="shared" ca="1" si="29"/>
        <v>0</v>
      </c>
      <c r="R23" s="169">
        <f t="shared" ca="1" si="29"/>
        <v>0</v>
      </c>
      <c r="S23" s="169">
        <f t="shared" ca="1" si="29"/>
        <v>0</v>
      </c>
      <c r="T23" s="169">
        <f t="shared" ca="1" si="29"/>
        <v>0</v>
      </c>
      <c r="U23" s="169">
        <f t="shared" ca="1" si="29"/>
        <v>0</v>
      </c>
      <c r="V23" s="169">
        <f t="shared" ca="1" si="29"/>
        <v>0</v>
      </c>
      <c r="W23" s="207">
        <f t="shared" ca="1" si="29"/>
        <v>0</v>
      </c>
      <c r="X23" s="196"/>
      <c r="AC23" s="169">
        <f t="shared" ref="AC23" ca="1" si="30">IF($B23,ROUND(AC22*$N21,2),ROUND(SUMIF(OFFSET($B23,1,0,$D23),TRUE,OFFSET(AC23,1,0,$D23))/SUMIF(OFFSET($B23,1,0,$D23),TRUE,OFFSET($K23,1,0,$D23))*$N21,2))</f>
        <v>0</v>
      </c>
    </row>
    <row r="24" spans="1:29" customFormat="1" ht="14.25" customHeight="1" x14ac:dyDescent="0.2">
      <c r="A24" s="82"/>
      <c r="B24" s="82"/>
      <c r="C24" s="82"/>
      <c r="D24" s="82"/>
      <c r="E24" s="82"/>
      <c r="F24" s="82"/>
      <c r="G24" s="82"/>
      <c r="H24" s="82"/>
      <c r="I24" s="82"/>
      <c r="J24" s="82"/>
      <c r="K24" s="82"/>
      <c r="L24" s="374" t="str">
        <f ca="1">INDEX(PO!K$12:K$77,MATCH($A26,PO!$V$12:$V$77,0))</f>
        <v>1.2.</v>
      </c>
      <c r="M24" s="376" t="str">
        <f ca="1">INDEX(PO!N$12:N$77,MATCH($A26,PO!$V$12:$V$77,0))</f>
        <v xml:space="preserve">ALVENARIA </v>
      </c>
      <c r="N24" s="387">
        <f t="shared" ref="N24" ca="1" si="31">IF(ROUND(K26,2)=0,K26,ROUND(K26,2))</f>
        <v>9.9999999999999998E-13</v>
      </c>
      <c r="O24" s="220" t="s">
        <v>143</v>
      </c>
      <c r="P24" s="226">
        <v>1</v>
      </c>
      <c r="Q24" s="227">
        <f t="shared" ref="Q24" ca="1" si="32">IF($B26,0,Q25-IF(ISNUMBER(P25),P25,0))</f>
        <v>0</v>
      </c>
      <c r="R24" s="227">
        <f t="shared" ref="R24" ca="1" si="33">IF($B26,0,R25-IF(ISNUMBER(Q25),Q25,0))</f>
        <v>0</v>
      </c>
      <c r="S24" s="227">
        <f t="shared" ref="S24" ca="1" si="34">IF($B26,0,S25-IF(ISNUMBER(R25),R25,0))</f>
        <v>0</v>
      </c>
      <c r="T24" s="227">
        <f t="shared" ref="T24" ca="1" si="35">IF($B26,0,T25-IF(ISNUMBER(S25),S25,0))</f>
        <v>0</v>
      </c>
      <c r="U24" s="227">
        <f t="shared" ref="U24" ca="1" si="36">IF($B26,0,U25-IF(ISNUMBER(T25),T25,0))</f>
        <v>0</v>
      </c>
      <c r="V24" s="227">
        <f t="shared" ref="V24" ca="1" si="37">IF($B26,0,V25-IF(ISNUMBER(U25),U25,0))</f>
        <v>0</v>
      </c>
      <c r="W24" s="228">
        <f t="shared" ref="W24" ca="1" si="38">IF($B26,0,W25-IF(ISNUMBER(V25),V25,0))</f>
        <v>0</v>
      </c>
      <c r="X24" s="196"/>
      <c r="AC24" s="221">
        <f t="shared" ref="AC24" ca="1" si="39">IF($B26,0,AC25-IF(ISNUMBER(AB25),AB25,0))</f>
        <v>0</v>
      </c>
    </row>
    <row r="25" spans="1:29" customFormat="1" ht="14.25" x14ac:dyDescent="0.2">
      <c r="A25" s="184"/>
      <c r="B25" s="184"/>
      <c r="C25" s="184"/>
      <c r="D25" s="184"/>
      <c r="E25" s="184"/>
      <c r="F25" s="184"/>
      <c r="G25" s="184"/>
      <c r="H25" s="184"/>
      <c r="I25" s="184"/>
      <c r="J25" s="184"/>
      <c r="K25" s="184"/>
      <c r="L25" s="375"/>
      <c r="M25" s="377"/>
      <c r="N25" s="388"/>
      <c r="O25" s="170" t="s">
        <v>145</v>
      </c>
      <c r="P25" s="198">
        <f t="shared" ref="P25" ca="1" si="40">MIN(IF($B26,P24+IF(ISNUMBER(O25),O25,0),P26/$N24),1)</f>
        <v>1</v>
      </c>
      <c r="Q25" s="168">
        <f t="shared" ref="Q25" ca="1" si="41">MIN(IF($B26,Q24+IF(ISNUMBER(P25),P25,0),Q26/$N24),1)</f>
        <v>1</v>
      </c>
      <c r="R25" s="168">
        <f t="shared" ref="R25" ca="1" si="42">MIN(IF($B26,R24+IF(ISNUMBER(Q25),Q25,0),R26/$N24),1)</f>
        <v>1</v>
      </c>
      <c r="S25" s="168">
        <f t="shared" ref="S25" ca="1" si="43">MIN(IF($B26,S24+IF(ISNUMBER(R25),R25,0),S26/$N24),1)</f>
        <v>1</v>
      </c>
      <c r="T25" s="168">
        <f t="shared" ref="T25" ca="1" si="44">MIN(IF($B26,T24+IF(ISNUMBER(S25),S25,0),T26/$N24),1)</f>
        <v>1</v>
      </c>
      <c r="U25" s="168">
        <f t="shared" ref="U25" ca="1" si="45">MIN(IF($B26,U24+IF(ISNUMBER(T25),T25,0),U26/$N24),1)</f>
        <v>1</v>
      </c>
      <c r="V25" s="168">
        <f t="shared" ref="V25" ca="1" si="46">MIN(IF($B26,V24+IF(ISNUMBER(U25),U25,0),V26/$N24),1)</f>
        <v>1</v>
      </c>
      <c r="W25" s="168">
        <f t="shared" ref="W25" ca="1" si="47">MIN(IF($B26,W24+IF(ISNUMBER(V25),V25,0),W26/$N24),1)</f>
        <v>1</v>
      </c>
      <c r="X25" s="196"/>
      <c r="AC25" s="168">
        <f t="shared" ref="AC25" ca="1" si="48">MIN(IF($B26,AC24+IF(ISNUMBER(AB25),AB25,0),AC26/$N24),1)</f>
        <v>0</v>
      </c>
    </row>
    <row r="26" spans="1:29" customFormat="1" ht="14.25" x14ac:dyDescent="0.2">
      <c r="A26" s="184">
        <f ca="1">OFFSET(A26,-CFF.NumLinha,0)+1</f>
        <v>3</v>
      </c>
      <c r="B26" s="184" t="b">
        <f ca="1">$C26&gt;=OFFSET($C26,CFF.NumLinha,0)</f>
        <v>1</v>
      </c>
      <c r="C26" s="184">
        <f ca="1">INDEX(PO!A$12:A$77,MATCH($A26,PO!$V$12:$V$77,0))</f>
        <v>2</v>
      </c>
      <c r="D26" s="184">
        <f t="shared" ref="D26" ca="1" si="49">IF(ISERROR(J26),I26,SMALL(I26:J26,1))-1</f>
        <v>2</v>
      </c>
      <c r="E26" s="184">
        <f ca="1">IF($C26=1,OFFSET(E26,-CFF.NumLinha,0)+1,OFFSET(E26,-CFF.NumLinha,0))</f>
        <v>1</v>
      </c>
      <c r="F26" s="184">
        <f ca="1">IF($C26=1,0,IF($C26=2,OFFSET(F26,-CFF.NumLinha,0)+1,OFFSET(F26,-CFF.NumLinha,0)))</f>
        <v>2</v>
      </c>
      <c r="G26" s="184">
        <f ca="1">IF(AND($C26&lt;=2,$C26&lt;&gt;0),0,IF($C26=3,OFFSET(G26,-CFF.NumLinha,0)+1,OFFSET(G26,-CFF.NumLinha,0)))</f>
        <v>0</v>
      </c>
      <c r="H26" s="184">
        <f ca="1">IF(AND($C26&lt;=3,$C26&lt;&gt;0),0,IF($C26=4,OFFSET(H26,-CFF.NumLinha,0)+1,OFFSET(H26,-CFF.NumLinha,0)))</f>
        <v>0</v>
      </c>
      <c r="I26" s="184">
        <f ca="1">MATCH(0,OFFSET($D26,1,$C26,ROW($A$45)-ROW($A26)),0)</f>
        <v>19</v>
      </c>
      <c r="J26" s="184">
        <f ca="1">MATCH(OFFSET($D26,0,$C26)+1,OFFSET($D26,1,$C26,ROW($A$45)-ROW($A26)),0)</f>
        <v>3</v>
      </c>
      <c r="K26" s="185">
        <f ca="1">ROUND(INDEX(PO!T$12:T$77,MATCH($A26,PO!$V$12:$V$77,0)),2)+10^-12</f>
        <v>9.9999999999999998E-13</v>
      </c>
      <c r="L26" s="375"/>
      <c r="M26" s="377"/>
      <c r="N26" s="388"/>
      <c r="O26" s="204" t="s">
        <v>20</v>
      </c>
      <c r="P26" s="199">
        <f t="shared" ref="P26:W26" ca="1" si="50">IF($B26,ROUND(P25*$N24,2),ROUND(SUMIF(OFFSET($B26,1,0,$D26),TRUE,OFFSET(P26,1,0,$D26))/SUMIF(OFFSET($B26,1,0,$D26),TRUE,OFFSET($K26,1,0,$D26))*$N24,2))</f>
        <v>0</v>
      </c>
      <c r="Q26" s="169">
        <f t="shared" ca="1" si="50"/>
        <v>0</v>
      </c>
      <c r="R26" s="169">
        <f t="shared" ca="1" si="50"/>
        <v>0</v>
      </c>
      <c r="S26" s="169">
        <f t="shared" ca="1" si="50"/>
        <v>0</v>
      </c>
      <c r="T26" s="169">
        <f t="shared" ca="1" si="50"/>
        <v>0</v>
      </c>
      <c r="U26" s="169">
        <f t="shared" ca="1" si="50"/>
        <v>0</v>
      </c>
      <c r="V26" s="169">
        <f t="shared" ca="1" si="50"/>
        <v>0</v>
      </c>
      <c r="W26" s="207">
        <f t="shared" ca="1" si="50"/>
        <v>0</v>
      </c>
      <c r="X26" s="196"/>
      <c r="AC26" s="169">
        <f t="shared" ref="AC26" ca="1" si="51">IF($B26,ROUND(AC25*$N24,2),ROUND(SUMIF(OFFSET($B26,1,0,$D26),TRUE,OFFSET(AC26,1,0,$D26))/SUMIF(OFFSET($B26,1,0,$D26),TRUE,OFFSET($K26,1,0,$D26))*$N24,2))</f>
        <v>0</v>
      </c>
    </row>
    <row r="27" spans="1:29" customFormat="1" ht="14.25" customHeight="1" x14ac:dyDescent="0.2">
      <c r="A27" s="82"/>
      <c r="B27" s="82"/>
      <c r="C27" s="82"/>
      <c r="D27" s="82"/>
      <c r="E27" s="82"/>
      <c r="F27" s="82"/>
      <c r="G27" s="82"/>
      <c r="H27" s="82"/>
      <c r="I27" s="82"/>
      <c r="J27" s="82"/>
      <c r="K27" s="82"/>
      <c r="L27" s="374" t="str">
        <f ca="1">INDEX(PO!K$12:K$77,MATCH($A29,PO!$V$12:$V$77,0))</f>
        <v>1.3.</v>
      </c>
      <c r="M27" s="376" t="str">
        <f ca="1">INDEX(PO!N$12:N$77,MATCH($A29,PO!$V$12:$V$77,0))</f>
        <v>ESQUADRIAS / PINTURA</v>
      </c>
      <c r="N27" s="387">
        <f t="shared" ref="N27" ca="1" si="52">IF(ROUND(K29,2)=0,K29,ROUND(K29,2))</f>
        <v>9.9999999999999998E-13</v>
      </c>
      <c r="O27" s="220" t="s">
        <v>143</v>
      </c>
      <c r="P27" s="226">
        <v>0.5</v>
      </c>
      <c r="Q27" s="227">
        <v>0.5</v>
      </c>
      <c r="R27" s="227">
        <f t="shared" ref="R27" ca="1" si="53">IF($B29,0,R28-IF(ISNUMBER(Q28),Q28,0))</f>
        <v>0</v>
      </c>
      <c r="S27" s="227">
        <f t="shared" ref="S27" ca="1" si="54">IF($B29,0,S28-IF(ISNUMBER(R28),R28,0))</f>
        <v>0</v>
      </c>
      <c r="T27" s="227">
        <f t="shared" ref="T27" ca="1" si="55">IF($B29,0,T28-IF(ISNUMBER(S28),S28,0))</f>
        <v>0</v>
      </c>
      <c r="U27" s="227">
        <f t="shared" ref="U27" ca="1" si="56">IF($B29,0,U28-IF(ISNUMBER(T28),T28,0))</f>
        <v>0</v>
      </c>
      <c r="V27" s="227">
        <f t="shared" ref="V27" ca="1" si="57">IF($B29,0,V28-IF(ISNUMBER(U28),U28,0))</f>
        <v>0</v>
      </c>
      <c r="W27" s="228">
        <f t="shared" ref="W27" ca="1" si="58">IF($B29,0,W28-IF(ISNUMBER(V28),V28,0))</f>
        <v>0</v>
      </c>
      <c r="X27" s="196"/>
      <c r="AC27" s="221">
        <f t="shared" ref="AC27" ca="1" si="59">IF($B29,0,AC28-IF(ISNUMBER(AB28),AB28,0))</f>
        <v>0</v>
      </c>
    </row>
    <row r="28" spans="1:29" customFormat="1" ht="14.25" x14ac:dyDescent="0.2">
      <c r="A28" s="184"/>
      <c r="B28" s="184"/>
      <c r="C28" s="184"/>
      <c r="D28" s="184"/>
      <c r="E28" s="184"/>
      <c r="F28" s="184"/>
      <c r="G28" s="184"/>
      <c r="H28" s="184"/>
      <c r="I28" s="184"/>
      <c r="J28" s="184"/>
      <c r="K28" s="184"/>
      <c r="L28" s="375"/>
      <c r="M28" s="377"/>
      <c r="N28" s="388"/>
      <c r="O28" s="170" t="s">
        <v>145</v>
      </c>
      <c r="P28" s="198">
        <f t="shared" ref="P28" ca="1" si="60">MIN(IF($B29,P27+IF(ISNUMBER(O28),O28,0),P29/$N27),1)</f>
        <v>0.5</v>
      </c>
      <c r="Q28" s="168">
        <f t="shared" ref="Q28" ca="1" si="61">MIN(IF($B29,Q27+IF(ISNUMBER(P28),P28,0),Q29/$N27),1)</f>
        <v>1</v>
      </c>
      <c r="R28" s="168">
        <f t="shared" ref="R28" ca="1" si="62">MIN(IF($B29,R27+IF(ISNUMBER(Q28),Q28,0),R29/$N27),1)</f>
        <v>1</v>
      </c>
      <c r="S28" s="168">
        <f t="shared" ref="S28" ca="1" si="63">MIN(IF($B29,S27+IF(ISNUMBER(R28),R28,0),S29/$N27),1)</f>
        <v>1</v>
      </c>
      <c r="T28" s="168">
        <f t="shared" ref="T28" ca="1" si="64">MIN(IF($B29,T27+IF(ISNUMBER(S28),S28,0),T29/$N27),1)</f>
        <v>1</v>
      </c>
      <c r="U28" s="168">
        <f t="shared" ref="U28" ca="1" si="65">MIN(IF($B29,U27+IF(ISNUMBER(T28),T28,0),U29/$N27),1)</f>
        <v>1</v>
      </c>
      <c r="V28" s="168">
        <f t="shared" ref="V28" ca="1" si="66">MIN(IF($B29,V27+IF(ISNUMBER(U28),U28,0),V29/$N27),1)</f>
        <v>1</v>
      </c>
      <c r="W28" s="168">
        <f t="shared" ref="W28" ca="1" si="67">MIN(IF($B29,W27+IF(ISNUMBER(V28),V28,0),W29/$N27),1)</f>
        <v>1</v>
      </c>
      <c r="X28" s="196"/>
      <c r="AC28" s="168">
        <f t="shared" ref="AC28" ca="1" si="68">MIN(IF($B29,AC27+IF(ISNUMBER(AB28),AB28,0),AC29/$N27),1)</f>
        <v>0</v>
      </c>
    </row>
    <row r="29" spans="1:29" customFormat="1" ht="14.25" x14ac:dyDescent="0.2">
      <c r="A29" s="184">
        <f ca="1">OFFSET(A29,-CFF.NumLinha,0)+1</f>
        <v>4</v>
      </c>
      <c r="B29" s="184" t="b">
        <f ca="1">$C29&gt;=OFFSET($C29,CFF.NumLinha,0)</f>
        <v>1</v>
      </c>
      <c r="C29" s="184">
        <f ca="1">INDEX(PO!A$12:A$77,MATCH($A29,PO!$V$12:$V$77,0))</f>
        <v>2</v>
      </c>
      <c r="D29" s="184">
        <f t="shared" ref="D29" ca="1" si="69">IF(ISERROR(J29),I29,SMALL(I29:J29,1))-1</f>
        <v>2</v>
      </c>
      <c r="E29" s="184">
        <f ca="1">IF($C29=1,OFFSET(E29,-CFF.NumLinha,0)+1,OFFSET(E29,-CFF.NumLinha,0))</f>
        <v>1</v>
      </c>
      <c r="F29" s="184">
        <f ca="1">IF($C29=1,0,IF($C29=2,OFFSET(F29,-CFF.NumLinha,0)+1,OFFSET(F29,-CFF.NumLinha,0)))</f>
        <v>3</v>
      </c>
      <c r="G29" s="184">
        <f ca="1">IF(AND($C29&lt;=2,$C29&lt;&gt;0),0,IF($C29=3,OFFSET(G29,-CFF.NumLinha,0)+1,OFFSET(G29,-CFF.NumLinha,0)))</f>
        <v>0</v>
      </c>
      <c r="H29" s="184">
        <f ca="1">IF(AND($C29&lt;=3,$C29&lt;&gt;0),0,IF($C29=4,OFFSET(H29,-CFF.NumLinha,0)+1,OFFSET(H29,-CFF.NumLinha,0)))</f>
        <v>0</v>
      </c>
      <c r="I29" s="184">
        <f ca="1">MATCH(0,OFFSET($D29,1,$C29,ROW($A$45)-ROW($A29)),0)</f>
        <v>16</v>
      </c>
      <c r="J29" s="184">
        <f ca="1">MATCH(OFFSET($D29,0,$C29)+1,OFFSET($D29,1,$C29,ROW($A$45)-ROW($A29)),0)</f>
        <v>3</v>
      </c>
      <c r="K29" s="185">
        <f ca="1">ROUND(INDEX(PO!T$12:T$77,MATCH($A29,PO!$V$12:$V$77,0)),2)+10^-12</f>
        <v>9.9999999999999998E-13</v>
      </c>
      <c r="L29" s="375"/>
      <c r="M29" s="377"/>
      <c r="N29" s="388"/>
      <c r="O29" s="204" t="s">
        <v>20</v>
      </c>
      <c r="P29" s="199">
        <f t="shared" ref="P29:W29" ca="1" si="70">IF($B29,ROUND(P28*$N27,2),ROUND(SUMIF(OFFSET($B29,1,0,$D29),TRUE,OFFSET(P29,1,0,$D29))/SUMIF(OFFSET($B29,1,0,$D29),TRUE,OFFSET($K29,1,0,$D29))*$N27,2))</f>
        <v>0</v>
      </c>
      <c r="Q29" s="169">
        <f t="shared" ca="1" si="70"/>
        <v>0</v>
      </c>
      <c r="R29" s="169">
        <f t="shared" ca="1" si="70"/>
        <v>0</v>
      </c>
      <c r="S29" s="169">
        <f t="shared" ca="1" si="70"/>
        <v>0</v>
      </c>
      <c r="T29" s="169">
        <f t="shared" ca="1" si="70"/>
        <v>0</v>
      </c>
      <c r="U29" s="169">
        <f t="shared" ca="1" si="70"/>
        <v>0</v>
      </c>
      <c r="V29" s="169">
        <f t="shared" ca="1" si="70"/>
        <v>0</v>
      </c>
      <c r="W29" s="207">
        <f t="shared" ca="1" si="70"/>
        <v>0</v>
      </c>
      <c r="X29" s="196"/>
      <c r="AC29" s="169">
        <f t="shared" ref="AC29" ca="1" si="71">IF($B29,ROUND(AC28*$N27,2),ROUND(SUMIF(OFFSET($B29,1,0,$D29),TRUE,OFFSET(AC29,1,0,$D29))/SUMIF(OFFSET($B29,1,0,$D29),TRUE,OFFSET($K29,1,0,$D29))*$N27,2))</f>
        <v>0</v>
      </c>
    </row>
    <row r="30" spans="1:29" customFormat="1" ht="14.25" customHeight="1" x14ac:dyDescent="0.2">
      <c r="A30" s="82"/>
      <c r="B30" s="82"/>
      <c r="C30" s="82"/>
      <c r="D30" s="82"/>
      <c r="E30" s="82"/>
      <c r="F30" s="82"/>
      <c r="G30" s="82"/>
      <c r="H30" s="82"/>
      <c r="I30" s="82"/>
      <c r="J30" s="82"/>
      <c r="K30" s="82"/>
      <c r="L30" s="374" t="str">
        <f ca="1">INDEX(PO!K$12:K$77,MATCH($A32,PO!$V$12:$V$77,0))</f>
        <v>1.4.</v>
      </c>
      <c r="M30" s="376" t="str">
        <f ca="1">INDEX(PO!N$12:N$77,MATCH($A32,PO!$V$12:$V$77,0))</f>
        <v>INSTALAÇÕES HIDROSSANITÁRIAS</v>
      </c>
      <c r="N30" s="387">
        <f t="shared" ref="N30" ca="1" si="72">IF(ROUND(K32,2)=0,K32,ROUND(K32,2))</f>
        <v>9.9999999999999998E-13</v>
      </c>
      <c r="O30" s="220" t="s">
        <v>143</v>
      </c>
      <c r="P30" s="226">
        <f t="shared" ref="P30" ca="1" si="73">IF($B32,0,P31-IF(ISNUMBER(O31),O31,0))</f>
        <v>0</v>
      </c>
      <c r="Q30" s="227">
        <v>1</v>
      </c>
      <c r="R30" s="227">
        <v>0</v>
      </c>
      <c r="S30" s="227">
        <f t="shared" ref="S30" ca="1" si="74">IF($B32,0,S31-IF(ISNUMBER(R31),R31,0))</f>
        <v>0</v>
      </c>
      <c r="T30" s="227">
        <f t="shared" ref="T30" ca="1" si="75">IF($B32,0,T31-IF(ISNUMBER(S31),S31,0))</f>
        <v>0</v>
      </c>
      <c r="U30" s="227">
        <f t="shared" ref="U30" ca="1" si="76">IF($B32,0,U31-IF(ISNUMBER(T31),T31,0))</f>
        <v>0</v>
      </c>
      <c r="V30" s="227">
        <f t="shared" ref="V30" ca="1" si="77">IF($B32,0,V31-IF(ISNUMBER(U31),U31,0))</f>
        <v>0</v>
      </c>
      <c r="W30" s="228">
        <f t="shared" ref="W30" ca="1" si="78">IF($B32,0,W31-IF(ISNUMBER(V31),V31,0))</f>
        <v>0</v>
      </c>
      <c r="X30" s="196"/>
      <c r="AC30" s="221">
        <f t="shared" ref="AC30" ca="1" si="79">IF($B32,0,AC31-IF(ISNUMBER(AB31),AB31,0))</f>
        <v>0</v>
      </c>
    </row>
    <row r="31" spans="1:29" customFormat="1" ht="14.25" x14ac:dyDescent="0.2">
      <c r="A31" s="184"/>
      <c r="B31" s="184"/>
      <c r="C31" s="184"/>
      <c r="D31" s="184"/>
      <c r="E31" s="184"/>
      <c r="F31" s="184"/>
      <c r="G31" s="184"/>
      <c r="H31" s="184"/>
      <c r="I31" s="184"/>
      <c r="J31" s="184"/>
      <c r="K31" s="184"/>
      <c r="L31" s="375"/>
      <c r="M31" s="377"/>
      <c r="N31" s="388"/>
      <c r="O31" s="170" t="s">
        <v>145</v>
      </c>
      <c r="P31" s="198">
        <f t="shared" ref="P31" ca="1" si="80">MIN(IF($B32,P30+IF(ISNUMBER(O31),O31,0),P32/$N30),1)</f>
        <v>0</v>
      </c>
      <c r="Q31" s="168">
        <f t="shared" ref="Q31" ca="1" si="81">MIN(IF($B32,Q30+IF(ISNUMBER(P31),P31,0),Q32/$N30),1)</f>
        <v>1</v>
      </c>
      <c r="R31" s="168">
        <f t="shared" ref="R31" ca="1" si="82">MIN(IF($B32,R30+IF(ISNUMBER(Q31),Q31,0),R32/$N30),1)</f>
        <v>1</v>
      </c>
      <c r="S31" s="168">
        <f t="shared" ref="S31" ca="1" si="83">MIN(IF($B32,S30+IF(ISNUMBER(R31),R31,0),S32/$N30),1)</f>
        <v>1</v>
      </c>
      <c r="T31" s="168">
        <f t="shared" ref="T31" ca="1" si="84">MIN(IF($B32,T30+IF(ISNUMBER(S31),S31,0),T32/$N30),1)</f>
        <v>1</v>
      </c>
      <c r="U31" s="168">
        <f t="shared" ref="U31" ca="1" si="85">MIN(IF($B32,U30+IF(ISNUMBER(T31),T31,0),U32/$N30),1)</f>
        <v>1</v>
      </c>
      <c r="V31" s="168">
        <f t="shared" ref="V31" ca="1" si="86">MIN(IF($B32,V30+IF(ISNUMBER(U31),U31,0),V32/$N30),1)</f>
        <v>1</v>
      </c>
      <c r="W31" s="168">
        <f t="shared" ref="W31" ca="1" si="87">MIN(IF($B32,W30+IF(ISNUMBER(V31),V31,0),W32/$N30),1)</f>
        <v>1</v>
      </c>
      <c r="X31" s="196"/>
      <c r="AC31" s="168">
        <f t="shared" ref="AC31" ca="1" si="88">MIN(IF($B32,AC30+IF(ISNUMBER(AB31),AB31,0),AC32/$N30),1)</f>
        <v>0</v>
      </c>
    </row>
    <row r="32" spans="1:29" customFormat="1" ht="14.25" x14ac:dyDescent="0.2">
      <c r="A32" s="184">
        <f ca="1">OFFSET(A32,-CFF.NumLinha,0)+1</f>
        <v>5</v>
      </c>
      <c r="B32" s="184" t="b">
        <f ca="1">$C32&gt;=OFFSET($C32,CFF.NumLinha,0)</f>
        <v>1</v>
      </c>
      <c r="C32" s="184">
        <f ca="1">INDEX(PO!A$12:A$77,MATCH($A32,PO!$V$12:$V$77,0))</f>
        <v>2</v>
      </c>
      <c r="D32" s="184">
        <f t="shared" ref="D32" ca="1" si="89">IF(ISERROR(J32),I32,SMALL(I32:J32,1))-1</f>
        <v>2</v>
      </c>
      <c r="E32" s="184">
        <f ca="1">IF($C32=1,OFFSET(E32,-CFF.NumLinha,0)+1,OFFSET(E32,-CFF.NumLinha,0))</f>
        <v>1</v>
      </c>
      <c r="F32" s="184">
        <f ca="1">IF($C32=1,0,IF($C32=2,OFFSET(F32,-CFF.NumLinha,0)+1,OFFSET(F32,-CFF.NumLinha,0)))</f>
        <v>4</v>
      </c>
      <c r="G32" s="184">
        <f ca="1">IF(AND($C32&lt;=2,$C32&lt;&gt;0),0,IF($C32=3,OFFSET(G32,-CFF.NumLinha,0)+1,OFFSET(G32,-CFF.NumLinha,0)))</f>
        <v>0</v>
      </c>
      <c r="H32" s="184">
        <f ca="1">IF(AND($C32&lt;=3,$C32&lt;&gt;0),0,IF($C32=4,OFFSET(H32,-CFF.NumLinha,0)+1,OFFSET(H32,-CFF.NumLinha,0)))</f>
        <v>0</v>
      </c>
      <c r="I32" s="184">
        <f ca="1">MATCH(0,OFFSET($D32,1,$C32,ROW($A$45)-ROW($A32)),0)</f>
        <v>13</v>
      </c>
      <c r="J32" s="184">
        <f ca="1">MATCH(OFFSET($D32,0,$C32)+1,OFFSET($D32,1,$C32,ROW($A$45)-ROW($A32)),0)</f>
        <v>3</v>
      </c>
      <c r="K32" s="185">
        <f ca="1">ROUND(INDEX(PO!T$12:T$77,MATCH($A32,PO!$V$12:$V$77,0)),2)+10^-12</f>
        <v>9.9999999999999998E-13</v>
      </c>
      <c r="L32" s="375"/>
      <c r="M32" s="377"/>
      <c r="N32" s="388"/>
      <c r="O32" s="204" t="s">
        <v>20</v>
      </c>
      <c r="P32" s="199">
        <f t="shared" ref="P32:W32" ca="1" si="90">IF($B32,ROUND(P31*$N30,2),ROUND(SUMIF(OFFSET($B32,1,0,$D32),TRUE,OFFSET(P32,1,0,$D32))/SUMIF(OFFSET($B32,1,0,$D32),TRUE,OFFSET($K32,1,0,$D32))*$N30,2))</f>
        <v>0</v>
      </c>
      <c r="Q32" s="169">
        <f t="shared" ca="1" si="90"/>
        <v>0</v>
      </c>
      <c r="R32" s="169">
        <f t="shared" ca="1" si="90"/>
        <v>0</v>
      </c>
      <c r="S32" s="169">
        <f t="shared" ca="1" si="90"/>
        <v>0</v>
      </c>
      <c r="T32" s="169">
        <f t="shared" ca="1" si="90"/>
        <v>0</v>
      </c>
      <c r="U32" s="169">
        <f t="shared" ca="1" si="90"/>
        <v>0</v>
      </c>
      <c r="V32" s="169">
        <f t="shared" ca="1" si="90"/>
        <v>0</v>
      </c>
      <c r="W32" s="207">
        <f t="shared" ca="1" si="90"/>
        <v>0</v>
      </c>
      <c r="X32" s="196"/>
      <c r="AC32" s="169">
        <f t="shared" ref="AC32" ca="1" si="91">IF($B32,ROUND(AC31*$N30,2),ROUND(SUMIF(OFFSET($B32,1,0,$D32),TRUE,OFFSET(AC32,1,0,$D32))/SUMIF(OFFSET($B32,1,0,$D32),TRUE,OFFSET($K32,1,0,$D32))*$N30,2))</f>
        <v>0</v>
      </c>
    </row>
    <row r="33" spans="1:29" customFormat="1" ht="14.25" customHeight="1" x14ac:dyDescent="0.2">
      <c r="A33" s="82"/>
      <c r="B33" s="82"/>
      <c r="C33" s="82"/>
      <c r="D33" s="82"/>
      <c r="E33" s="82"/>
      <c r="F33" s="82"/>
      <c r="G33" s="82"/>
      <c r="H33" s="82"/>
      <c r="I33" s="82"/>
      <c r="J33" s="82"/>
      <c r="K33" s="82"/>
      <c r="L33" s="374" t="str">
        <f ca="1">INDEX(PO!K$12:K$77,MATCH($A35,PO!$V$12:$V$77,0))</f>
        <v>1.5.</v>
      </c>
      <c r="M33" s="376" t="str">
        <f ca="1">INDEX(PO!N$12:N$77,MATCH($A35,PO!$V$12:$V$77,0))</f>
        <v>LOUÇAS E METAIS SANITÁRIOS</v>
      </c>
      <c r="N33" s="387">
        <f t="shared" ref="N33" ca="1" si="92">IF(ROUND(K35,2)=0,K35,ROUND(K35,2))</f>
        <v>9.9999999999999998E-13</v>
      </c>
      <c r="O33" s="220" t="s">
        <v>143</v>
      </c>
      <c r="P33" s="226">
        <f t="shared" ref="P33" ca="1" si="93">IF($B35,0,P34-IF(ISNUMBER(O34),O34,0))</f>
        <v>0</v>
      </c>
      <c r="Q33" s="227">
        <f t="shared" ref="Q33" ca="1" si="94">IF($B35,0,Q34-IF(ISNUMBER(P34),P34,0))</f>
        <v>0</v>
      </c>
      <c r="R33" s="227">
        <v>0.5</v>
      </c>
      <c r="S33" s="227">
        <v>0.5</v>
      </c>
      <c r="T33" s="227">
        <f t="shared" ref="T33" ca="1" si="95">IF($B35,0,T34-IF(ISNUMBER(S34),S34,0))</f>
        <v>0</v>
      </c>
      <c r="U33" s="227">
        <f t="shared" ref="U33" ca="1" si="96">IF($B35,0,U34-IF(ISNUMBER(T34),T34,0))</f>
        <v>0</v>
      </c>
      <c r="V33" s="227">
        <f t="shared" ref="V33" ca="1" si="97">IF($B35,0,V34-IF(ISNUMBER(U34),U34,0))</f>
        <v>0</v>
      </c>
      <c r="W33" s="228">
        <f t="shared" ref="W33" ca="1" si="98">IF($B35,0,W34-IF(ISNUMBER(V34),V34,0))</f>
        <v>0</v>
      </c>
      <c r="X33" s="196"/>
      <c r="AC33" s="221">
        <f t="shared" ref="AC33" ca="1" si="99">IF($B35,0,AC34-IF(ISNUMBER(AB34),AB34,0))</f>
        <v>0</v>
      </c>
    </row>
    <row r="34" spans="1:29" customFormat="1" ht="14.25" x14ac:dyDescent="0.2">
      <c r="A34" s="184"/>
      <c r="B34" s="184"/>
      <c r="C34" s="184"/>
      <c r="D34" s="184"/>
      <c r="E34" s="184"/>
      <c r="F34" s="184"/>
      <c r="G34" s="184"/>
      <c r="H34" s="184"/>
      <c r="I34" s="184"/>
      <c r="J34" s="184"/>
      <c r="K34" s="184"/>
      <c r="L34" s="375"/>
      <c r="M34" s="377"/>
      <c r="N34" s="388"/>
      <c r="O34" s="170" t="s">
        <v>145</v>
      </c>
      <c r="P34" s="198">
        <f t="shared" ref="P34" ca="1" si="100">MIN(IF($B35,P33+IF(ISNUMBER(O34),O34,0),P35/$N33),1)</f>
        <v>0</v>
      </c>
      <c r="Q34" s="168">
        <f t="shared" ref="Q34" ca="1" si="101">MIN(IF($B35,Q33+IF(ISNUMBER(P34),P34,0),Q35/$N33),1)</f>
        <v>0</v>
      </c>
      <c r="R34" s="168">
        <f t="shared" ref="R34" ca="1" si="102">MIN(IF($B35,R33+IF(ISNUMBER(Q34),Q34,0),R35/$N33),1)</f>
        <v>0.5</v>
      </c>
      <c r="S34" s="168">
        <f t="shared" ref="S34" ca="1" si="103">MIN(IF($B35,S33+IF(ISNUMBER(R34),R34,0),S35/$N33),1)</f>
        <v>1</v>
      </c>
      <c r="T34" s="168">
        <f t="shared" ref="T34" ca="1" si="104">MIN(IF($B35,T33+IF(ISNUMBER(S34),S34,0),T35/$N33),1)</f>
        <v>1</v>
      </c>
      <c r="U34" s="168">
        <f t="shared" ref="U34" ca="1" si="105">MIN(IF($B35,U33+IF(ISNUMBER(T34),T34,0),U35/$N33),1)</f>
        <v>1</v>
      </c>
      <c r="V34" s="168">
        <f t="shared" ref="V34" ca="1" si="106">MIN(IF($B35,V33+IF(ISNUMBER(U34),U34,0),V35/$N33),1)</f>
        <v>1</v>
      </c>
      <c r="W34" s="168">
        <f t="shared" ref="W34" ca="1" si="107">MIN(IF($B35,W33+IF(ISNUMBER(V34),V34,0),W35/$N33),1)</f>
        <v>1</v>
      </c>
      <c r="X34" s="196"/>
      <c r="AC34" s="168">
        <f t="shared" ref="AC34" ca="1" si="108">MIN(IF($B35,AC33+IF(ISNUMBER(AB34),AB34,0),AC35/$N33),1)</f>
        <v>0</v>
      </c>
    </row>
    <row r="35" spans="1:29" customFormat="1" ht="14.25" x14ac:dyDescent="0.2">
      <c r="A35" s="184">
        <f ca="1">OFFSET(A35,-CFF.NumLinha,0)+1</f>
        <v>6</v>
      </c>
      <c r="B35" s="184" t="b">
        <f ca="1">$C35&gt;=OFFSET($C35,CFF.NumLinha,0)</f>
        <v>1</v>
      </c>
      <c r="C35" s="184">
        <f ca="1">INDEX(PO!A$12:A$77,MATCH($A35,PO!$V$12:$V$77,0))</f>
        <v>2</v>
      </c>
      <c r="D35" s="184">
        <f t="shared" ref="D35" ca="1" si="109">IF(ISERROR(J35),I35,SMALL(I35:J35,1))-1</f>
        <v>2</v>
      </c>
      <c r="E35" s="184">
        <f ca="1">IF($C35=1,OFFSET(E35,-CFF.NumLinha,0)+1,OFFSET(E35,-CFF.NumLinha,0))</f>
        <v>1</v>
      </c>
      <c r="F35" s="184">
        <f ca="1">IF($C35=1,0,IF($C35=2,OFFSET(F35,-CFF.NumLinha,0)+1,OFFSET(F35,-CFF.NumLinha,0)))</f>
        <v>5</v>
      </c>
      <c r="G35" s="184">
        <f ca="1">IF(AND($C35&lt;=2,$C35&lt;&gt;0),0,IF($C35=3,OFFSET(G35,-CFF.NumLinha,0)+1,OFFSET(G35,-CFF.NumLinha,0)))</f>
        <v>0</v>
      </c>
      <c r="H35" s="184">
        <f ca="1">IF(AND($C35&lt;=3,$C35&lt;&gt;0),0,IF($C35=4,OFFSET(H35,-CFF.NumLinha,0)+1,OFFSET(H35,-CFF.NumLinha,0)))</f>
        <v>0</v>
      </c>
      <c r="I35" s="184">
        <f ca="1">MATCH(0,OFFSET($D35,1,$C35,ROW($A$45)-ROW($A35)),0)</f>
        <v>10</v>
      </c>
      <c r="J35" s="184">
        <f ca="1">MATCH(OFFSET($D35,0,$C35)+1,OFFSET($D35,1,$C35,ROW($A$45)-ROW($A35)),0)</f>
        <v>3</v>
      </c>
      <c r="K35" s="185">
        <f ca="1">ROUND(INDEX(PO!T$12:T$77,MATCH($A35,PO!$V$12:$V$77,0)),2)+10^-12</f>
        <v>9.9999999999999998E-13</v>
      </c>
      <c r="L35" s="375"/>
      <c r="M35" s="377"/>
      <c r="N35" s="388"/>
      <c r="O35" s="204" t="s">
        <v>20</v>
      </c>
      <c r="P35" s="199">
        <f t="shared" ref="P35:W35" ca="1" si="110">IF($B35,ROUND(P34*$N33,2),ROUND(SUMIF(OFFSET($B35,1,0,$D35),TRUE,OFFSET(P35,1,0,$D35))/SUMIF(OFFSET($B35,1,0,$D35),TRUE,OFFSET($K35,1,0,$D35))*$N33,2))</f>
        <v>0</v>
      </c>
      <c r="Q35" s="169">
        <f t="shared" ca="1" si="110"/>
        <v>0</v>
      </c>
      <c r="R35" s="169">
        <f t="shared" ca="1" si="110"/>
        <v>0</v>
      </c>
      <c r="S35" s="169">
        <f t="shared" ca="1" si="110"/>
        <v>0</v>
      </c>
      <c r="T35" s="169">
        <f t="shared" ca="1" si="110"/>
        <v>0</v>
      </c>
      <c r="U35" s="169">
        <f t="shared" ca="1" si="110"/>
        <v>0</v>
      </c>
      <c r="V35" s="169">
        <f t="shared" ca="1" si="110"/>
        <v>0</v>
      </c>
      <c r="W35" s="207">
        <f t="shared" ca="1" si="110"/>
        <v>0</v>
      </c>
      <c r="X35" s="196"/>
      <c r="AC35" s="169">
        <f t="shared" ref="AC35" ca="1" si="111">IF($B35,ROUND(AC34*$N33,2),ROUND(SUMIF(OFFSET($B35,1,0,$D35),TRUE,OFFSET(AC35,1,0,$D35))/SUMIF(OFFSET($B35,1,0,$D35),TRUE,OFFSET($K35,1,0,$D35))*$N33,2))</f>
        <v>0</v>
      </c>
    </row>
    <row r="36" spans="1:29" customFormat="1" ht="14.25" customHeight="1" x14ac:dyDescent="0.2">
      <c r="A36" s="82"/>
      <c r="B36" s="82"/>
      <c r="C36" s="82"/>
      <c r="D36" s="82"/>
      <c r="E36" s="82"/>
      <c r="F36" s="82"/>
      <c r="G36" s="82"/>
      <c r="H36" s="82"/>
      <c r="I36" s="82"/>
      <c r="J36" s="82"/>
      <c r="K36" s="82"/>
      <c r="L36" s="374" t="str">
        <f ca="1">INDEX(PO!K$12:K$77,MATCH($A38,PO!$V$12:$V$77,0))</f>
        <v>1.6.</v>
      </c>
      <c r="M36" s="376" t="str">
        <f ca="1">INDEX(PO!N$12:N$77,MATCH($A38,PO!$V$12:$V$77,0))</f>
        <v>INSTALAÇÕES ELÉTRICAS</v>
      </c>
      <c r="N36" s="387">
        <f t="shared" ref="N36" ca="1" si="112">IF(ROUND(K38,2)=0,K38,ROUND(K38,2))</f>
        <v>9.9999999999999998E-13</v>
      </c>
      <c r="O36" s="220" t="s">
        <v>143</v>
      </c>
      <c r="P36" s="226">
        <f t="shared" ref="P36" ca="1" si="113">IF($B38,0,P37-IF(ISNUMBER(O37),O37,0))</f>
        <v>0</v>
      </c>
      <c r="Q36" s="227">
        <f t="shared" ref="Q36" ca="1" si="114">IF($B38,0,Q37-IF(ISNUMBER(P37),P37,0))</f>
        <v>0</v>
      </c>
      <c r="R36" s="227">
        <v>0.5</v>
      </c>
      <c r="S36" s="227">
        <v>0.5</v>
      </c>
      <c r="T36" s="227">
        <f t="shared" ref="T36" ca="1" si="115">IF($B38,0,T37-IF(ISNUMBER(S37),S37,0))</f>
        <v>0</v>
      </c>
      <c r="U36" s="227">
        <f t="shared" ref="U36" ca="1" si="116">IF($B38,0,U37-IF(ISNUMBER(T37),T37,0))</f>
        <v>0</v>
      </c>
      <c r="V36" s="227">
        <f t="shared" ref="V36" ca="1" si="117">IF($B38,0,V37-IF(ISNUMBER(U37),U37,0))</f>
        <v>0</v>
      </c>
      <c r="W36" s="228">
        <f t="shared" ref="W36" ca="1" si="118">IF($B38,0,W37-IF(ISNUMBER(V37),V37,0))</f>
        <v>0</v>
      </c>
      <c r="X36" s="196"/>
      <c r="AC36" s="221">
        <f t="shared" ref="AC36" ca="1" si="119">IF($B38,0,AC37-IF(ISNUMBER(AB37),AB37,0))</f>
        <v>0</v>
      </c>
    </row>
    <row r="37" spans="1:29" customFormat="1" ht="14.25" x14ac:dyDescent="0.2">
      <c r="A37" s="184"/>
      <c r="B37" s="184"/>
      <c r="C37" s="184"/>
      <c r="D37" s="184"/>
      <c r="E37" s="184"/>
      <c r="F37" s="184"/>
      <c r="G37" s="184"/>
      <c r="H37" s="184"/>
      <c r="I37" s="184"/>
      <c r="J37" s="184"/>
      <c r="K37" s="184"/>
      <c r="L37" s="375"/>
      <c r="M37" s="377"/>
      <c r="N37" s="388"/>
      <c r="O37" s="170" t="s">
        <v>145</v>
      </c>
      <c r="P37" s="198">
        <f t="shared" ref="P37" ca="1" si="120">MIN(IF($B38,P36+IF(ISNUMBER(O37),O37,0),P38/$N36),1)</f>
        <v>0</v>
      </c>
      <c r="Q37" s="168">
        <f t="shared" ref="Q37" ca="1" si="121">MIN(IF($B38,Q36+IF(ISNUMBER(P37),P37,0),Q38/$N36),1)</f>
        <v>0</v>
      </c>
      <c r="R37" s="168">
        <f t="shared" ref="R37" ca="1" si="122">MIN(IF($B38,R36+IF(ISNUMBER(Q37),Q37,0),R38/$N36),1)</f>
        <v>0.5</v>
      </c>
      <c r="S37" s="168">
        <f t="shared" ref="S37" ca="1" si="123">MIN(IF($B38,S36+IF(ISNUMBER(R37),R37,0),S38/$N36),1)</f>
        <v>1</v>
      </c>
      <c r="T37" s="168">
        <f t="shared" ref="T37" ca="1" si="124">MIN(IF($B38,T36+IF(ISNUMBER(S37),S37,0),T38/$N36),1)</f>
        <v>1</v>
      </c>
      <c r="U37" s="168">
        <f t="shared" ref="U37" ca="1" si="125">MIN(IF($B38,U36+IF(ISNUMBER(T37),T37,0),U38/$N36),1)</f>
        <v>1</v>
      </c>
      <c r="V37" s="168">
        <f t="shared" ref="V37" ca="1" si="126">MIN(IF($B38,V36+IF(ISNUMBER(U37),U37,0),V38/$N36),1)</f>
        <v>1</v>
      </c>
      <c r="W37" s="168">
        <f t="shared" ref="W37" ca="1" si="127">MIN(IF($B38,W36+IF(ISNUMBER(V37),V37,0),W38/$N36),1)</f>
        <v>1</v>
      </c>
      <c r="X37" s="196"/>
      <c r="AC37" s="168">
        <f t="shared" ref="AC37" ca="1" si="128">MIN(IF($B38,AC36+IF(ISNUMBER(AB37),AB37,0),AC38/$N36),1)</f>
        <v>0</v>
      </c>
    </row>
    <row r="38" spans="1:29" customFormat="1" ht="14.25" x14ac:dyDescent="0.2">
      <c r="A38" s="184">
        <f ca="1">OFFSET(A38,-CFF.NumLinha,0)+1</f>
        <v>7</v>
      </c>
      <c r="B38" s="184" t="b">
        <f ca="1">$C38&gt;=OFFSET($C38,CFF.NumLinha,0)</f>
        <v>1</v>
      </c>
      <c r="C38" s="184">
        <f ca="1">INDEX(PO!A$12:A$77,MATCH($A38,PO!$V$12:$V$77,0))</f>
        <v>2</v>
      </c>
      <c r="D38" s="184">
        <f t="shared" ref="D38" ca="1" si="129">IF(ISERROR(J38),I38,SMALL(I38:J38,1))-1</f>
        <v>2</v>
      </c>
      <c r="E38" s="184">
        <f ca="1">IF($C38=1,OFFSET(E38,-CFF.NumLinha,0)+1,OFFSET(E38,-CFF.NumLinha,0))</f>
        <v>1</v>
      </c>
      <c r="F38" s="184">
        <f ca="1">IF($C38=1,0,IF($C38=2,OFFSET(F38,-CFF.NumLinha,0)+1,OFFSET(F38,-CFF.NumLinha,0)))</f>
        <v>6</v>
      </c>
      <c r="G38" s="184">
        <f ca="1">IF(AND($C38&lt;=2,$C38&lt;&gt;0),0,IF($C38=3,OFFSET(G38,-CFF.NumLinha,0)+1,OFFSET(G38,-CFF.NumLinha,0)))</f>
        <v>0</v>
      </c>
      <c r="H38" s="184">
        <f ca="1">IF(AND($C38&lt;=3,$C38&lt;&gt;0),0,IF($C38=4,OFFSET(H38,-CFF.NumLinha,0)+1,OFFSET(H38,-CFF.NumLinha,0)))</f>
        <v>0</v>
      </c>
      <c r="I38" s="184">
        <f ca="1">MATCH(0,OFFSET($D38,1,$C38,ROW($A$45)-ROW($A38)),0)</f>
        <v>7</v>
      </c>
      <c r="J38" s="184">
        <f ca="1">MATCH(OFFSET($D38,0,$C38)+1,OFFSET($D38,1,$C38,ROW($A$45)-ROW($A38)),0)</f>
        <v>3</v>
      </c>
      <c r="K38" s="185">
        <f ca="1">ROUND(INDEX(PO!T$12:T$77,MATCH($A38,PO!$V$12:$V$77,0)),2)+10^-12</f>
        <v>9.9999999999999998E-13</v>
      </c>
      <c r="L38" s="375"/>
      <c r="M38" s="377"/>
      <c r="N38" s="388"/>
      <c r="O38" s="204" t="s">
        <v>20</v>
      </c>
      <c r="P38" s="199">
        <f t="shared" ref="P38:W38" ca="1" si="130">IF($B38,ROUND(P37*$N36,2),ROUND(SUMIF(OFFSET($B38,1,0,$D38),TRUE,OFFSET(P38,1,0,$D38))/SUMIF(OFFSET($B38,1,0,$D38),TRUE,OFFSET($K38,1,0,$D38))*$N36,2))</f>
        <v>0</v>
      </c>
      <c r="Q38" s="169">
        <f t="shared" ca="1" si="130"/>
        <v>0</v>
      </c>
      <c r="R38" s="169">
        <f t="shared" ca="1" si="130"/>
        <v>0</v>
      </c>
      <c r="S38" s="169">
        <f t="shared" ca="1" si="130"/>
        <v>0</v>
      </c>
      <c r="T38" s="169">
        <f t="shared" ca="1" si="130"/>
        <v>0</v>
      </c>
      <c r="U38" s="169">
        <f t="shared" ca="1" si="130"/>
        <v>0</v>
      </c>
      <c r="V38" s="169">
        <f t="shared" ca="1" si="130"/>
        <v>0</v>
      </c>
      <c r="W38" s="207">
        <f t="shared" ca="1" si="130"/>
        <v>0</v>
      </c>
      <c r="X38" s="196"/>
      <c r="AC38" s="169">
        <f t="shared" ref="AC38" ca="1" si="131">IF($B38,ROUND(AC37*$N36,2),ROUND(SUMIF(OFFSET($B38,1,0,$D38),TRUE,OFFSET(AC38,1,0,$D38))/SUMIF(OFFSET($B38,1,0,$D38),TRUE,OFFSET($K38,1,0,$D38))*$N36,2))</f>
        <v>0</v>
      </c>
    </row>
    <row r="39" spans="1:29" customFormat="1" ht="14.25" customHeight="1" x14ac:dyDescent="0.2">
      <c r="A39" s="82"/>
      <c r="B39" s="82"/>
      <c r="C39" s="82"/>
      <c r="D39" s="82"/>
      <c r="E39" s="82"/>
      <c r="F39" s="82"/>
      <c r="G39" s="82"/>
      <c r="H39" s="82"/>
      <c r="I39" s="82"/>
      <c r="J39" s="82"/>
      <c r="K39" s="82"/>
      <c r="L39" s="374" t="str">
        <f ca="1">INDEX(PO!K$12:K$77,MATCH($A41,PO!$V$12:$V$77,0))</f>
        <v>1.7.</v>
      </c>
      <c r="M39" s="376" t="str">
        <f ca="1">INDEX(PO!N$12:N$77,MATCH($A41,PO!$V$12:$V$77,0))</f>
        <v>FORRO</v>
      </c>
      <c r="N39" s="387">
        <f t="shared" ref="N39" ca="1" si="132">IF(ROUND(K41,2)=0,K41,ROUND(K41,2))</f>
        <v>9.9999999999999998E-13</v>
      </c>
      <c r="O39" s="220" t="s">
        <v>143</v>
      </c>
      <c r="P39" s="226">
        <f t="shared" ref="P39" ca="1" si="133">IF($B41,0,P40-IF(ISNUMBER(O40),O40,0))</f>
        <v>0</v>
      </c>
      <c r="Q39" s="227">
        <f t="shared" ref="Q39" ca="1" si="134">IF($B41,0,Q40-IF(ISNUMBER(P40),P40,0))</f>
        <v>0</v>
      </c>
      <c r="R39" s="227">
        <v>0.5</v>
      </c>
      <c r="S39" s="227">
        <v>0.5</v>
      </c>
      <c r="T39" s="227">
        <f t="shared" ref="T39" ca="1" si="135">IF($B41,0,T40-IF(ISNUMBER(S40),S40,0))</f>
        <v>0</v>
      </c>
      <c r="U39" s="227">
        <f t="shared" ref="U39" ca="1" si="136">IF($B41,0,U40-IF(ISNUMBER(T40),T40,0))</f>
        <v>0</v>
      </c>
      <c r="V39" s="227">
        <f t="shared" ref="V39" ca="1" si="137">IF($B41,0,V40-IF(ISNUMBER(U40),U40,0))</f>
        <v>0</v>
      </c>
      <c r="W39" s="228">
        <f t="shared" ref="W39" ca="1" si="138">IF($B41,0,W40-IF(ISNUMBER(V40),V40,0))</f>
        <v>0</v>
      </c>
      <c r="X39" s="196"/>
      <c r="AC39" s="221">
        <f t="shared" ref="AC39" ca="1" si="139">IF($B41,0,AC40-IF(ISNUMBER(AB40),AB40,0))</f>
        <v>0</v>
      </c>
    </row>
    <row r="40" spans="1:29" customFormat="1" ht="14.25" x14ac:dyDescent="0.2">
      <c r="A40" s="184"/>
      <c r="B40" s="184"/>
      <c r="C40" s="184"/>
      <c r="D40" s="184"/>
      <c r="E40" s="184"/>
      <c r="F40" s="184"/>
      <c r="G40" s="184"/>
      <c r="H40" s="184"/>
      <c r="I40" s="184"/>
      <c r="J40" s="184"/>
      <c r="K40" s="184"/>
      <c r="L40" s="375"/>
      <c r="M40" s="377"/>
      <c r="N40" s="388"/>
      <c r="O40" s="170" t="s">
        <v>145</v>
      </c>
      <c r="P40" s="198">
        <f t="shared" ref="P40" ca="1" si="140">MIN(IF($B41,P39+IF(ISNUMBER(O40),O40,0),P41/$N39),1)</f>
        <v>0</v>
      </c>
      <c r="Q40" s="168">
        <f t="shared" ref="Q40" ca="1" si="141">MIN(IF($B41,Q39+IF(ISNUMBER(P40),P40,0),Q41/$N39),1)</f>
        <v>0</v>
      </c>
      <c r="R40" s="168">
        <f t="shared" ref="R40" ca="1" si="142">MIN(IF($B41,R39+IF(ISNUMBER(Q40),Q40,0),R41/$N39),1)</f>
        <v>0.5</v>
      </c>
      <c r="S40" s="168">
        <f t="shared" ref="S40" ca="1" si="143">MIN(IF($B41,S39+IF(ISNUMBER(R40),R40,0),S41/$N39),1)</f>
        <v>1</v>
      </c>
      <c r="T40" s="168">
        <f t="shared" ref="T40" ca="1" si="144">MIN(IF($B41,T39+IF(ISNUMBER(S40),S40,0),T41/$N39),1)</f>
        <v>1</v>
      </c>
      <c r="U40" s="168">
        <f t="shared" ref="U40" ca="1" si="145">MIN(IF($B41,U39+IF(ISNUMBER(T40),T40,0),U41/$N39),1)</f>
        <v>1</v>
      </c>
      <c r="V40" s="168">
        <f t="shared" ref="V40" ca="1" si="146">MIN(IF($B41,V39+IF(ISNUMBER(U40),U40,0),V41/$N39),1)</f>
        <v>1</v>
      </c>
      <c r="W40" s="168">
        <f t="shared" ref="W40" ca="1" si="147">MIN(IF($B41,W39+IF(ISNUMBER(V40),V40,0),W41/$N39),1)</f>
        <v>1</v>
      </c>
      <c r="X40" s="196"/>
      <c r="AC40" s="168">
        <f t="shared" ref="AC40" ca="1" si="148">MIN(IF($B41,AC39+IF(ISNUMBER(AB40),AB40,0),AC41/$N39),1)</f>
        <v>0</v>
      </c>
    </row>
    <row r="41" spans="1:29" customFormat="1" ht="14.25" x14ac:dyDescent="0.2">
      <c r="A41" s="184">
        <f ca="1">OFFSET(A41,-CFF.NumLinha,0)+1</f>
        <v>8</v>
      </c>
      <c r="B41" s="184" t="b">
        <f ca="1">$C41&gt;=OFFSET($C41,CFF.NumLinha,0)</f>
        <v>1</v>
      </c>
      <c r="C41" s="184">
        <f ca="1">INDEX(PO!A$12:A$77,MATCH($A41,PO!$V$12:$V$77,0))</f>
        <v>2</v>
      </c>
      <c r="D41" s="184">
        <f t="shared" ref="D41" ca="1" si="149">IF(ISERROR(J41),I41,SMALL(I41:J41,1))-1</f>
        <v>2</v>
      </c>
      <c r="E41" s="184">
        <f ca="1">IF($C41=1,OFFSET(E41,-CFF.NumLinha,0)+1,OFFSET(E41,-CFF.NumLinha,0))</f>
        <v>1</v>
      </c>
      <c r="F41" s="184">
        <f ca="1">IF($C41=1,0,IF($C41=2,OFFSET(F41,-CFF.NumLinha,0)+1,OFFSET(F41,-CFF.NumLinha,0)))</f>
        <v>7</v>
      </c>
      <c r="G41" s="184">
        <f ca="1">IF(AND($C41&lt;=2,$C41&lt;&gt;0),0,IF($C41=3,OFFSET(G41,-CFF.NumLinha,0)+1,OFFSET(G41,-CFF.NumLinha,0)))</f>
        <v>0</v>
      </c>
      <c r="H41" s="184">
        <f ca="1">IF(AND($C41&lt;=3,$C41&lt;&gt;0),0,IF($C41=4,OFFSET(H41,-CFF.NumLinha,0)+1,OFFSET(H41,-CFF.NumLinha,0)))</f>
        <v>0</v>
      </c>
      <c r="I41" s="184">
        <f ca="1">MATCH(0,OFFSET($D41,1,$C41,ROW($A$45)-ROW($A41)),0)</f>
        <v>4</v>
      </c>
      <c r="J41" s="184">
        <f ca="1">MATCH(OFFSET($D41,0,$C41)+1,OFFSET($D41,1,$C41,ROW($A$45)-ROW($A41)),0)</f>
        <v>3</v>
      </c>
      <c r="K41" s="185">
        <f ca="1">ROUND(INDEX(PO!T$12:T$77,MATCH($A41,PO!$V$12:$V$77,0)),2)+10^-12</f>
        <v>9.9999999999999998E-13</v>
      </c>
      <c r="L41" s="375"/>
      <c r="M41" s="377"/>
      <c r="N41" s="388"/>
      <c r="O41" s="204" t="s">
        <v>20</v>
      </c>
      <c r="P41" s="199">
        <f t="shared" ref="P41:W41" ca="1" si="150">IF($B41,ROUND(P40*$N39,2),ROUND(SUMIF(OFFSET($B41,1,0,$D41),TRUE,OFFSET(P41,1,0,$D41))/SUMIF(OFFSET($B41,1,0,$D41),TRUE,OFFSET($K41,1,0,$D41))*$N39,2))</f>
        <v>0</v>
      </c>
      <c r="Q41" s="169">
        <f t="shared" ca="1" si="150"/>
        <v>0</v>
      </c>
      <c r="R41" s="169">
        <f t="shared" ca="1" si="150"/>
        <v>0</v>
      </c>
      <c r="S41" s="169">
        <f t="shared" ca="1" si="150"/>
        <v>0</v>
      </c>
      <c r="T41" s="169">
        <f t="shared" ca="1" si="150"/>
        <v>0</v>
      </c>
      <c r="U41" s="169">
        <f t="shared" ca="1" si="150"/>
        <v>0</v>
      </c>
      <c r="V41" s="169">
        <f t="shared" ca="1" si="150"/>
        <v>0</v>
      </c>
      <c r="W41" s="207">
        <f t="shared" ca="1" si="150"/>
        <v>0</v>
      </c>
      <c r="X41" s="196"/>
      <c r="AC41" s="169">
        <f t="shared" ref="AC41" ca="1" si="151">IF($B41,ROUND(AC40*$N39,2),ROUND(SUMIF(OFFSET($B41,1,0,$D41),TRUE,OFFSET(AC41,1,0,$D41))/SUMIF(OFFSET($B41,1,0,$D41),TRUE,OFFSET($K41,1,0,$D41))*$N39,2))</f>
        <v>0</v>
      </c>
    </row>
    <row r="42" spans="1:29" customFormat="1" ht="14.25" customHeight="1" x14ac:dyDescent="0.2">
      <c r="A42" s="82"/>
      <c r="B42" s="82"/>
      <c r="C42" s="82"/>
      <c r="D42" s="82"/>
      <c r="E42" s="82"/>
      <c r="F42" s="82"/>
      <c r="G42" s="82"/>
      <c r="H42" s="82"/>
      <c r="I42" s="82"/>
      <c r="J42" s="82"/>
      <c r="K42" s="82"/>
      <c r="L42" s="374" t="str">
        <f ca="1">INDEX(PO!K$12:K$77,MATCH($A44,PO!$V$12:$V$77,0))</f>
        <v>1.8.</v>
      </c>
      <c r="M42" s="376" t="str">
        <f ca="1">INDEX(PO!N$12:N$77,MATCH($A44,PO!$V$12:$V$77,0))</f>
        <v>ACESSIBILIDADE/CALÇADA EXTERNA</v>
      </c>
      <c r="N42" s="387">
        <f t="shared" ref="N42" ca="1" si="152">IF(ROUND(K44,2)=0,K44,ROUND(K44,2))</f>
        <v>9.9999999999999998E-13</v>
      </c>
      <c r="O42" s="220" t="s">
        <v>143</v>
      </c>
      <c r="P42" s="226">
        <f t="shared" ref="P42" ca="1" si="153">IF($B44,0,P43-IF(ISNUMBER(O43),O43,0))</f>
        <v>0</v>
      </c>
      <c r="Q42" s="227">
        <f t="shared" ref="Q42" ca="1" si="154">IF($B44,0,Q43-IF(ISNUMBER(P43),P43,0))</f>
        <v>0</v>
      </c>
      <c r="R42" s="227">
        <v>0.5</v>
      </c>
      <c r="S42" s="227">
        <v>0.5</v>
      </c>
      <c r="T42" s="227">
        <f t="shared" ref="T42" ca="1" si="155">IF($B44,0,T43-IF(ISNUMBER(S43),S43,0))</f>
        <v>0</v>
      </c>
      <c r="U42" s="227">
        <f t="shared" ref="U42" ca="1" si="156">IF($B44,0,U43-IF(ISNUMBER(T43),T43,0))</f>
        <v>0</v>
      </c>
      <c r="V42" s="227">
        <f t="shared" ref="V42" ca="1" si="157">IF($B44,0,V43-IF(ISNUMBER(U43),U43,0))</f>
        <v>0</v>
      </c>
      <c r="W42" s="228">
        <f t="shared" ref="W42" ca="1" si="158">IF($B44,0,W43-IF(ISNUMBER(V43),V43,0))</f>
        <v>0</v>
      </c>
      <c r="X42" s="196"/>
      <c r="AC42" s="221">
        <f t="shared" ref="AC42" ca="1" si="159">IF($B44,0,AC43-IF(ISNUMBER(AB43),AB43,0))</f>
        <v>0</v>
      </c>
    </row>
    <row r="43" spans="1:29" customFormat="1" ht="14.25" x14ac:dyDescent="0.2">
      <c r="A43" s="184"/>
      <c r="B43" s="184"/>
      <c r="C43" s="184"/>
      <c r="D43" s="184"/>
      <c r="E43" s="184"/>
      <c r="F43" s="184"/>
      <c r="G43" s="184"/>
      <c r="H43" s="184"/>
      <c r="I43" s="184"/>
      <c r="J43" s="184"/>
      <c r="K43" s="184"/>
      <c r="L43" s="375"/>
      <c r="M43" s="377"/>
      <c r="N43" s="388"/>
      <c r="O43" s="170" t="s">
        <v>145</v>
      </c>
      <c r="P43" s="198">
        <f t="shared" ref="P43" ca="1" si="160">MIN(IF($B44,P42+IF(ISNUMBER(O43),O43,0),P44/$N42),1)</f>
        <v>0</v>
      </c>
      <c r="Q43" s="168">
        <f t="shared" ref="Q43" ca="1" si="161">MIN(IF($B44,Q42+IF(ISNUMBER(P43),P43,0),Q44/$N42),1)</f>
        <v>0</v>
      </c>
      <c r="R43" s="168">
        <f t="shared" ref="R43" ca="1" si="162">MIN(IF($B44,R42+IF(ISNUMBER(Q43),Q43,0),R44/$N42),1)</f>
        <v>0.5</v>
      </c>
      <c r="S43" s="168">
        <f t="shared" ref="S43" ca="1" si="163">MIN(IF($B44,S42+IF(ISNUMBER(R43),R43,0),S44/$N42),1)</f>
        <v>1</v>
      </c>
      <c r="T43" s="168">
        <f t="shared" ref="T43" ca="1" si="164">MIN(IF($B44,T42+IF(ISNUMBER(S43),S43,0),T44/$N42),1)</f>
        <v>1</v>
      </c>
      <c r="U43" s="168">
        <f t="shared" ref="U43" ca="1" si="165">MIN(IF($B44,U42+IF(ISNUMBER(T43),T43,0),U44/$N42),1)</f>
        <v>1</v>
      </c>
      <c r="V43" s="168">
        <f t="shared" ref="V43" ca="1" si="166">MIN(IF($B44,V42+IF(ISNUMBER(U43),U43,0),V44/$N42),1)</f>
        <v>1</v>
      </c>
      <c r="W43" s="168">
        <f t="shared" ref="W43" ca="1" si="167">MIN(IF($B44,W42+IF(ISNUMBER(V43),V43,0),W44/$N42),1)</f>
        <v>1</v>
      </c>
      <c r="X43" s="196"/>
      <c r="AC43" s="168">
        <f t="shared" ref="AC43" ca="1" si="168">MIN(IF($B44,AC42+IF(ISNUMBER(AB43),AB43,0),AC44/$N42),1)</f>
        <v>0</v>
      </c>
    </row>
    <row r="44" spans="1:29" customFormat="1" ht="14.25" x14ac:dyDescent="0.2">
      <c r="A44" s="184">
        <f ca="1">OFFSET(A44,-CFF.NumLinha,0)+1</f>
        <v>9</v>
      </c>
      <c r="B44" s="184" t="b">
        <f ca="1">$C44&gt;=OFFSET($C44,CFF.NumLinha,0)</f>
        <v>1</v>
      </c>
      <c r="C44" s="184">
        <f ca="1">INDEX(PO!A$12:A$77,MATCH($A44,PO!$V$12:$V$77,0))</f>
        <v>2</v>
      </c>
      <c r="D44" s="184">
        <f t="shared" ref="D44" ca="1" si="169">IF(ISERROR(J44),I44,SMALL(I44:J44,1))-1</f>
        <v>0</v>
      </c>
      <c r="E44" s="184">
        <f ca="1">IF($C44=1,OFFSET(E44,-CFF.NumLinha,0)+1,OFFSET(E44,-CFF.NumLinha,0))</f>
        <v>1</v>
      </c>
      <c r="F44" s="184">
        <f ca="1">IF($C44=1,0,IF($C44=2,OFFSET(F44,-CFF.NumLinha,0)+1,OFFSET(F44,-CFF.NumLinha,0)))</f>
        <v>8</v>
      </c>
      <c r="G44" s="184">
        <f ca="1">IF(AND($C44&lt;=2,$C44&lt;&gt;0),0,IF($C44=3,OFFSET(G44,-CFF.NumLinha,0)+1,OFFSET(G44,-CFF.NumLinha,0)))</f>
        <v>0</v>
      </c>
      <c r="H44" s="184">
        <f ca="1">IF(AND($C44&lt;=3,$C44&lt;&gt;0),0,IF($C44=4,OFFSET(H44,-CFF.NumLinha,0)+1,OFFSET(H44,-CFF.NumLinha,0)))</f>
        <v>0</v>
      </c>
      <c r="I44" s="184">
        <f ca="1">MATCH(0,OFFSET($D44,1,$C44,ROW($A$45)-ROW($A44)),0)</f>
        <v>1</v>
      </c>
      <c r="J44" s="184" t="e">
        <f ca="1">MATCH(OFFSET($D44,0,$C44)+1,OFFSET($D44,1,$C44,ROW($A$45)-ROW($A44)),0)</f>
        <v>#N/A</v>
      </c>
      <c r="K44" s="185">
        <f ca="1">ROUND(INDEX(PO!T$12:T$77,MATCH($A44,PO!$V$12:$V$77,0)),2)+10^-12</f>
        <v>9.9999999999999998E-13</v>
      </c>
      <c r="L44" s="375"/>
      <c r="M44" s="377"/>
      <c r="N44" s="388"/>
      <c r="O44" s="204" t="s">
        <v>20</v>
      </c>
      <c r="P44" s="199">
        <f t="shared" ref="P44:W44" ca="1" si="170">IF($B44,ROUND(P43*$N42,2),ROUND(SUMIF(OFFSET($B44,1,0,$D44),TRUE,OFFSET(P44,1,0,$D44))/SUMIF(OFFSET($B44,1,0,$D44),TRUE,OFFSET($K44,1,0,$D44))*$N42,2))</f>
        <v>0</v>
      </c>
      <c r="Q44" s="169">
        <f t="shared" ca="1" si="170"/>
        <v>0</v>
      </c>
      <c r="R44" s="169">
        <f t="shared" ca="1" si="170"/>
        <v>0</v>
      </c>
      <c r="S44" s="169">
        <f t="shared" ca="1" si="170"/>
        <v>0</v>
      </c>
      <c r="T44" s="169">
        <f t="shared" ca="1" si="170"/>
        <v>0</v>
      </c>
      <c r="U44" s="169">
        <f t="shared" ca="1" si="170"/>
        <v>0</v>
      </c>
      <c r="V44" s="169">
        <f t="shared" ca="1" si="170"/>
        <v>0</v>
      </c>
      <c r="W44" s="207">
        <f t="shared" ca="1" si="170"/>
        <v>0</v>
      </c>
      <c r="X44" s="196"/>
      <c r="AC44" s="169">
        <f t="shared" ref="AC44" ca="1" si="171">IF($B44,ROUND(AC43*$N42,2),ROUND(SUMIF(OFFSET($B44,1,0,$D44),TRUE,OFFSET(AC44,1,0,$D44))/SUMIF(OFFSET($B44,1,0,$D44),TRUE,OFFSET($K44,1,0,$D44))*$N42,2))</f>
        <v>0</v>
      </c>
    </row>
    <row r="45" spans="1:29" s="45" customFormat="1" ht="12.75" customHeight="1" x14ac:dyDescent="0.2">
      <c r="A45" s="1"/>
      <c r="B45" s="1"/>
      <c r="C45" s="184">
        <v>-1</v>
      </c>
      <c r="D45" s="184"/>
      <c r="E45" s="184">
        <v>0</v>
      </c>
      <c r="F45" s="184">
        <v>0</v>
      </c>
      <c r="G45" s="184">
        <v>0</v>
      </c>
      <c r="H45" s="184">
        <v>0</v>
      </c>
      <c r="I45" s="1"/>
      <c r="J45" s="1"/>
      <c r="K45" s="1"/>
      <c r="L45" s="154"/>
      <c r="M45" s="154"/>
      <c r="N45" s="155"/>
      <c r="O45" s="154"/>
      <c r="P45" s="154"/>
      <c r="Q45" s="155"/>
      <c r="R45" s="154"/>
      <c r="S45" s="154"/>
      <c r="T45" s="154"/>
      <c r="U45" s="154"/>
      <c r="V45" s="154"/>
      <c r="W45" s="154"/>
      <c r="X45" s="186"/>
      <c r="AC45" s="154"/>
    </row>
    <row r="46" spans="1:29" ht="12" customHeight="1" x14ac:dyDescent="0.2">
      <c r="A46" s="1"/>
      <c r="B46" s="1"/>
      <c r="C46" s="1"/>
      <c r="D46" s="1"/>
      <c r="E46" s="1"/>
      <c r="F46" s="1"/>
      <c r="G46" s="1"/>
      <c r="H46" s="1"/>
      <c r="I46" s="1"/>
      <c r="J46" s="1"/>
      <c r="K46" s="1"/>
      <c r="L46" s="187"/>
      <c r="M46" s="187"/>
      <c r="N46" s="187"/>
      <c r="O46" s="187"/>
      <c r="P46" s="187"/>
      <c r="Q46" s="187"/>
      <c r="R46" s="187"/>
      <c r="S46" s="187"/>
      <c r="T46" s="187"/>
      <c r="U46" s="187"/>
      <c r="V46" s="187"/>
      <c r="W46" s="187"/>
      <c r="X46" s="188"/>
      <c r="AC46" s="187"/>
    </row>
    <row r="47" spans="1:29" x14ac:dyDescent="0.2">
      <c r="A47" s="1"/>
      <c r="B47" s="1"/>
      <c r="C47" s="1"/>
      <c r="D47" s="1"/>
      <c r="E47" s="1"/>
      <c r="F47" s="1"/>
      <c r="G47" s="1"/>
      <c r="H47" s="1"/>
      <c r="I47" s="1"/>
      <c r="J47" s="1"/>
      <c r="K47" s="1"/>
      <c r="L47" s="393">
        <f>DADOS!I32</f>
        <v>0</v>
      </c>
      <c r="M47" s="393"/>
      <c r="N47" s="393"/>
      <c r="O47" s="187"/>
      <c r="P47" s="189"/>
      <c r="Q47" s="390"/>
      <c r="R47" s="390"/>
      <c r="S47" s="390"/>
      <c r="T47" s="187"/>
      <c r="U47" s="187"/>
      <c r="V47" s="187"/>
      <c r="W47" s="187"/>
      <c r="X47" s="188"/>
      <c r="AC47" s="187"/>
    </row>
    <row r="48" spans="1:29" x14ac:dyDescent="0.2">
      <c r="A48" s="1"/>
      <c r="B48" s="1"/>
      <c r="C48" s="1"/>
      <c r="D48" s="1"/>
      <c r="E48" s="1"/>
      <c r="F48" s="1"/>
      <c r="G48" s="1"/>
      <c r="H48" s="1"/>
      <c r="I48" s="1"/>
      <c r="J48" s="1"/>
      <c r="K48" s="1"/>
      <c r="L48" s="190" t="s">
        <v>120</v>
      </c>
      <c r="M48" s="392"/>
      <c r="N48" s="392"/>
      <c r="O48" s="187"/>
      <c r="P48" s="189"/>
      <c r="Q48" s="390"/>
      <c r="R48" s="390"/>
      <c r="S48" s="390"/>
      <c r="T48" s="187"/>
      <c r="U48" s="187"/>
      <c r="V48" s="187"/>
      <c r="W48" s="187"/>
      <c r="X48" s="188"/>
      <c r="AC48" s="187"/>
    </row>
    <row r="49" spans="1:29" x14ac:dyDescent="0.2">
      <c r="A49" s="1"/>
      <c r="B49" s="1"/>
      <c r="C49" s="1"/>
      <c r="D49" s="1"/>
      <c r="E49" s="1"/>
      <c r="F49" s="1"/>
      <c r="G49" s="1"/>
      <c r="H49" s="1"/>
      <c r="I49" s="1"/>
      <c r="J49" s="1"/>
      <c r="K49" s="1"/>
      <c r="L49" s="189"/>
      <c r="M49" s="391"/>
      <c r="N49" s="392"/>
      <c r="O49" s="187"/>
      <c r="P49" s="189"/>
      <c r="Q49" s="390"/>
      <c r="R49" s="390"/>
      <c r="S49" s="390"/>
      <c r="T49" s="187"/>
      <c r="U49" s="187"/>
      <c r="V49" s="187"/>
      <c r="W49" s="187"/>
      <c r="X49" s="188"/>
      <c r="AC49" s="187"/>
    </row>
    <row r="50" spans="1:29" x14ac:dyDescent="0.2">
      <c r="A50" s="1"/>
      <c r="B50" s="1"/>
      <c r="C50" s="1"/>
      <c r="D50" s="1"/>
      <c r="E50" s="1"/>
      <c r="F50" s="1"/>
      <c r="G50" s="1"/>
      <c r="H50" s="1"/>
      <c r="I50" s="1"/>
      <c r="J50" s="1"/>
      <c r="K50" s="1"/>
      <c r="L50" s="373">
        <f ca="1">PO!K91</f>
        <v>45457</v>
      </c>
      <c r="M50" s="373"/>
      <c r="N50" s="373"/>
      <c r="O50" s="187"/>
      <c r="P50" s="187"/>
      <c r="Q50" s="187"/>
      <c r="R50" s="187"/>
      <c r="S50" s="187"/>
      <c r="T50" s="187"/>
      <c r="U50" s="187"/>
      <c r="V50" s="187"/>
      <c r="W50" s="187"/>
      <c r="X50" s="191"/>
      <c r="AC50" s="187"/>
    </row>
    <row r="51" spans="1:29" x14ac:dyDescent="0.2">
      <c r="A51" s="1"/>
      <c r="B51" s="1"/>
      <c r="C51" s="1"/>
      <c r="D51" s="1"/>
      <c r="E51" s="1"/>
      <c r="F51" s="1"/>
      <c r="G51" s="1"/>
      <c r="H51" s="1"/>
      <c r="I51" s="1"/>
      <c r="J51" s="1"/>
      <c r="K51" s="1"/>
      <c r="L51" s="192" t="s">
        <v>121</v>
      </c>
      <c r="M51" s="193"/>
      <c r="N51" s="193"/>
      <c r="O51" s="187"/>
      <c r="P51" s="187"/>
      <c r="Q51" s="187"/>
      <c r="R51" s="187"/>
      <c r="S51" s="187"/>
      <c r="T51" s="187"/>
      <c r="U51" s="187"/>
      <c r="V51" s="187"/>
      <c r="W51" s="187"/>
      <c r="X51" s="191"/>
      <c r="AC51" s="187"/>
    </row>
    <row r="52" spans="1:29" x14ac:dyDescent="0.2">
      <c r="A52" s="1"/>
      <c r="B52" s="1"/>
      <c r="C52" s="1"/>
      <c r="D52" s="1"/>
      <c r="E52" s="1"/>
      <c r="F52" s="1"/>
      <c r="G52" s="1"/>
      <c r="H52" s="1"/>
      <c r="I52" s="1"/>
      <c r="J52" s="1"/>
      <c r="K52" s="1"/>
      <c r="L52" s="187"/>
      <c r="M52" s="187"/>
      <c r="N52" s="187"/>
      <c r="O52" s="187"/>
      <c r="P52" s="187"/>
      <c r="Q52" s="187"/>
      <c r="R52" s="187"/>
      <c r="S52" s="187"/>
      <c r="T52" s="187"/>
      <c r="U52" s="187"/>
      <c r="V52" s="187"/>
      <c r="W52" s="187"/>
      <c r="X52" s="191"/>
      <c r="AC52" s="187"/>
    </row>
    <row r="53" spans="1:29" x14ac:dyDescent="0.2">
      <c r="A53" s="1"/>
      <c r="B53" s="1"/>
      <c r="C53" s="1"/>
      <c r="D53" s="1"/>
      <c r="E53" s="1"/>
      <c r="F53" s="1"/>
      <c r="G53" s="1"/>
      <c r="H53" s="1"/>
      <c r="I53" s="1"/>
      <c r="J53" s="1"/>
      <c r="K53" s="1"/>
      <c r="L53" s="187"/>
      <c r="M53" s="187"/>
      <c r="N53" s="194"/>
      <c r="O53" s="187"/>
      <c r="P53" s="187"/>
      <c r="Q53" s="187"/>
      <c r="R53" s="187"/>
      <c r="S53" s="187"/>
      <c r="T53" s="187"/>
      <c r="U53" s="187"/>
      <c r="V53" s="187"/>
      <c r="W53" s="187"/>
      <c r="X53" s="188"/>
      <c r="AC53" s="187"/>
    </row>
    <row r="54" spans="1:29" x14ac:dyDescent="0.2">
      <c r="A54" s="1"/>
      <c r="B54" s="1"/>
      <c r="C54" s="1"/>
      <c r="D54" s="1"/>
      <c r="E54" s="1"/>
      <c r="F54" s="1"/>
      <c r="G54" s="1"/>
      <c r="H54" s="1"/>
      <c r="I54" s="1"/>
      <c r="J54" s="1"/>
      <c r="K54" s="1"/>
      <c r="L54" s="187"/>
      <c r="M54" s="187"/>
      <c r="N54" s="194"/>
      <c r="O54" s="187"/>
      <c r="P54" s="187"/>
      <c r="Q54" s="187"/>
      <c r="R54" s="187"/>
      <c r="S54" s="187"/>
      <c r="T54" s="187"/>
      <c r="U54" s="187"/>
      <c r="V54" s="187"/>
      <c r="W54" s="187"/>
      <c r="X54" s="188"/>
      <c r="AC54" s="187"/>
    </row>
    <row r="55" spans="1:29" x14ac:dyDescent="0.2">
      <c r="A55" s="1"/>
      <c r="B55" s="1"/>
      <c r="C55" s="1"/>
      <c r="D55" s="1"/>
      <c r="E55" s="1"/>
      <c r="F55" s="1"/>
      <c r="G55" s="1"/>
      <c r="H55" s="1"/>
      <c r="I55" s="1"/>
      <c r="J55" s="1"/>
      <c r="K55" s="1"/>
      <c r="L55" s="82"/>
      <c r="M55" s="82"/>
      <c r="N55" s="7"/>
      <c r="O55" s="82"/>
      <c r="P55" s="82"/>
      <c r="Q55" s="82"/>
      <c r="R55" s="82"/>
      <c r="S55" s="82"/>
      <c r="T55" s="82"/>
      <c r="U55" s="82"/>
      <c r="V55" s="82"/>
      <c r="W55" s="187"/>
      <c r="X55" s="188"/>
      <c r="AC55" s="82"/>
    </row>
  </sheetData>
  <sheetProtection algorithmName="SHA-512" hashValue="ACxWWgz4nZPYrOvmp2Emw04we6PPaxF7ssAeVziU8HO/yO3mTGxkRYA4zXR1Yp0H3ejyfm89Swg6/bf43PMLRQ==" saltValue="A20hWvnGPA90YggwHMV9MQ==" spinCount="100000" sheet="1" objects="1" scenarios="1"/>
  <mergeCells count="40">
    <mergeCell ref="L42:L44"/>
    <mergeCell ref="M42:M44"/>
    <mergeCell ref="N42:N44"/>
    <mergeCell ref="M36:M38"/>
    <mergeCell ref="N36:N38"/>
    <mergeCell ref="L39:L41"/>
    <mergeCell ref="M39:M41"/>
    <mergeCell ref="N39:N41"/>
    <mergeCell ref="L8:M8"/>
    <mergeCell ref="N11:N13"/>
    <mergeCell ref="M18:M20"/>
    <mergeCell ref="N18:N20"/>
    <mergeCell ref="Q49:S49"/>
    <mergeCell ref="M49:N49"/>
    <mergeCell ref="Q48:S48"/>
    <mergeCell ref="Q47:S47"/>
    <mergeCell ref="L47:N47"/>
    <mergeCell ref="M48:N48"/>
    <mergeCell ref="L21:L23"/>
    <mergeCell ref="M21:M23"/>
    <mergeCell ref="N21:N23"/>
    <mergeCell ref="L24:L26"/>
    <mergeCell ref="M24:M26"/>
    <mergeCell ref="N24:N26"/>
    <mergeCell ref="L50:N50"/>
    <mergeCell ref="L11:L13"/>
    <mergeCell ref="M11:M13"/>
    <mergeCell ref="L14:M17"/>
    <mergeCell ref="N14:N17"/>
    <mergeCell ref="L18:L20"/>
    <mergeCell ref="L27:L29"/>
    <mergeCell ref="M27:M29"/>
    <mergeCell ref="N27:N29"/>
    <mergeCell ref="L30:L32"/>
    <mergeCell ref="M30:M32"/>
    <mergeCell ref="N30:N32"/>
    <mergeCell ref="L33:L35"/>
    <mergeCell ref="M33:M35"/>
    <mergeCell ref="N33:N35"/>
    <mergeCell ref="L36:L38"/>
  </mergeCells>
  <phoneticPr fontId="20" type="noConversion"/>
  <conditionalFormatting sqref="L11:N11 L12:M13 L18:N18">
    <cfRule type="expression" dxfId="83" priority="1245" stopIfTrue="1">
      <formula>$C13=1</formula>
    </cfRule>
  </conditionalFormatting>
  <conditionalFormatting sqref="O11 O18">
    <cfRule type="expression" dxfId="82" priority="1317" stopIfTrue="1">
      <formula>$B13=FALSE</formula>
    </cfRule>
    <cfRule type="expression" dxfId="81" priority="1318" stopIfTrue="1">
      <formula>$C13=1</formula>
    </cfRule>
  </conditionalFormatting>
  <conditionalFormatting sqref="P12:W12">
    <cfRule type="expression" dxfId="80" priority="1307" stopIfTrue="1">
      <formula>AND(ISNUMBER(O13),O13&gt;=$N11)</formula>
    </cfRule>
    <cfRule type="cellIs" dxfId="79" priority="1308" stopIfTrue="1" operator="notBetween">
      <formula>0</formula>
      <formula>1</formula>
    </cfRule>
  </conditionalFormatting>
  <conditionalFormatting sqref="P13:W13">
    <cfRule type="expression" dxfId="78" priority="1309" stopIfTrue="1">
      <formula>AND(ISNUMBER(O13),O13&gt;=$N11)</formula>
    </cfRule>
    <cfRule type="cellIs" dxfId="77" priority="1310" stopIfTrue="1" operator="notBetween">
      <formula>0</formula>
      <formula>$N11</formula>
    </cfRule>
  </conditionalFormatting>
  <conditionalFormatting sqref="P14:W14">
    <cfRule type="expression" dxfId="76" priority="1311" stopIfTrue="1">
      <formula>AND(ISNUMBER(O17),O17&gt;=$N14)</formula>
    </cfRule>
  </conditionalFormatting>
  <conditionalFormatting sqref="P15:W15">
    <cfRule type="expression" dxfId="75" priority="1312" stopIfTrue="1">
      <formula>AND(ISNUMBER(O17),O17&gt;=$N14)</formula>
    </cfRule>
  </conditionalFormatting>
  <conditionalFormatting sqref="P16:W16">
    <cfRule type="expression" dxfId="74" priority="1313" stopIfTrue="1">
      <formula>AND(ISNUMBER(O17),O17&gt;=$N14)</formula>
    </cfRule>
    <cfRule type="cellIs" dxfId="73" priority="1314" stopIfTrue="1" operator="notBetween">
      <formula>0</formula>
      <formula>1</formula>
    </cfRule>
  </conditionalFormatting>
  <conditionalFormatting sqref="P17:W17">
    <cfRule type="expression" dxfId="72" priority="1315" stopIfTrue="1">
      <formula>AND(ISNUMBER(O17),O17&gt;=$N14)</formula>
    </cfRule>
    <cfRule type="cellIs" dxfId="71" priority="1316" stopIfTrue="1" operator="notBetween">
      <formula>0</formula>
      <formula>$N14</formula>
    </cfRule>
  </conditionalFormatting>
  <conditionalFormatting sqref="L8">
    <cfRule type="cellIs" dxfId="70" priority="1302" stopIfTrue="1" operator="notEqual">
      <formula>""</formula>
    </cfRule>
  </conditionalFormatting>
  <conditionalFormatting sqref="N9">
    <cfRule type="expression" dxfId="69" priority="1301" stopIfTrue="1">
      <formula>TipoOrçamento&lt;&gt;"REPROGRAMADOAC"</formula>
    </cfRule>
  </conditionalFormatting>
  <conditionalFormatting sqref="L19:M20">
    <cfRule type="expression" dxfId="68" priority="2136" stopIfTrue="1">
      <formula>#REF!=1</formula>
    </cfRule>
  </conditionalFormatting>
  <conditionalFormatting sqref="P11:W11">
    <cfRule type="expression" dxfId="67" priority="456" stopIfTrue="1">
      <formula>AND(ISNUMBER(O13),O13&gt;=$N11)</formula>
    </cfRule>
    <cfRule type="expression" dxfId="66" priority="457" stopIfTrue="1">
      <formula>$B13=FALSE</formula>
    </cfRule>
    <cfRule type="expression" dxfId="65" priority="458" stopIfTrue="1">
      <formula>$C13=1</formula>
    </cfRule>
  </conditionalFormatting>
  <conditionalFormatting sqref="P19:W19">
    <cfRule type="expression" dxfId="64" priority="407" stopIfTrue="1">
      <formula>AND(ISNUMBER(O20),O20&gt;=$N18)</formula>
    </cfRule>
    <cfRule type="cellIs" dxfId="63" priority="408" stopIfTrue="1" operator="notBetween">
      <formula>0</formula>
      <formula>1</formula>
    </cfRule>
  </conditionalFormatting>
  <conditionalFormatting sqref="P20:W20">
    <cfRule type="expression" dxfId="62" priority="409" stopIfTrue="1">
      <formula>AND(ISNUMBER(O20),O20&gt;=$N18)</formula>
    </cfRule>
    <cfRule type="cellIs" dxfId="61" priority="410" stopIfTrue="1" operator="notBetween">
      <formula>0</formula>
      <formula>$N18</formula>
    </cfRule>
  </conditionalFormatting>
  <conditionalFormatting sqref="O10:W10">
    <cfRule type="expression" dxfId="60" priority="379" stopIfTrue="1">
      <formula>1=1</formula>
    </cfRule>
  </conditionalFormatting>
  <conditionalFormatting sqref="P18:W18">
    <cfRule type="expression" dxfId="59" priority="334" stopIfTrue="1">
      <formula>AND(ISNUMBER(O20),O20&gt;=$N18)</formula>
    </cfRule>
    <cfRule type="expression" dxfId="58" priority="335" stopIfTrue="1">
      <formula>$B20=FALSE</formula>
    </cfRule>
    <cfRule type="expression" dxfId="57" priority="336" stopIfTrue="1">
      <formula>$C20=1</formula>
    </cfRule>
  </conditionalFormatting>
  <conditionalFormatting sqref="AC18">
    <cfRule type="expression" dxfId="56" priority="254" stopIfTrue="1">
      <formula>AND(ISNUMBER(AB20),AB20&gt;=$N18)</formula>
    </cfRule>
    <cfRule type="expression" dxfId="55" priority="255" stopIfTrue="1">
      <formula>$B20=FALSE</formula>
    </cfRule>
    <cfRule type="expression" dxfId="54" priority="256" stopIfTrue="1">
      <formula>$C20=1</formula>
    </cfRule>
  </conditionalFormatting>
  <conditionalFormatting sqref="AC12">
    <cfRule type="expression" dxfId="53" priority="269" stopIfTrue="1">
      <formula>AND(ISNUMBER(AB13),AB13&gt;=$N11)</formula>
    </cfRule>
    <cfRule type="cellIs" dxfId="52" priority="270" stopIfTrue="1" operator="notBetween">
      <formula>0</formula>
      <formula>1</formula>
    </cfRule>
  </conditionalFormatting>
  <conditionalFormatting sqref="AC13">
    <cfRule type="expression" dxfId="51" priority="271" stopIfTrue="1">
      <formula>AND(ISNUMBER(AB13),AB13&gt;=$N11)</formula>
    </cfRule>
    <cfRule type="cellIs" dxfId="50" priority="272" stopIfTrue="1" operator="notBetween">
      <formula>0</formula>
      <formula>$N11</formula>
    </cfRule>
  </conditionalFormatting>
  <conditionalFormatting sqref="AC14">
    <cfRule type="expression" dxfId="49" priority="273" stopIfTrue="1">
      <formula>AND(ISNUMBER(AB17),AB17&gt;=$N14)</formula>
    </cfRule>
  </conditionalFormatting>
  <conditionalFormatting sqref="AC15">
    <cfRule type="expression" dxfId="48" priority="274" stopIfTrue="1">
      <formula>AND(ISNUMBER(AB17),AB17&gt;=$N14)</formula>
    </cfRule>
  </conditionalFormatting>
  <conditionalFormatting sqref="AC16">
    <cfRule type="expression" dxfId="47" priority="275" stopIfTrue="1">
      <formula>AND(ISNUMBER(AB17),AB17&gt;=$N14)</formula>
    </cfRule>
    <cfRule type="cellIs" dxfId="46" priority="276" stopIfTrue="1" operator="notBetween">
      <formula>0</formula>
      <formula>1</formula>
    </cfRule>
  </conditionalFormatting>
  <conditionalFormatting sqref="AC17">
    <cfRule type="expression" dxfId="45" priority="277" stopIfTrue="1">
      <formula>AND(ISNUMBER(AB17),AB17&gt;=$N14)</formula>
    </cfRule>
    <cfRule type="cellIs" dxfId="44" priority="278" stopIfTrue="1" operator="notBetween">
      <formula>0</formula>
      <formula>$N14</formula>
    </cfRule>
  </conditionalFormatting>
  <conditionalFormatting sqref="AC11">
    <cfRule type="expression" dxfId="43" priority="266" stopIfTrue="1">
      <formula>AND(ISNUMBER(AB13),AB13&gt;=$N11)</formula>
    </cfRule>
    <cfRule type="expression" dxfId="42" priority="267" stopIfTrue="1">
      <formula>$B13=FALSE</formula>
    </cfRule>
    <cfRule type="expression" dxfId="41" priority="268" stopIfTrue="1">
      <formula>$C13=1</formula>
    </cfRule>
  </conditionalFormatting>
  <conditionalFormatting sqref="AC19">
    <cfRule type="expression" dxfId="40" priority="262" stopIfTrue="1">
      <formula>AND(ISNUMBER(AB20),AB20&gt;=$N18)</formula>
    </cfRule>
    <cfRule type="cellIs" dxfId="39" priority="263" stopIfTrue="1" operator="notBetween">
      <formula>0</formula>
      <formula>1</formula>
    </cfRule>
  </conditionalFormatting>
  <conditionalFormatting sqref="AC20">
    <cfRule type="expression" dxfId="38" priority="264" stopIfTrue="1">
      <formula>AND(ISNUMBER(AB20),AB20&gt;=$N18)</formula>
    </cfRule>
    <cfRule type="cellIs" dxfId="37" priority="265" stopIfTrue="1" operator="notBetween">
      <formula>0</formula>
      <formula>$N18</formula>
    </cfRule>
  </conditionalFormatting>
  <conditionalFormatting sqref="AC10">
    <cfRule type="expression" dxfId="36" priority="257" stopIfTrue="1">
      <formula>1=1</formula>
    </cfRule>
  </conditionalFormatting>
  <conditionalFormatting sqref="L21:N21">
    <cfRule type="expression" dxfId="35" priority="28" stopIfTrue="1">
      <formula>$C23=1</formula>
    </cfRule>
  </conditionalFormatting>
  <conditionalFormatting sqref="O21">
    <cfRule type="expression" dxfId="34" priority="33" stopIfTrue="1">
      <formula>$B23=FALSE</formula>
    </cfRule>
    <cfRule type="expression" dxfId="33" priority="34" stopIfTrue="1">
      <formula>$C23=1</formula>
    </cfRule>
  </conditionalFormatting>
  <conditionalFormatting sqref="P22:W22">
    <cfRule type="expression" dxfId="32" priority="29" stopIfTrue="1">
      <formula>AND(ISNUMBER(O23),O23&gt;=$N21)</formula>
    </cfRule>
    <cfRule type="cellIs" dxfId="31" priority="30" stopIfTrue="1" operator="notBetween">
      <formula>0</formula>
      <formula>1</formula>
    </cfRule>
  </conditionalFormatting>
  <conditionalFormatting sqref="P23:W23">
    <cfRule type="expression" dxfId="30" priority="31" stopIfTrue="1">
      <formula>AND(ISNUMBER(O23),O23&gt;=$N21)</formula>
    </cfRule>
    <cfRule type="cellIs" dxfId="29" priority="32" stopIfTrue="1" operator="notBetween">
      <formula>0</formula>
      <formula>$N21</formula>
    </cfRule>
  </conditionalFormatting>
  <conditionalFormatting sqref="P21:W21">
    <cfRule type="expression" dxfId="28" priority="25" stopIfTrue="1">
      <formula>AND(ISNUMBER(O23),O23&gt;=$N21)</formula>
    </cfRule>
    <cfRule type="expression" dxfId="27" priority="26" stopIfTrue="1">
      <formula>$B23=FALSE</formula>
    </cfRule>
    <cfRule type="expression" dxfId="26" priority="27" stopIfTrue="1">
      <formula>$C23=1</formula>
    </cfRule>
  </conditionalFormatting>
  <conditionalFormatting sqref="AC22">
    <cfRule type="expression" dxfId="25" priority="21" stopIfTrue="1">
      <formula>AND(ISNUMBER(AB23),AB23&gt;=$N21)</formula>
    </cfRule>
    <cfRule type="cellIs" dxfId="24" priority="22" stopIfTrue="1" operator="notBetween">
      <formula>0</formula>
      <formula>1</formula>
    </cfRule>
  </conditionalFormatting>
  <conditionalFormatting sqref="AC23">
    <cfRule type="expression" dxfId="23" priority="23" stopIfTrue="1">
      <formula>AND(ISNUMBER(AB23),AB23&gt;=$N21)</formula>
    </cfRule>
    <cfRule type="cellIs" dxfId="22" priority="24" stopIfTrue="1" operator="notBetween">
      <formula>0</formula>
      <formula>$N21</formula>
    </cfRule>
  </conditionalFormatting>
  <conditionalFormatting sqref="AC21">
    <cfRule type="expression" dxfId="21" priority="18" stopIfTrue="1">
      <formula>AND(ISNUMBER(AB23),AB23&gt;=$N21)</formula>
    </cfRule>
    <cfRule type="expression" dxfId="20" priority="19" stopIfTrue="1">
      <formula>$B23=FALSE</formula>
    </cfRule>
    <cfRule type="expression" dxfId="19" priority="20" stopIfTrue="1">
      <formula>$C23=1</formula>
    </cfRule>
  </conditionalFormatting>
  <conditionalFormatting sqref="L22:M23">
    <cfRule type="expression" dxfId="18" priority="2171" stopIfTrue="1">
      <formula>#REF!=1</formula>
    </cfRule>
  </conditionalFormatting>
  <conditionalFormatting sqref="L24:N24 L27:N27 L30:N30 L33:N33 L36:N36 L39:N39 L42:N42 L25:M26 L28:M29 L31:M32 L34:M35 L37:M38 L40:M41">
    <cfRule type="expression" dxfId="17" priority="11" stopIfTrue="1">
      <formula>$C26=1</formula>
    </cfRule>
  </conditionalFormatting>
  <conditionalFormatting sqref="O24 O27 O30 O33 O36 O39 O42">
    <cfRule type="expression" dxfId="16" priority="16" stopIfTrue="1">
      <formula>$B26=FALSE</formula>
    </cfRule>
    <cfRule type="expression" dxfId="15" priority="17" stopIfTrue="1">
      <formula>$C26=1</formula>
    </cfRule>
  </conditionalFormatting>
  <conditionalFormatting sqref="P25:W25 P28:W28 P31:W31 P34:W34 P37:W37 P40:W40 P43:W43">
    <cfRule type="expression" dxfId="14" priority="12" stopIfTrue="1">
      <formula>AND(ISNUMBER(O26),O26&gt;=$N24)</formula>
    </cfRule>
    <cfRule type="cellIs" dxfId="13" priority="13" stopIfTrue="1" operator="notBetween">
      <formula>0</formula>
      <formula>1</formula>
    </cfRule>
  </conditionalFormatting>
  <conditionalFormatting sqref="P26:W26 P29:W29 P32:W32 P35:W35 P38:W38 P41:W41 P44:W44">
    <cfRule type="expression" dxfId="12" priority="14" stopIfTrue="1">
      <formula>AND(ISNUMBER(O26),O26&gt;=$N24)</formula>
    </cfRule>
    <cfRule type="cellIs" dxfId="11" priority="15" stopIfTrue="1" operator="notBetween">
      <formula>0</formula>
      <formula>$N24</formula>
    </cfRule>
  </conditionalFormatting>
  <conditionalFormatting sqref="P24:W24 P27:W27 P30:W30 P33:W33 P36:W36 P39:W39 P42:W42">
    <cfRule type="expression" dxfId="10" priority="8" stopIfTrue="1">
      <formula>AND(ISNUMBER(O26),O26&gt;=$N24)</formula>
    </cfRule>
    <cfRule type="expression" dxfId="9" priority="9" stopIfTrue="1">
      <formula>$B26=FALSE</formula>
    </cfRule>
    <cfRule type="expression" dxfId="8" priority="10" stopIfTrue="1">
      <formula>$C26=1</formula>
    </cfRule>
  </conditionalFormatting>
  <conditionalFormatting sqref="AC25 AC28 AC31 AC34 AC37 AC40 AC43">
    <cfRule type="expression" dxfId="7" priority="4" stopIfTrue="1">
      <formula>AND(ISNUMBER(AB26),AB26&gt;=$N24)</formula>
    </cfRule>
    <cfRule type="cellIs" dxfId="6" priority="5" stopIfTrue="1" operator="notBetween">
      <formula>0</formula>
      <formula>1</formula>
    </cfRule>
  </conditionalFormatting>
  <conditionalFormatting sqref="AC26 AC29 AC32 AC35 AC38 AC41 AC44">
    <cfRule type="expression" dxfId="5" priority="6" stopIfTrue="1">
      <formula>AND(ISNUMBER(AB26),AB26&gt;=$N24)</formula>
    </cfRule>
    <cfRule type="cellIs" dxfId="4" priority="7" stopIfTrue="1" operator="notBetween">
      <formula>0</formula>
      <formula>$N24</formula>
    </cfRule>
  </conditionalFormatting>
  <conditionalFormatting sqref="AC24 AC27 AC30 AC33 AC36 AC39 AC42">
    <cfRule type="expression" dxfId="3" priority="1" stopIfTrue="1">
      <formula>AND(ISNUMBER(AB26),AB26&gt;=$N24)</formula>
    </cfRule>
    <cfRule type="expression" dxfId="2" priority="2" stopIfTrue="1">
      <formula>$B26=FALSE</formula>
    </cfRule>
    <cfRule type="expression" dxfId="1" priority="3" stopIfTrue="1">
      <formula>$C26=1</formula>
    </cfRule>
  </conditionalFormatting>
  <conditionalFormatting sqref="L43:M44">
    <cfRule type="expression" dxfId="0" priority="2685" stopIfTrue="1">
      <formula>#REF!=1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1:W11 P18:W18 AC11 AC18 P21:W21 AC21 P24:W24 P27:W27 P30:W30 P33:W33 P36:W36 P39:W39 P42:W42 AC24 AC27 AC30 AC33 AC36 AC39 AC42">
      <formula1>0</formula1>
      <formula2>1-SUM($P11:P11)+P11</formula2>
    </dataValidation>
  </dataValidations>
  <printOptions horizontalCentered="1"/>
  <pageMargins left="0.78740157480314965" right="0.78740157480314965" top="0.48" bottom="0.55000000000000004" header="0.28999999999999998" footer="0.33"/>
  <pageSetup paperSize="9" scale="62" fitToWidth="0" fitToHeight="0" orientation="landscape" r:id="rId1"/>
  <headerFooter alignWithMargins="0">
    <oddHeader>&amp;C&amp;14I</oddHeader>
    <oddFooter>&amp;R&amp;P&amp;L27.476 v007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62</vt:i4>
      </vt:variant>
    </vt:vector>
  </HeadingPairs>
  <TitlesOfParts>
    <vt:vector size="68" baseType="lpstr">
      <vt:lpstr>DADOS</vt:lpstr>
      <vt:lpstr>BDI (1)</vt:lpstr>
      <vt:lpstr>BDI (2)</vt:lpstr>
      <vt:lpstr>PO</vt:lpstr>
      <vt:lpstr>PLQ</vt:lpstr>
      <vt:lpstr>CFF</vt:lpstr>
      <vt:lpstr>PLQ!_FiltrarBancodeDados</vt:lpstr>
      <vt:lpstr>PO!_FiltrarBancodeDados</vt:lpstr>
      <vt:lpstr>'BDI (1)'!Area_de_impressao</vt:lpstr>
      <vt:lpstr>'BDI (2)'!Area_de_impressao</vt:lpstr>
      <vt:lpstr>CFF!Area_de_impressao</vt:lpstr>
      <vt:lpstr>DADOS!Area_de_impressao</vt:lpstr>
      <vt:lpstr>PLQ!Area_de_impressao</vt:lpstr>
      <vt:lpstr>PO!Area_de_impressao</vt:lpstr>
      <vt:lpstr>CFF.ColunaPadrão</vt:lpstr>
      <vt:lpstr>CFF.Colunas</vt:lpstr>
      <vt:lpstr>CFF.LinhaPadrão</vt:lpstr>
      <vt:lpstr>PLQ!Código</vt:lpstr>
      <vt:lpstr>PO!Código</vt:lpstr>
      <vt:lpstr>Dados.Assinatura1</vt:lpstr>
      <vt:lpstr>Dados.Assinatura2</vt:lpstr>
      <vt:lpstr>Dados.Lista.Acompanhamento</vt:lpstr>
      <vt:lpstr>Dados.Lista.BDI</vt:lpstr>
      <vt:lpstr>Dados.Lista.Localidade</vt:lpstr>
      <vt:lpstr>Dados.Lista.RegimeExecução</vt:lpstr>
      <vt:lpstr>PLQ!Fonte</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Matheus Frare</dc:creator>
  <cp:lastModifiedBy>Matheus Frare</cp:lastModifiedBy>
  <cp:lastPrinted>2024-04-23T11:28:12Z</cp:lastPrinted>
  <dcterms:created xsi:type="dcterms:W3CDTF">1998-03-27T18:43:07Z</dcterms:created>
  <dcterms:modified xsi:type="dcterms:W3CDTF">2024-06-14T19:52:56Z</dcterms:modified>
</cp:coreProperties>
</file>