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EstaPasta_de_trabalho"/>
  <mc:AlternateContent xmlns:mc="http://schemas.openxmlformats.org/markup-compatibility/2006">
    <mc:Choice Requires="x15">
      <x15ac:absPath xmlns:x15ac="http://schemas.microsoft.com/office/spreadsheetml/2010/11/ac" url="W:\Administrativo\Processos Completos de Compras e Licitações\Processo licitação manutenção e recapeamneto\PLANILHAS\"/>
    </mc:Choice>
  </mc:AlternateContent>
  <xr:revisionPtr revIDLastSave="0" documentId="13_ncr:1_{9392AB8D-81D0-4BA3-BDB2-BD4285F57692}" xr6:coauthVersionLast="47" xr6:coauthVersionMax="47" xr10:uidLastSave="{00000000-0000-0000-0000-000000000000}"/>
  <bookViews>
    <workbookView xWindow="57480" yWindow="6765" windowWidth="29040" windowHeight="15840" activeTab="4" xr2:uid="{00000000-000D-0000-FFFF-FFFF00000000}"/>
  </bookViews>
  <sheets>
    <sheet name="DADOS" sheetId="16" r:id="rId1"/>
    <sheet name="BDI (1)" sheetId="17" state="hidden" r:id="rId2"/>
    <sheet name="BDI (2)" sheetId="18" state="hidden" r:id="rId3"/>
    <sheet name="BDI (3)" sheetId="19" state="hidden" r:id="rId4"/>
    <sheet name="PO" sheetId="12" r:id="rId5"/>
    <sheet name="PLQ" sheetId="13" state="hidden" r:id="rId6"/>
    <sheet name="CFF" sheetId="11" r:id="rId7"/>
  </sheets>
  <definedNames>
    <definedName name="_xlnm._FilterDatabase" localSheetId="6">CFF!#REF!</definedName>
    <definedName name="_xlnm._FilterDatabase" localSheetId="0">DADOS!#REF!</definedName>
    <definedName name="_xlnm._FilterDatabase" localSheetId="5">PLQ!$A$10:$O$13</definedName>
    <definedName name="_xlnm._FilterDatabase" localSheetId="4">PO!$C$10:$T$13</definedName>
    <definedName name="_xlnm.Print_Area" localSheetId="1">'BDI (1)'!$I$1:$R$50</definedName>
    <definedName name="_xlnm.Print_Area" localSheetId="2">'BDI (2)'!$I$1:$R$50</definedName>
    <definedName name="_xlnm.Print_Area" localSheetId="3">'BDI (3)'!$I$1:$R$50</definedName>
    <definedName name="_xlnm.Print_Area" localSheetId="6">CFF!$L$1:$X$57</definedName>
    <definedName name="_xlnm.Print_Area" localSheetId="0">DADOS!$A$1:$X$87</definedName>
    <definedName name="_xlnm.Print_Area" localSheetId="5">PLQ!$B$1:$P$31</definedName>
    <definedName name="_xlnm.Print_Area" localSheetId="4">PO!$K$1:$T$40</definedName>
    <definedName name="_xlnm.Database">TEXT(Import.DataBase,"mm-aaaa")</definedName>
    <definedName name="CFF.ColunaPadrão">CFF!$AC:$AC</definedName>
    <definedName name="CFF.Colunas">CFF!$P$10:$X$10</definedName>
    <definedName name="CFF.Dados">OFFSET(CFF!$L$17,1,0):OFFSET(CFF!$X$51,-1,-1)</definedName>
    <definedName name="CFF.IncluirLinha">MAX(PO!$V$12:$V$25)*CFF.NumLinha-ROW(CFF!$F$51)+ROW(CFF!$F$17)+1</definedName>
    <definedName name="CFF.Item">OFFSET(CFF!$L$17,1,0):OFFSET(CFF!$X$51,-1,-1)</definedName>
    <definedName name="CFF.LinhaPadrão">CFF!$A$11:$W$11</definedName>
    <definedName name="CFF.NumLinha">ROW(CFF!$D$14)-ROW(CFF!$D$10)-1</definedName>
    <definedName name="Código" localSheetId="4">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4">PO!$L1</definedName>
    <definedName name="Import.Ação">DADOS!$J$29</definedName>
    <definedName name="Import.Apelido">DADOS!$Q$32</definedName>
    <definedName name="Import.CNPJ">DADOS!$B$57</definedName>
    <definedName name="Import.Código">OFFSET(PO!$M$12,1,0):OFFSET(PO!$M$25,-1,0)</definedName>
    <definedName name="Import.CR">DADOS!$A$29</definedName>
    <definedName name="Import.CTEF">DADOS!$A$43</definedName>
    <definedName name="Import.CustoUnitário">OFFSET(PO!$Q$12,1,0):OFFSET(PO!$Q$25,-1,0)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OFFSET(PO!$N$12,1,0):OFFSET(PO!$N$25,-1,0)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OFFSET(PO!$L$12,1,0):OFFSET(PO!$L$25,-1,0)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OFFSET(PO!$K$12,1,0):OFFSET(PO!$K$25,-1,0)</definedName>
    <definedName name="Import.Localidade">DADOS!$K$32</definedName>
    <definedName name="Import.LocalSINAPI">DADOS!$D$38</definedName>
    <definedName name="Import.Município">DADOS!$G$32</definedName>
    <definedName name="Import.Nível">OFFSET(PO!$J$12,1,0):OFFSET(PO!$J$25,-1,0)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OFFSET(PLQ!$F$12,1,0):OFFSET(PLQ!$P$25,-1,-1)</definedName>
    <definedName name="Import.POArred">PO!$X$3:$X$7</definedName>
    <definedName name="Import.PreçoTotal">OFFSET(PO!$T$12,1,0):OFFSET(PO!$T$25,-1,0)</definedName>
    <definedName name="Import.PreçoUnitário">OFFSET(PO!$S$12,1,0):OFFSET(PO!$S$25,-1,0)</definedName>
    <definedName name="Import.Programa">DADOS!$F$29</definedName>
    <definedName name="Import.Proponente">DADOS!$A$32</definedName>
    <definedName name="Import.Quantidade">OFFSET(PO!$P$12,1,0):OFFSET(PO!$P$25,-1,0)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OFFSET(PO!$O$12,1,0):OFFSET(PO!$O$25,-1,0)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OFFSET(PO!$Z$12,1,0):OFFSET(PO!$Z$25,-1,0)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PO!$K$26</definedName>
    <definedName name="linhaSINAPIxls" localSheetId="4">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PLQ!$B$9:OFFSET(PLQ!$B$25,-1,0)</definedName>
    <definedName name="PLQ.LinhaPadrão">PLQ!$A$11:$P$11</definedName>
    <definedName name="PLQ.qtde.frentes">COUNTA(PLQ!$F$9:$P$9)</definedName>
    <definedName name="PO.BDI">OFFSET(PO!$R$12,1,0):OFFSET(PO!$R$25,-1,0)</definedName>
    <definedName name="PO.CustoRef">OFFSET(PO!$Y$12,1,0):OFFSET(PO!$Y$25,-1,0)</definedName>
    <definedName name="PO.CustoUnitario">ROUND(PO!$Q1,15-13*PO!$X$4)</definedName>
    <definedName name="PO.Dados">PO!$C$12:OFFSET(PO!$Z$25,-1,0)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6">CFF!$L:$O,CFF!$10:$10</definedName>
    <definedName name="_xlnm.Print_Titles" localSheetId="5">PLQ!$B:$E,PLQ!$9:$10</definedName>
    <definedName name="_xlnm.Print_Titles" localSheetId="4">PO!$10:$10</definedName>
    <definedName name="Versao">DADOS!$A$2</definedName>
    <definedName name="VTOTAL1">ROUND(PO.Quantidade*PO.PrecoUnitario,15-13*PO!$X$7)</definedName>
  </definedNames>
  <calcPr calcId="181029"/>
</workbook>
</file>

<file path=xl/calcChain.xml><?xml version="1.0" encoding="utf-8"?>
<calcChain xmlns="http://schemas.openxmlformats.org/spreadsheetml/2006/main">
  <c r="F21" i="13" l="1"/>
  <c r="A21" i="13"/>
  <c r="W21" i="12"/>
  <c r="H21" i="12"/>
  <c r="A21" i="12"/>
  <c r="F24" i="13"/>
  <c r="A24" i="13"/>
  <c r="F23" i="13"/>
  <c r="A23" i="13"/>
  <c r="W24" i="12"/>
  <c r="A24" i="12"/>
  <c r="H24" i="12" s="1"/>
  <c r="W23" i="12"/>
  <c r="A23" i="12"/>
  <c r="H23" i="12" s="1"/>
  <c r="F19" i="13"/>
  <c r="A19" i="13"/>
  <c r="F18" i="13"/>
  <c r="A18" i="13"/>
  <c r="F17" i="13"/>
  <c r="A17" i="13"/>
  <c r="W19" i="12"/>
  <c r="A19" i="12"/>
  <c r="H19" i="12" s="1"/>
  <c r="W18" i="12"/>
  <c r="A18" i="12"/>
  <c r="V18" i="12" s="1"/>
  <c r="W17" i="12"/>
  <c r="A17" i="12"/>
  <c r="F15" i="13"/>
  <c r="A15" i="13"/>
  <c r="F14" i="13"/>
  <c r="A14" i="13"/>
  <c r="W15" i="12"/>
  <c r="A15" i="12"/>
  <c r="V15" i="12" s="1"/>
  <c r="W14" i="12"/>
  <c r="A14" i="12"/>
  <c r="V21" i="12" l="1"/>
  <c r="I21" i="12"/>
  <c r="E21" i="13"/>
  <c r="B21" i="12"/>
  <c r="E24" i="13"/>
  <c r="V23" i="12"/>
  <c r="V24" i="12"/>
  <c r="I23" i="12"/>
  <c r="I24" i="12"/>
  <c r="E23" i="13"/>
  <c r="B23" i="12"/>
  <c r="B24" i="12"/>
  <c r="H18" i="12"/>
  <c r="B19" i="12"/>
  <c r="V19" i="12"/>
  <c r="E17" i="13"/>
  <c r="E19" i="13"/>
  <c r="E18" i="13"/>
  <c r="B17" i="12"/>
  <c r="H17" i="12"/>
  <c r="V17" i="12"/>
  <c r="B18" i="12"/>
  <c r="B15" i="12"/>
  <c r="E15" i="13"/>
  <c r="I17" i="12"/>
  <c r="I18" i="12"/>
  <c r="I19" i="12"/>
  <c r="H15" i="12"/>
  <c r="B14" i="12"/>
  <c r="H14" i="12"/>
  <c r="V14" i="12"/>
  <c r="E14" i="13"/>
  <c r="I14" i="12"/>
  <c r="I15" i="12"/>
  <c r="F11" i="13" l="1"/>
  <c r="F22" i="13"/>
  <c r="F20" i="13"/>
  <c r="F16" i="13"/>
  <c r="F13" i="13"/>
  <c r="J50" i="19" l="1"/>
  <c r="J49" i="19"/>
  <c r="J48" i="19"/>
  <c r="J47" i="19"/>
  <c r="A45" i="19"/>
  <c r="C45" i="19" s="1"/>
  <c r="C44" i="19"/>
  <c r="C39" i="19"/>
  <c r="A39" i="19"/>
  <c r="A40" i="19" s="1"/>
  <c r="C38" i="19"/>
  <c r="I35" i="19"/>
  <c r="M32" i="19"/>
  <c r="I29" i="19"/>
  <c r="A28" i="19"/>
  <c r="C28" i="19" s="1"/>
  <c r="C27" i="19"/>
  <c r="N24" i="19"/>
  <c r="M22" i="19"/>
  <c r="I22" i="19"/>
  <c r="A22" i="19"/>
  <c r="C22" i="19" s="1"/>
  <c r="M21" i="19"/>
  <c r="I21" i="19"/>
  <c r="C21" i="19"/>
  <c r="M20" i="19"/>
  <c r="I20" i="19"/>
  <c r="M19" i="19"/>
  <c r="I19" i="19"/>
  <c r="M18" i="19"/>
  <c r="I18" i="19"/>
  <c r="A17" i="19"/>
  <c r="C17" i="19" s="1"/>
  <c r="A15" i="19"/>
  <c r="C15" i="19" s="1"/>
  <c r="C14" i="19"/>
  <c r="C13" i="19"/>
  <c r="C12" i="19"/>
  <c r="Q11" i="19"/>
  <c r="I37" i="19" s="1"/>
  <c r="C11" i="19"/>
  <c r="C10" i="19"/>
  <c r="C9" i="19"/>
  <c r="I8" i="19"/>
  <c r="C8" i="19"/>
  <c r="K5" i="19"/>
  <c r="I5" i="19"/>
  <c r="A3" i="19"/>
  <c r="C3" i="19" s="1"/>
  <c r="C2" i="19"/>
  <c r="N1" i="19"/>
  <c r="A16" i="13"/>
  <c r="X16" i="12"/>
  <c r="W16" i="12"/>
  <c r="A16" i="12"/>
  <c r="O27" i="19" l="1"/>
  <c r="A23" i="19"/>
  <c r="C23" i="19" s="1"/>
  <c r="A41" i="19"/>
  <c r="C40" i="19"/>
  <c r="A4" i="19"/>
  <c r="A18" i="19"/>
  <c r="A24" i="19"/>
  <c r="A29" i="19"/>
  <c r="A46" i="19"/>
  <c r="N25" i="19"/>
  <c r="O25" i="19" s="1"/>
  <c r="N26" i="19"/>
  <c r="L32" i="19"/>
  <c r="M33" i="19"/>
  <c r="E16" i="13"/>
  <c r="D16" i="13"/>
  <c r="A32" i="19" l="1"/>
  <c r="C29" i="19"/>
  <c r="A19" i="19"/>
  <c r="C18" i="19"/>
  <c r="N27" i="19"/>
  <c r="C46" i="19"/>
  <c r="A47" i="19"/>
  <c r="A25" i="19"/>
  <c r="C24" i="19"/>
  <c r="C4" i="19"/>
  <c r="A5" i="19"/>
  <c r="A42" i="19"/>
  <c r="C41" i="19"/>
  <c r="C16" i="13"/>
  <c r="C5" i="19" l="1"/>
  <c r="A6" i="19"/>
  <c r="A48" i="19"/>
  <c r="C47" i="19"/>
  <c r="A43" i="19"/>
  <c r="C43" i="19" s="1"/>
  <c r="C42" i="19"/>
  <c r="A26" i="19"/>
  <c r="C26" i="19" s="1"/>
  <c r="C25" i="19"/>
  <c r="A20" i="19"/>
  <c r="C20" i="19" s="1"/>
  <c r="C19" i="19"/>
  <c r="A33" i="19"/>
  <c r="C32" i="19"/>
  <c r="C6" i="19" l="1"/>
  <c r="A7" i="19"/>
  <c r="C7" i="19" s="1"/>
  <c r="A34" i="19"/>
  <c r="C34" i="19" s="1"/>
  <c r="C33" i="19"/>
  <c r="A49" i="19"/>
  <c r="C49" i="19" s="1"/>
  <c r="C48" i="19"/>
  <c r="R26" i="19" l="1"/>
  <c r="Q26" i="19"/>
  <c r="P20" i="19"/>
  <c r="R19" i="19"/>
  <c r="P22" i="19"/>
  <c r="R21" i="19"/>
  <c r="R18" i="19"/>
  <c r="Q20" i="19"/>
  <c r="P19" i="19"/>
  <c r="R22" i="19"/>
  <c r="P21" i="19"/>
  <c r="Q19" i="19"/>
  <c r="Q21" i="19"/>
  <c r="R20" i="19"/>
  <c r="Q18" i="19"/>
  <c r="Q22" i="19"/>
  <c r="P26" i="19"/>
  <c r="P18" i="19"/>
  <c r="O26" i="19" l="1"/>
  <c r="V27" i="19" s="1"/>
  <c r="T16" i="19" s="1"/>
  <c r="A22" i="13" l="1"/>
  <c r="X22" i="12"/>
  <c r="W22" i="12"/>
  <c r="A22" i="12"/>
  <c r="E22" i="13" l="1"/>
  <c r="D22" i="13"/>
  <c r="C22" i="13" l="1"/>
  <c r="J50" i="18" l="1"/>
  <c r="J49" i="18"/>
  <c r="J48" i="18"/>
  <c r="J47" i="18"/>
  <c r="A45" i="18"/>
  <c r="C45" i="18" s="1"/>
  <c r="C44" i="18"/>
  <c r="A39" i="18"/>
  <c r="A40" i="18" s="1"/>
  <c r="C38" i="18"/>
  <c r="I35" i="18"/>
  <c r="M32" i="18"/>
  <c r="I29" i="18"/>
  <c r="A28" i="18"/>
  <c r="C28" i="18" s="1"/>
  <c r="C27" i="18"/>
  <c r="N24" i="18"/>
  <c r="M22" i="18"/>
  <c r="I22" i="18"/>
  <c r="A22" i="18"/>
  <c r="A23" i="18" s="1"/>
  <c r="C23" i="18" s="1"/>
  <c r="M21" i="18"/>
  <c r="I21" i="18"/>
  <c r="C21" i="18"/>
  <c r="M20" i="18"/>
  <c r="I20" i="18"/>
  <c r="M19" i="18"/>
  <c r="I19" i="18"/>
  <c r="M18" i="18"/>
  <c r="I18" i="18"/>
  <c r="A15" i="18"/>
  <c r="A17" i="18" s="1"/>
  <c r="C17" i="18" s="1"/>
  <c r="C14" i="18"/>
  <c r="C13" i="18"/>
  <c r="C12" i="18"/>
  <c r="Q11" i="18"/>
  <c r="I37" i="18" s="1"/>
  <c r="C11" i="18"/>
  <c r="C10" i="18"/>
  <c r="C9" i="18"/>
  <c r="I8" i="18"/>
  <c r="C8" i="18"/>
  <c r="K5" i="18"/>
  <c r="I5" i="18"/>
  <c r="A3" i="18"/>
  <c r="C3" i="18" s="1"/>
  <c r="C2" i="18"/>
  <c r="N1" i="18"/>
  <c r="C22" i="18" l="1"/>
  <c r="C15" i="18"/>
  <c r="O27" i="18"/>
  <c r="C39" i="18"/>
  <c r="A41" i="18"/>
  <c r="C40" i="18"/>
  <c r="A4" i="18"/>
  <c r="A18" i="18"/>
  <c r="A24" i="18"/>
  <c r="A29" i="18"/>
  <c r="A46" i="18"/>
  <c r="N25" i="18"/>
  <c r="O25" i="18" s="1"/>
  <c r="N26" i="18"/>
  <c r="L32" i="18"/>
  <c r="M33" i="18"/>
  <c r="A32" i="18" l="1"/>
  <c r="C29" i="18"/>
  <c r="A19" i="18"/>
  <c r="C18" i="18"/>
  <c r="N27" i="18"/>
  <c r="C46" i="18"/>
  <c r="A47" i="18"/>
  <c r="A25" i="18"/>
  <c r="C24" i="18"/>
  <c r="C4" i="18"/>
  <c r="A5" i="18"/>
  <c r="A42" i="18"/>
  <c r="C41" i="18"/>
  <c r="C5" i="18" l="1"/>
  <c r="A6" i="18"/>
  <c r="A48" i="18"/>
  <c r="C47" i="18"/>
  <c r="A43" i="18"/>
  <c r="C43" i="18" s="1"/>
  <c r="C42" i="18"/>
  <c r="A26" i="18"/>
  <c r="C26" i="18" s="1"/>
  <c r="C25" i="18"/>
  <c r="A20" i="18"/>
  <c r="C20" i="18" s="1"/>
  <c r="C19" i="18"/>
  <c r="A33" i="18"/>
  <c r="C32" i="18"/>
  <c r="C6" i="18" l="1"/>
  <c r="A7" i="18"/>
  <c r="C7" i="18" s="1"/>
  <c r="A34" i="18"/>
  <c r="C34" i="18" s="1"/>
  <c r="C33" i="18"/>
  <c r="A49" i="18"/>
  <c r="C49" i="18" s="1"/>
  <c r="C48" i="18"/>
  <c r="R26" i="18" l="1"/>
  <c r="Q26" i="18"/>
  <c r="P20" i="18"/>
  <c r="R19" i="18"/>
  <c r="P22" i="18"/>
  <c r="R21" i="18"/>
  <c r="R18" i="18"/>
  <c r="Q20" i="18"/>
  <c r="P19" i="18"/>
  <c r="R22" i="18"/>
  <c r="P21" i="18"/>
  <c r="P18" i="18"/>
  <c r="Q19" i="18"/>
  <c r="Q21" i="18"/>
  <c r="R20" i="18"/>
  <c r="Q18" i="18"/>
  <c r="Q22" i="18"/>
  <c r="P26" i="18"/>
  <c r="O26" i="18" l="1"/>
  <c r="V27" i="18" s="1"/>
  <c r="T16" i="18" s="1"/>
  <c r="A20" i="13" l="1"/>
  <c r="X20" i="12"/>
  <c r="W20" i="12"/>
  <c r="A20" i="12"/>
  <c r="D20" i="13" l="1"/>
  <c r="E20" i="13"/>
  <c r="C20" i="13" l="1"/>
  <c r="E7" i="13" l="1"/>
  <c r="P9" i="12"/>
  <c r="F10" i="13"/>
  <c r="G10" i="13" s="1"/>
  <c r="H10" i="13" s="1"/>
  <c r="I10" i="13" s="1"/>
  <c r="J10" i="13" s="1"/>
  <c r="K10" i="13" s="1"/>
  <c r="L10" i="13" s="1"/>
  <c r="M10" i="13" s="1"/>
  <c r="N10" i="13" s="1"/>
  <c r="O10" i="13" s="1"/>
  <c r="U10" i="13"/>
  <c r="AC9" i="11"/>
  <c r="AC10" i="11" s="1"/>
  <c r="K33" i="12"/>
  <c r="X13" i="12"/>
  <c r="W13" i="12"/>
  <c r="N24" i="17"/>
  <c r="N26" i="17" s="1"/>
  <c r="Q224" i="16"/>
  <c r="Q223" i="16"/>
  <c r="P2" i="11"/>
  <c r="A20" i="11"/>
  <c r="A23" i="11" s="1"/>
  <c r="Q10" i="12"/>
  <c r="Q11" i="17"/>
  <c r="I37" i="17" s="1"/>
  <c r="N8" i="11"/>
  <c r="O9" i="11"/>
  <c r="P9" i="11" s="1"/>
  <c r="Q9" i="11" s="1"/>
  <c r="O10" i="11"/>
  <c r="A13" i="11"/>
  <c r="K13" i="11" s="1"/>
  <c r="N11" i="11" s="1"/>
  <c r="D17" i="11"/>
  <c r="L53" i="11"/>
  <c r="K39" i="12"/>
  <c r="O42" i="19" s="1"/>
  <c r="A11" i="13"/>
  <c r="E11" i="13" s="1"/>
  <c r="X11" i="12"/>
  <c r="O11" i="12" s="1"/>
  <c r="D11" i="13" s="1"/>
  <c r="J12" i="12"/>
  <c r="A12" i="13" s="1"/>
  <c r="N12" i="12"/>
  <c r="A13" i="13"/>
  <c r="E13" i="13" s="1"/>
  <c r="K36" i="12"/>
  <c r="I42" i="19" s="1"/>
  <c r="N2" i="12"/>
  <c r="Y10" i="12"/>
  <c r="Z10" i="12"/>
  <c r="A11" i="12"/>
  <c r="B11" i="12" s="1"/>
  <c r="W11" i="12"/>
  <c r="A13" i="12"/>
  <c r="E13" i="12"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c r="A29" i="17"/>
  <c r="C29" i="17" s="1"/>
  <c r="I29" i="17"/>
  <c r="M32" i="17"/>
  <c r="I35" i="17"/>
  <c r="C38" i="17"/>
  <c r="A39" i="17"/>
  <c r="C39" i="17" s="1"/>
  <c r="C44" i="17"/>
  <c r="A45" i="17"/>
  <c r="A46" i="17" s="1"/>
  <c r="C46" i="17" s="1"/>
  <c r="C45" i="17"/>
  <c r="J47" i="17"/>
  <c r="J48" i="17"/>
  <c r="J49" i="17"/>
  <c r="J50" i="17"/>
  <c r="A55" i="16"/>
  <c r="G55" i="16" s="1"/>
  <c r="A56" i="16"/>
  <c r="I49" i="19" s="1"/>
  <c r="A57" i="16"/>
  <c r="I50" i="19"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A23" i="17"/>
  <c r="A24" i="17" s="1"/>
  <c r="M33" i="17"/>
  <c r="L32" i="17"/>
  <c r="O27" i="17"/>
  <c r="A32" i="17"/>
  <c r="A33" i="17" s="1"/>
  <c r="A34" i="17" s="1"/>
  <c r="C34" i="17" s="1"/>
  <c r="D13" i="13"/>
  <c r="U38" i="16"/>
  <c r="W38" i="16"/>
  <c r="X38" i="16"/>
  <c r="V38" i="16"/>
  <c r="N25" i="17" l="1"/>
  <c r="O25" i="17" s="1"/>
  <c r="C32" i="17"/>
  <c r="A4" i="17"/>
  <c r="C4" i="17" s="1"/>
  <c r="C33" i="17"/>
  <c r="C23" i="17"/>
  <c r="A5" i="17"/>
  <c r="C5" i="17" s="1"/>
  <c r="U12" i="12"/>
  <c r="I49" i="17"/>
  <c r="I49" i="18"/>
  <c r="I50" i="17"/>
  <c r="I50" i="18"/>
  <c r="B27" i="13"/>
  <c r="I42" i="18"/>
  <c r="B30" i="13"/>
  <c r="O42" i="18"/>
  <c r="A26" i="11"/>
  <c r="E11" i="12"/>
  <c r="G11" i="12"/>
  <c r="D11" i="12"/>
  <c r="C13" i="12"/>
  <c r="E14" i="12"/>
  <c r="E15" i="12" s="1"/>
  <c r="E20" i="12"/>
  <c r="H11" i="12"/>
  <c r="C11" i="12"/>
  <c r="G13" i="12"/>
  <c r="G14" i="12" s="1"/>
  <c r="G15" i="12" s="1"/>
  <c r="V11" i="12"/>
  <c r="F11" i="12"/>
  <c r="I42" i="17"/>
  <c r="I11" i="12"/>
  <c r="A25" i="17"/>
  <c r="A26" i="17" s="1"/>
  <c r="C26" i="17" s="1"/>
  <c r="C24" i="17"/>
  <c r="A6" i="17"/>
  <c r="G56" i="16"/>
  <c r="A5" i="12"/>
  <c r="F13" i="12"/>
  <c r="F14" i="12" s="1"/>
  <c r="F15" i="12" s="1"/>
  <c r="A47" i="17"/>
  <c r="A40" i="17"/>
  <c r="V13" i="12"/>
  <c r="S13" i="12"/>
  <c r="Y11" i="12"/>
  <c r="L56" i="11"/>
  <c r="L11" i="11"/>
  <c r="N11" i="12"/>
  <c r="C13" i="11"/>
  <c r="E13" i="11" s="1"/>
  <c r="N27" i="17"/>
  <c r="Q10" i="11"/>
  <c r="M11" i="11"/>
  <c r="O42" i="17"/>
  <c r="R9" i="11"/>
  <c r="S9" i="11" s="1"/>
  <c r="T9" i="11" s="1"/>
  <c r="U9" i="11" s="1"/>
  <c r="V9" i="11" s="1"/>
  <c r="W9" i="11" s="1"/>
  <c r="P10" i="11"/>
  <c r="S110" i="16"/>
  <c r="V227" i="16"/>
  <c r="S111" i="16"/>
  <c r="W227" i="16"/>
  <c r="X227" i="16"/>
  <c r="S112" i="16"/>
  <c r="U227" i="16"/>
  <c r="S109" i="16"/>
  <c r="C25" i="17"/>
  <c r="A48" i="17"/>
  <c r="C47" i="17"/>
  <c r="G57" i="16"/>
  <c r="A17" i="17"/>
  <c r="D13" i="12"/>
  <c r="D14" i="12" s="1"/>
  <c r="D15" i="12" s="1"/>
  <c r="C12" i="13"/>
  <c r="T38" i="16"/>
  <c r="Z21" i="12" l="1"/>
  <c r="Z24" i="12"/>
  <c r="Z23" i="12"/>
  <c r="Z19" i="12"/>
  <c r="Z18" i="12"/>
  <c r="Z17" i="12"/>
  <c r="Z15" i="12"/>
  <c r="Z14" i="12"/>
  <c r="C14" i="12"/>
  <c r="V16" i="12"/>
  <c r="V20" i="12" s="1"/>
  <c r="Z16" i="12"/>
  <c r="S16" i="12" s="1"/>
  <c r="Z22" i="12"/>
  <c r="S22" i="12" s="1"/>
  <c r="A29" i="11"/>
  <c r="K13" i="12"/>
  <c r="B13" i="13" s="1"/>
  <c r="K11" i="12"/>
  <c r="B11" i="13" s="1"/>
  <c r="Z20" i="12"/>
  <c r="S20" i="12" s="1"/>
  <c r="F20" i="12"/>
  <c r="G20" i="12"/>
  <c r="C20" i="11"/>
  <c r="C6" i="17"/>
  <c r="A7" i="17"/>
  <c r="C7" i="17" s="1"/>
  <c r="C40" i="17"/>
  <c r="A41" i="17"/>
  <c r="F13" i="11"/>
  <c r="B13" i="11"/>
  <c r="Q13" i="11" s="1"/>
  <c r="R10" i="11"/>
  <c r="T10" i="11" s="1"/>
  <c r="V10" i="11" s="1"/>
  <c r="I13" i="11"/>
  <c r="H13" i="11"/>
  <c r="U11" i="12"/>
  <c r="C11" i="13"/>
  <c r="Z11" i="12"/>
  <c r="S11" i="12" s="1"/>
  <c r="T11" i="12" s="1"/>
  <c r="T227" i="16"/>
  <c r="Z13" i="12"/>
  <c r="S108" i="16"/>
  <c r="G13" i="11"/>
  <c r="J13" i="11"/>
  <c r="S10" i="11"/>
  <c r="U10" i="11" s="1"/>
  <c r="W10" i="11" s="1"/>
  <c r="C13" i="13"/>
  <c r="M18" i="11"/>
  <c r="A49" i="17"/>
  <c r="C49" i="17" s="1"/>
  <c r="C48" i="17"/>
  <c r="C17" i="17"/>
  <c r="A18" i="17"/>
  <c r="E21" i="12" l="1"/>
  <c r="K14" i="12"/>
  <c r="B14" i="13" s="1"/>
  <c r="C15" i="12"/>
  <c r="V22" i="12"/>
  <c r="E22" i="12"/>
  <c r="E23" i="12" s="1"/>
  <c r="E24" i="12" s="1"/>
  <c r="A32" i="11"/>
  <c r="M21" i="11"/>
  <c r="C23" i="11"/>
  <c r="B20" i="11" s="1"/>
  <c r="L18" i="11"/>
  <c r="G20" i="11"/>
  <c r="F20" i="11"/>
  <c r="E20" i="11"/>
  <c r="H20" i="11"/>
  <c r="P11" i="11"/>
  <c r="R11" i="11"/>
  <c r="C41" i="17"/>
  <c r="A42" i="17"/>
  <c r="Q18" i="17"/>
  <c r="P18" i="17"/>
  <c r="P22" i="17"/>
  <c r="P20" i="17"/>
  <c r="R26" i="17"/>
  <c r="Q26" i="17"/>
  <c r="R18" i="17"/>
  <c r="P26" i="17"/>
  <c r="R20" i="17"/>
  <c r="P21" i="17"/>
  <c r="Q21" i="17"/>
  <c r="R22" i="17"/>
  <c r="Q22" i="17"/>
  <c r="R21" i="17"/>
  <c r="P19" i="17"/>
  <c r="Q20" i="17"/>
  <c r="Q19" i="17"/>
  <c r="R19" i="17"/>
  <c r="W11" i="11"/>
  <c r="W13" i="11"/>
  <c r="U12" i="11"/>
  <c r="V12" i="11"/>
  <c r="U13" i="11"/>
  <c r="AC12" i="11"/>
  <c r="R12" i="11"/>
  <c r="Q11" i="11"/>
  <c r="T13" i="11"/>
  <c r="AC11" i="11"/>
  <c r="V11" i="11"/>
  <c r="P13" i="11"/>
  <c r="P12" i="11"/>
  <c r="T11" i="11"/>
  <c r="W12" i="11"/>
  <c r="S13" i="11"/>
  <c r="U11" i="11"/>
  <c r="T12" i="11"/>
  <c r="V13" i="11"/>
  <c r="S12" i="11"/>
  <c r="S11" i="11"/>
  <c r="R13" i="11"/>
  <c r="AC13" i="11"/>
  <c r="Q12" i="11"/>
  <c r="D13" i="11"/>
  <c r="C18" i="17"/>
  <c r="A19" i="17"/>
  <c r="F21" i="12" l="1"/>
  <c r="G21" i="12"/>
  <c r="K15" i="12"/>
  <c r="B15" i="13" s="1"/>
  <c r="O26" i="17"/>
  <c r="V27" i="17" s="1"/>
  <c r="T16" i="17" s="1"/>
  <c r="E16" i="12"/>
  <c r="G16" i="12"/>
  <c r="F16" i="12"/>
  <c r="C26" i="11"/>
  <c r="G26" i="11" s="1"/>
  <c r="M24" i="11"/>
  <c r="M27" i="11"/>
  <c r="C29" i="11"/>
  <c r="H29" i="11" s="1"/>
  <c r="F22" i="12"/>
  <c r="F23" i="12" s="1"/>
  <c r="F24" i="12" s="1"/>
  <c r="G22" i="12"/>
  <c r="G23" i="12" s="1"/>
  <c r="G24" i="12" s="1"/>
  <c r="H23" i="11"/>
  <c r="F23" i="11"/>
  <c r="G23" i="11"/>
  <c r="E23" i="11"/>
  <c r="A35" i="11"/>
  <c r="C42" i="17"/>
  <c r="A43" i="17"/>
  <c r="C43" i="17" s="1"/>
  <c r="A20" i="17"/>
  <c r="C20" i="17" s="1"/>
  <c r="C19" i="17"/>
  <c r="G17" i="12" l="1"/>
  <c r="G18" i="12" s="1"/>
  <c r="G19" i="12" s="1"/>
  <c r="F17" i="12"/>
  <c r="F18" i="12" s="1"/>
  <c r="F19" i="12" s="1"/>
  <c r="E17" i="12"/>
  <c r="E18" i="12" s="1"/>
  <c r="E19" i="12" s="1"/>
  <c r="E26" i="11"/>
  <c r="E29" i="11" s="1"/>
  <c r="B23" i="11"/>
  <c r="H26" i="11"/>
  <c r="M30" i="11"/>
  <c r="B26" i="11"/>
  <c r="F26" i="11"/>
  <c r="F29" i="11" s="1"/>
  <c r="G29" i="11"/>
  <c r="C32" i="11"/>
  <c r="H32" i="11" s="1"/>
  <c r="A38" i="11"/>
  <c r="C35" i="11"/>
  <c r="M33" i="11"/>
  <c r="B29" i="11" l="1"/>
  <c r="G32" i="11"/>
  <c r="F32" i="11"/>
  <c r="E32" i="11"/>
  <c r="E35" i="11" s="1"/>
  <c r="H35" i="11"/>
  <c r="G35" i="11"/>
  <c r="C38" i="11"/>
  <c r="M36" i="11"/>
  <c r="A41" i="11"/>
  <c r="A44" i="11" s="1"/>
  <c r="B32" i="11"/>
  <c r="F35" i="11" l="1"/>
  <c r="J20" i="11"/>
  <c r="A47" i="11"/>
  <c r="C44" i="11"/>
  <c r="M42" i="11"/>
  <c r="C41" i="11"/>
  <c r="B38" i="11" s="1"/>
  <c r="M39" i="11"/>
  <c r="G38" i="11"/>
  <c r="E38" i="11"/>
  <c r="H38" i="11"/>
  <c r="F38" i="11"/>
  <c r="B35" i="11"/>
  <c r="H44" i="11" l="1"/>
  <c r="F44" i="11"/>
  <c r="G44" i="11"/>
  <c r="A50" i="11"/>
  <c r="M45" i="11"/>
  <c r="C47" i="11"/>
  <c r="AC33" i="11"/>
  <c r="AC34" i="11" s="1"/>
  <c r="V33" i="11"/>
  <c r="T33" i="11"/>
  <c r="P33" i="11"/>
  <c r="P34" i="11" s="1"/>
  <c r="Q34" i="11" s="1"/>
  <c r="U33" i="11"/>
  <c r="W33" i="11"/>
  <c r="AC36" i="11"/>
  <c r="AC37" i="11" s="1"/>
  <c r="V36" i="11"/>
  <c r="T36" i="11"/>
  <c r="P36" i="11"/>
  <c r="P37" i="11" s="1"/>
  <c r="Q37" i="11" s="1"/>
  <c r="W36" i="11"/>
  <c r="U36" i="11"/>
  <c r="H41" i="11"/>
  <c r="F41" i="11"/>
  <c r="J23" i="11" s="1"/>
  <c r="B41" i="11"/>
  <c r="G41" i="11"/>
  <c r="E41" i="11"/>
  <c r="J38" i="11" s="1"/>
  <c r="H47" i="11" l="1"/>
  <c r="F47" i="11"/>
  <c r="G47" i="11"/>
  <c r="C50" i="11"/>
  <c r="M48" i="11"/>
  <c r="B44" i="11"/>
  <c r="E44" i="11"/>
  <c r="J41" i="11" s="1"/>
  <c r="R34" i="11"/>
  <c r="R37" i="11"/>
  <c r="W39" i="11"/>
  <c r="U39" i="11"/>
  <c r="AC39" i="11"/>
  <c r="AC40" i="11" s="1"/>
  <c r="V39" i="11"/>
  <c r="T39" i="11"/>
  <c r="P40" i="11"/>
  <c r="G50" i="11" l="1"/>
  <c r="H50" i="11"/>
  <c r="F50" i="11"/>
  <c r="E47" i="11"/>
  <c r="B47" i="11"/>
  <c r="W42" i="11"/>
  <c r="U42" i="11"/>
  <c r="AC42" i="11"/>
  <c r="AC43" i="11" s="1"/>
  <c r="V42" i="11"/>
  <c r="T42" i="11"/>
  <c r="P42" i="11"/>
  <c r="P43" i="11" s="1"/>
  <c r="Q40" i="11"/>
  <c r="R40" i="11" s="1"/>
  <c r="S40" i="11" s="1"/>
  <c r="S37" i="11"/>
  <c r="S34" i="11"/>
  <c r="Q43" i="11" l="1"/>
  <c r="E50" i="11"/>
  <c r="B50" i="11"/>
  <c r="J44" i="11"/>
  <c r="T34" i="11"/>
  <c r="T40" i="11"/>
  <c r="T37" i="11"/>
  <c r="D16" i="12" l="1"/>
  <c r="R43" i="11"/>
  <c r="J32" i="11"/>
  <c r="U37" i="11"/>
  <c r="U40" i="11"/>
  <c r="U34" i="11"/>
  <c r="D17" i="12" l="1"/>
  <c r="D18" i="12" s="1"/>
  <c r="D19" i="12" s="1"/>
  <c r="J35" i="11"/>
  <c r="S43" i="11"/>
  <c r="J26" i="11"/>
  <c r="J47" i="11"/>
  <c r="V34" i="11"/>
  <c r="V37" i="11"/>
  <c r="V40" i="11"/>
  <c r="I26" i="11" l="1"/>
  <c r="D26" i="11" s="1"/>
  <c r="I35" i="11"/>
  <c r="D35" i="11" s="1"/>
  <c r="I29" i="11"/>
  <c r="J50" i="11"/>
  <c r="I23" i="11"/>
  <c r="D23" i="11" s="1"/>
  <c r="I32" i="11"/>
  <c r="D32" i="11" s="1"/>
  <c r="I20" i="11"/>
  <c r="D20" i="11" s="1"/>
  <c r="I38" i="11"/>
  <c r="D38" i="11" s="1"/>
  <c r="I44" i="11"/>
  <c r="D44" i="11" s="1"/>
  <c r="I47" i="11"/>
  <c r="D47" i="11" s="1"/>
  <c r="I50" i="11"/>
  <c r="I41" i="11"/>
  <c r="D41" i="11" s="1"/>
  <c r="J29" i="11"/>
  <c r="T43" i="11"/>
  <c r="W37" i="11"/>
  <c r="W40" i="11"/>
  <c r="W34" i="11"/>
  <c r="D29" i="11" l="1"/>
  <c r="D50" i="11"/>
  <c r="U43" i="11"/>
  <c r="V43" i="11" l="1"/>
  <c r="C16" i="12" l="1"/>
  <c r="W43" i="11"/>
  <c r="C17" i="12" l="1"/>
  <c r="K16" i="12"/>
  <c r="K17" i="12" l="1"/>
  <c r="B17" i="13" s="1"/>
  <c r="C18" i="12"/>
  <c r="B16" i="13"/>
  <c r="L21" i="11"/>
  <c r="K18" i="12" l="1"/>
  <c r="B18" i="13" s="1"/>
  <c r="C19" i="12"/>
  <c r="D20" i="12"/>
  <c r="K19" i="12" l="1"/>
  <c r="B19" i="13" s="1"/>
  <c r="D21" i="12" l="1"/>
  <c r="D22" i="12"/>
  <c r="D23" i="12" l="1"/>
  <c r="D24" i="12" s="1"/>
  <c r="C20" i="12" l="1"/>
  <c r="I16" i="12" s="1"/>
  <c r="K20" i="12" l="1"/>
  <c r="C21" i="12" l="1"/>
  <c r="K21" i="12" s="1"/>
  <c r="B21" i="13" s="1"/>
  <c r="L24" i="11"/>
  <c r="B20" i="13"/>
  <c r="I13" i="12" l="1"/>
  <c r="C22" i="12" l="1"/>
  <c r="K22" i="12" l="1"/>
  <c r="C23" i="12"/>
  <c r="I20" i="12"/>
  <c r="C24" i="12" l="1"/>
  <c r="K23" i="12"/>
  <c r="B23" i="13" s="1"/>
  <c r="L27" i="11"/>
  <c r="B22" i="13"/>
  <c r="K24" i="12" l="1"/>
  <c r="B24" i="13" s="1"/>
  <c r="I22" i="12" l="1"/>
  <c r="L30" i="11" l="1"/>
  <c r="L33" i="11" l="1"/>
  <c r="L36" i="11" l="1"/>
  <c r="L39" i="11" l="1"/>
  <c r="U45" i="11" l="1"/>
  <c r="W45" i="11"/>
  <c r="V27" i="11" l="1"/>
  <c r="U27" i="11"/>
  <c r="W27" i="11"/>
  <c r="L42" i="11" l="1"/>
  <c r="T27" i="11"/>
  <c r="P28" i="11"/>
  <c r="Q28" i="11" s="1"/>
  <c r="V45" i="11"/>
  <c r="T45" i="11"/>
  <c r="P45" i="11"/>
  <c r="P46" i="11" s="1"/>
  <c r="AC27" i="11"/>
  <c r="AC28" i="11" s="1"/>
  <c r="AC45" i="11"/>
  <c r="AC46" i="11" s="1"/>
  <c r="R28" i="11" l="1"/>
  <c r="Q46" i="11"/>
  <c r="R46" i="11" l="1"/>
  <c r="S28" i="11"/>
  <c r="S46" i="11" l="1"/>
  <c r="T28" i="11"/>
  <c r="U28" i="11" l="1"/>
  <c r="T46" i="11"/>
  <c r="L45" i="11" l="1"/>
  <c r="U46" i="11"/>
  <c r="V28" i="11"/>
  <c r="W28" i="11" l="1"/>
  <c r="V46" i="11"/>
  <c r="W46" i="11" l="1"/>
  <c r="L48" i="11" l="1"/>
  <c r="V30" i="11" l="1"/>
  <c r="W30" i="11"/>
  <c r="U24" i="11" l="1"/>
  <c r="R24" i="11"/>
  <c r="S24" i="11"/>
  <c r="S21" i="11"/>
  <c r="W21" i="11"/>
  <c r="T21" i="11"/>
  <c r="U21" i="11"/>
  <c r="W24" i="11" l="1"/>
  <c r="W18" i="11"/>
  <c r="V18" i="11" l="1"/>
  <c r="Q18" i="11"/>
  <c r="T18" i="11" l="1"/>
  <c r="U18" i="11"/>
  <c r="AC30" i="11"/>
  <c r="AC31" i="11" s="1"/>
  <c r="U30" i="11"/>
  <c r="T30" i="11"/>
  <c r="S30" i="11"/>
  <c r="P31" i="11"/>
  <c r="Q31" i="11" s="1"/>
  <c r="R31" i="11" l="1"/>
  <c r="S31" i="11" l="1"/>
  <c r="T31" i="11" l="1"/>
  <c r="U31" i="11" l="1"/>
  <c r="V31" i="11" l="1"/>
  <c r="W31" i="11" l="1"/>
  <c r="P19" i="11"/>
  <c r="Q19" i="11" s="1"/>
  <c r="R18" i="11"/>
  <c r="S18" i="11"/>
  <c r="AC18" i="11"/>
  <c r="AC19" i="11" s="1"/>
  <c r="AC21" i="11"/>
  <c r="AC22" i="11" s="1"/>
  <c r="H22" i="12" l="1"/>
  <c r="B22" i="12" s="1"/>
  <c r="H20" i="12"/>
  <c r="B20" i="12" s="1"/>
  <c r="H13" i="12"/>
  <c r="B13" i="12" s="1"/>
  <c r="H16" i="12"/>
  <c r="B16" i="12" s="1"/>
  <c r="R19" i="11"/>
  <c r="B12" i="12" l="1"/>
  <c r="S19" i="11"/>
  <c r="T19" i="11" l="1"/>
  <c r="U19" i="11" l="1"/>
  <c r="V19" i="11" l="1"/>
  <c r="W19" i="11" l="1"/>
  <c r="V21" i="11"/>
  <c r="R21" i="11"/>
  <c r="P22" i="11"/>
  <c r="Q22" i="11" s="1"/>
  <c r="AC24" i="11"/>
  <c r="AC25" i="11" s="1"/>
  <c r="R22" i="11" l="1"/>
  <c r="S22" i="11" l="1"/>
  <c r="T22" i="11" s="1"/>
  <c r="U22" i="11" l="1"/>
  <c r="V22" i="11" l="1"/>
  <c r="W22" i="11" l="1"/>
  <c r="V24" i="11"/>
  <c r="T24" i="11"/>
  <c r="P25" i="11"/>
  <c r="Q25" i="11" l="1"/>
  <c r="R25" i="11" l="1"/>
  <c r="S25" i="11" s="1"/>
  <c r="T25" i="11" l="1"/>
  <c r="U25" i="11" l="1"/>
  <c r="V25" i="11" l="1"/>
  <c r="W25" i="11" l="1"/>
  <c r="V48" i="11" l="1"/>
  <c r="T48" i="11"/>
  <c r="P48" i="11"/>
  <c r="P49" i="11" s="1"/>
  <c r="Q49" i="11" s="1"/>
  <c r="AC48" i="11"/>
  <c r="AC49" i="11" s="1"/>
  <c r="W48" i="11"/>
  <c r="U48" i="11"/>
  <c r="R49" i="11" l="1"/>
  <c r="S49" i="11" l="1"/>
  <c r="T49" i="11" l="1"/>
  <c r="U49" i="11" l="1"/>
  <c r="V49" i="11" l="1"/>
  <c r="W49" i="11" l="1"/>
  <c r="K38" i="11" l="1"/>
  <c r="N36" i="11" s="1"/>
  <c r="K44" i="11"/>
  <c r="N42" i="11" s="1"/>
  <c r="K32" i="11"/>
  <c r="N30" i="11" s="1"/>
  <c r="K47" i="11"/>
  <c r="N45" i="11" s="1"/>
  <c r="K35" i="11"/>
  <c r="N33" i="11" s="1"/>
  <c r="K50" i="11"/>
  <c r="N48" i="11" s="1"/>
  <c r="AC44" i="11" l="1"/>
  <c r="V44" i="11"/>
  <c r="T44" i="11"/>
  <c r="R44" i="11"/>
  <c r="Q44" i="11"/>
  <c r="S44" i="11"/>
  <c r="W44" i="11"/>
  <c r="U44" i="11"/>
  <c r="P44" i="11"/>
  <c r="Q47" i="11"/>
  <c r="R47" i="11"/>
  <c r="V47" i="11"/>
  <c r="W47" i="11"/>
  <c r="S47" i="11"/>
  <c r="T47" i="11"/>
  <c r="AC47" i="11"/>
  <c r="U47" i="11"/>
  <c r="P47" i="11"/>
  <c r="S38" i="11"/>
  <c r="R38" i="11"/>
  <c r="T38" i="11"/>
  <c r="U38" i="11"/>
  <c r="AC38" i="11"/>
  <c r="V38" i="11"/>
  <c r="Q38" i="11"/>
  <c r="P38" i="11"/>
  <c r="W38" i="11"/>
  <c r="U35" i="11"/>
  <c r="V35" i="11"/>
  <c r="R35" i="11"/>
  <c r="T35" i="11"/>
  <c r="Q35" i="11"/>
  <c r="W35" i="11"/>
  <c r="S35" i="11"/>
  <c r="P35" i="11"/>
  <c r="AC35" i="11"/>
  <c r="W50" i="11"/>
  <c r="AC50" i="11"/>
  <c r="Q50" i="11"/>
  <c r="V50" i="11"/>
  <c r="S50" i="11"/>
  <c r="P50" i="11"/>
  <c r="R50" i="11"/>
  <c r="T50" i="11"/>
  <c r="U50" i="11"/>
  <c r="W32" i="11"/>
  <c r="V32" i="11"/>
  <c r="U32" i="11"/>
  <c r="T32" i="11"/>
  <c r="R32" i="11"/>
  <c r="Q32" i="11"/>
  <c r="P32" i="11"/>
  <c r="S32" i="11"/>
  <c r="AC32" i="11"/>
  <c r="K41" i="11" l="1"/>
  <c r="N39" i="11" s="1"/>
  <c r="Q41" i="11" s="1"/>
  <c r="R41" i="11"/>
  <c r="S41" i="11"/>
  <c r="V41" i="11"/>
  <c r="P41" i="11"/>
  <c r="U41" i="11" l="1"/>
  <c r="W41" i="11"/>
  <c r="T41" i="11"/>
  <c r="AC41" i="11"/>
  <c r="V29" i="11" l="1"/>
  <c r="P29" i="11"/>
  <c r="T29" i="11"/>
  <c r="S29" i="11"/>
  <c r="Q29" i="11"/>
  <c r="U29" i="11"/>
  <c r="R29" i="11"/>
  <c r="AC29" i="11"/>
  <c r="W29" i="11"/>
  <c r="L8" i="11" l="1"/>
  <c r="X14" i="12" l="1"/>
  <c r="X18" i="12" l="1"/>
  <c r="X15" i="12"/>
  <c r="X17" i="12"/>
  <c r="X19" i="12"/>
  <c r="D14" i="13" l="1"/>
  <c r="X23" i="12"/>
  <c r="X21" i="12"/>
  <c r="X24" i="12"/>
  <c r="D15" i="13" l="1"/>
  <c r="D18" i="13"/>
  <c r="D19" i="13"/>
  <c r="C14" i="13"/>
  <c r="D17" i="13"/>
  <c r="C19" i="13"/>
  <c r="C18" i="13"/>
  <c r="C15" i="13"/>
  <c r="C17" i="13"/>
  <c r="S23" i="12" l="1"/>
  <c r="T23" i="12" s="1"/>
  <c r="T22" i="12" s="1"/>
  <c r="D21" i="13"/>
  <c r="D23" i="13"/>
  <c r="C24" i="13"/>
  <c r="U24" i="12"/>
  <c r="S21" i="12"/>
  <c r="T21" i="12" s="1"/>
  <c r="T20" i="12" s="1"/>
  <c r="D24" i="13"/>
  <c r="C23" i="13"/>
  <c r="U23" i="12"/>
  <c r="C21" i="13"/>
  <c r="S24" i="12"/>
  <c r="T24" i="12" s="1"/>
  <c r="U21" i="12" l="1"/>
  <c r="U20" i="12"/>
  <c r="K26" i="11"/>
  <c r="N24" i="11" s="1"/>
  <c r="K29" i="11"/>
  <c r="N27" i="11" s="1"/>
  <c r="U22" i="12"/>
  <c r="U26" i="11" l="1"/>
  <c r="AC26" i="11"/>
  <c r="P26" i="11"/>
  <c r="W26" i="11"/>
  <c r="T26" i="11"/>
  <c r="Q26" i="11"/>
  <c r="V26" i="11"/>
  <c r="S26" i="11"/>
  <c r="R26" i="11"/>
  <c r="S14" i="12" l="1"/>
  <c r="T14" i="12" s="1"/>
  <c r="S15" i="12"/>
  <c r="T15" i="12" s="1"/>
  <c r="U15" i="12" s="1"/>
  <c r="S17" i="12"/>
  <c r="T17" i="12" s="1"/>
  <c r="S19" i="12" l="1"/>
  <c r="T19" i="12" s="1"/>
  <c r="U19" i="12" s="1"/>
  <c r="S18" i="12"/>
  <c r="T18" i="12" s="1"/>
  <c r="U18" i="12" s="1"/>
  <c r="U17" i="12"/>
  <c r="T13" i="12"/>
  <c r="U14" i="12"/>
  <c r="T12" i="12" l="1"/>
  <c r="N14" i="11" s="1"/>
  <c r="T16" i="12"/>
  <c r="K23" i="11" s="1"/>
  <c r="N21" i="11" s="1"/>
  <c r="K20" i="11"/>
  <c r="N18" i="11" s="1"/>
  <c r="U13" i="12"/>
  <c r="U16" i="12" l="1"/>
  <c r="U5" i="12" s="1"/>
  <c r="P20" i="11"/>
  <c r="U20" i="11"/>
  <c r="R20" i="11"/>
  <c r="AC20" i="11"/>
  <c r="T20" i="11"/>
  <c r="Q20" i="11"/>
  <c r="S20" i="11"/>
  <c r="W20" i="11"/>
  <c r="V20" i="11"/>
  <c r="R23" i="11"/>
  <c r="P23" i="11"/>
  <c r="AC23" i="11"/>
  <c r="V23" i="11"/>
  <c r="Q23" i="11"/>
  <c r="T23" i="11"/>
  <c r="W23" i="11"/>
  <c r="U23" i="11"/>
  <c r="S23" i="11"/>
  <c r="W17" i="11" l="1"/>
  <c r="AC17" i="11"/>
  <c r="S17" i="11"/>
  <c r="R17" i="11"/>
  <c r="Q17" i="11"/>
  <c r="U17" i="11"/>
  <c r="V17" i="11"/>
  <c r="T17" i="11"/>
  <c r="P17" i="11"/>
  <c r="R15" i="11" l="1"/>
  <c r="R14" i="11" s="1"/>
  <c r="R16" i="11"/>
  <c r="V15" i="11"/>
  <c r="V14" i="11" s="1"/>
  <c r="V16" i="11"/>
  <c r="S15" i="11"/>
  <c r="S14" i="11" s="1"/>
  <c r="S16" i="11"/>
  <c r="U16" i="11"/>
  <c r="U15" i="11"/>
  <c r="U14" i="11" s="1"/>
  <c r="AC15" i="11"/>
  <c r="AC14" i="11" s="1"/>
  <c r="AC16" i="11"/>
  <c r="T16" i="11"/>
  <c r="T15" i="11"/>
  <c r="T14" i="11" s="1"/>
  <c r="P16" i="11"/>
  <c r="P15" i="11"/>
  <c r="P14" i="11" s="1"/>
  <c r="Q15" i="11"/>
  <c r="Q14" i="11" s="1"/>
  <c r="Q16" i="11"/>
  <c r="W16" i="11"/>
  <c r="W15" i="11"/>
  <c r="W14" i="11" s="1"/>
</calcChain>
</file>

<file path=xl/sharedStrings.xml><?xml version="1.0" encoding="utf-8"?>
<sst xmlns="http://schemas.openxmlformats.org/spreadsheetml/2006/main" count="701" uniqueCount="263">
  <si>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</si>
  <si>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</si>
  <si>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</si>
  <si>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</si>
  <si>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</si>
  <si>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</si>
  <si>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</si>
  <si>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</si>
  <si>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</si>
  <si>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</si>
  <si>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</si>
  <si>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</si>
  <si>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</si>
  <si>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</si>
  <si>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</si>
  <si>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</si>
  <si>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</si>
  <si>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</si>
  <si>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</si>
  <si>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</si>
  <si>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</si>
  <si>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</si>
  <si>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</si>
  <si>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</si>
  <si>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</si>
  <si>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</si>
  <si>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</si>
  <si>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</si>
  <si>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</si>
  <si>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</si>
  <si>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</si>
  <si>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</si>
  <si>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</si>
  <si>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</si>
  <si>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</si>
  <si>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</si>
  <si>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</si>
  <si>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</si>
  <si>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</si>
  <si>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</si>
  <si>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</si>
  <si>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</si>
  <si>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</si>
  <si>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</si>
  <si>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</si>
  <si>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</si>
  <si>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</si>
  <si>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</si>
  <si>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</si>
  <si>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</si>
  <si>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</si>
  <si>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</si>
  <si>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</si>
  <si>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</si>
  <si>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</si>
  <si>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</si>
  <si>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</si>
  <si>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</si>
  <si>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</si>
  <si>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</si>
  <si>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</si>
  <si>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</si>
  <si>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</si>
  <si>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</si>
  <si>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</si>
  <si>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</si>
  <si>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</si>
  <si>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</si>
  <si>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</si>
  <si>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</si>
  <si>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</si>
  <si>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</si>
  <si>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</si>
  <si>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</si>
  <si>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</si>
  <si>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</si>
  <si>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</si>
  <si>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</si>
  <si>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</si>
  <si>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</si>
  <si>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</si>
  <si>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</si>
  <si>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</si>
  <si>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</si>
  <si>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</si>
  <si>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</si>
  <si>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</si>
  <si>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</si>
  <si>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</si>
  <si>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</si>
  <si>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</si>
  <si>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</si>
  <si>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</si>
  <si>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</si>
  <si>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</si>
  <si>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</si>
  <si>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</si>
  <si>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</si>
  <si>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</si>
  <si>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</si>
  <si>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</si>
  <si>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</si>
  <si>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</si>
  <si>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</si>
  <si>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</si>
  <si>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</si>
  <si>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</si>
  <si>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</si>
  <si>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</si>
  <si>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</si>
  <si>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</si>
  <si>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</si>
  <si>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</si>
  <si>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</si>
  <si>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</si>
  <si>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</si>
  <si>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</si>
  <si>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</si>
  <si>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</si>
  <si>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</si>
  <si>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</si>
  <si>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</si>
  <si>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</si>
  <si>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</si>
  <si>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</si>
  <si>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</si>
  <si>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</si>
  <si>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</si>
  <si>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</si>
  <si>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</si>
  <si>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</si>
  <si>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</si>
  <si>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</si>
  <si>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</si>
  <si>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</si>
  <si>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</si>
  <si>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</si>
  <si>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</si>
  <si>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</si>
  <si>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</si>
  <si>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</si>
  <si>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</si>
  <si>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</si>
  <si>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</si>
  <si>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</si>
  <si>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</si>
  <si>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</si>
  <si>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</si>
  <si>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</si>
  <si>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</si>
  <si>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</si>
  <si>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</si>
  <si>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</si>
  <si>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</si>
  <si>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</si>
  <si>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</si>
  <si>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</si>
  <si>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</si>
  <si>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</si>
  <si>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</si>
  <si>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</si>
  <si>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</si>
  <si>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</si>
  <si>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</si>
  <si>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</si>
  <si>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</si>
  <si>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</si>
  <si>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</si>
  <si>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</si>
  <si>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</si>
  <si>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</si>
  <si>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</si>
  <si>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</si>
  <si>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</si>
  <si>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</si>
  <si>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</si>
  <si>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</si>
  <si>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</si>
  <si>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</si>
  <si>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</si>
  <si>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</si>
  <si>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</si>
  <si>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</si>
  <si>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</si>
  <si>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</si>
  <si>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</si>
  <si>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</si>
  <si>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</si>
  <si>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</si>
  <si>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</si>
  <si>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</si>
  <si>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</si>
  <si>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</si>
  <si>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</si>
  <si>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</si>
  <si>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</si>
  <si>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</si>
  <si>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</si>
  <si>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</si>
  <si>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</si>
  <si>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</si>
  <si>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</si>
  <si>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</si>
  <si>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</si>
  <si>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</si>
  <si>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</si>
  <si>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</si>
  <si>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</si>
  <si>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</si>
  <si>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</si>
  <si>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</si>
  <si>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</si>
  <si>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</si>
  <si>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</si>
  <si>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</si>
  <si>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</si>
  <si>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</si>
  <si>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</si>
  <si>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</si>
  <si>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</si>
  <si>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</si>
  <si>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</si>
  <si>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</si>
  <si>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</si>
  <si>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</si>
  <si>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</si>
  <si>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</si>
  <si>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</si>
  <si>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</si>
  <si>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Prefeitura Municipal de Concórdia</t>
  </si>
  <si>
    <t>Concórdia/SC</t>
  </si>
  <si>
    <t>Não</t>
  </si>
  <si>
    <t>COMPOSIÇÃO</t>
  </si>
  <si>
    <t>Construção de Praça no Bairro das Nações</t>
  </si>
  <si>
    <t>NÃO</t>
  </si>
  <si>
    <t>Única</t>
  </si>
  <si>
    <t>TAPA BURACO</t>
  </si>
  <si>
    <t>COMP-01</t>
  </si>
  <si>
    <t>COMP-15</t>
  </si>
  <si>
    <t>RECAPEAMENTO</t>
  </si>
  <si>
    <t>COMP-16</t>
  </si>
  <si>
    <t>COMP-17</t>
  </si>
  <si>
    <t>COMP-18</t>
  </si>
  <si>
    <t>TRANSPORTES</t>
  </si>
  <si>
    <t>SINAPI</t>
  </si>
  <si>
    <t>95875</t>
  </si>
  <si>
    <t>96400</t>
  </si>
  <si>
    <t>96396</t>
  </si>
  <si>
    <t>BASE E SUB-BASE</t>
  </si>
  <si>
    <t>MANUTENÇÃO DE PAVIMENTAÇÃO ASFÁLTICA</t>
  </si>
  <si>
    <t>Município de Concórdia</t>
  </si>
  <si>
    <t>Manutenção de Pavimetnação</t>
  </si>
  <si>
    <t>TAPA BURACO COM PINTURA DE LIGAÇÃO - DEMOLIÇÃO COM SERRA DE CORTA PISO E  PLACA VIBRATÓRIA</t>
  </si>
  <si>
    <t>TAPA BURACO COM PINTURA DE LIGAÇÃO - DEMOLIÇÃO COM SERRA DE CORTA PISO E  ROLO COMPACTADOR</t>
  </si>
  <si>
    <t>RECAPEAMENTO ASFÁLTICO - FRESADO - COM PINTURA DE LIGAÇÃO E ROLO COMPACTADOR</t>
  </si>
  <si>
    <t>RECAPEAMENTO DE PAVIMETAÇÃO ASFÁLTICA - FRESADO - COM PINTURA DE LIGAÇÃO - APLICAÇÃO COM VIBROACABADORA - COMPACTAÇÃO COM ROLO</t>
  </si>
  <si>
    <t>RECAPEAMENTO DE PAVIMENTAÇÃO ASFÁLICA - COM PINTURA DE LIGAÇÃO - COMPACTAÇÃO COM ROLO</t>
  </si>
  <si>
    <t>TRANSPORTE COM CAMINHÃO BASCULANTE DE 10 M³, EM VIA URBANA PAVIMENTADA, DMT ATÉ 30 KM (UNIDADE: M3XKM). AF_02/2026</t>
  </si>
  <si>
    <t>CONSTRUÇÃO DE BASE E SUB-BASE PARA PAVIMENTAÇÃO DE MACADAME SECO, COM ESPESSURA DE 15 CM - EXCLUSIVE CARGA E TRANSPORTE. AF_09/2024</t>
  </si>
  <si>
    <t>CONSTRUÇÃO DE BASE E SUB-BASE PARA PAVIMENTAÇÃO DE BRITA GRADUADA SIMPLES, COM ESPESSURA DE 15 CM - EXCLUSIVE CARGA E TRANSPORTE. AF_09/2024</t>
  </si>
  <si>
    <t>M²</t>
  </si>
  <si>
    <t>M3XKM</t>
  </si>
  <si>
    <t>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</si>
</sst>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2">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5"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10" fontId="1" fillId="0" borderId="0" xfId="74"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5"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69"/>
    <xf numFmtId="0" fontId="22" fillId="0" borderId="0" xfId="69" applyFont="1" applyAlignment="1">
      <alignment horizontal="center"/>
    </xf>
    <xf numFmtId="0" fontId="22" fillId="0" borderId="14" xfId="69" applyFont="1" applyBorder="1" applyAlignment="1">
      <alignment horizontal="center"/>
    </xf>
    <xf numFmtId="10" fontId="31" fillId="0" borderId="14" xfId="69" applyNumberFormat="1" applyFont="1" applyBorder="1" applyAlignment="1">
      <alignment horizontal="center"/>
    </xf>
    <xf numFmtId="0" fontId="21" fillId="0" borderId="0" xfId="69" applyFont="1" applyAlignment="1">
      <alignment horizontal="center"/>
    </xf>
    <xf numFmtId="0" fontId="32" fillId="0" borderId="0" xfId="69" applyFont="1"/>
    <xf numFmtId="0" fontId="22" fillId="0" borderId="0" xfId="69" applyFont="1"/>
    <xf numFmtId="0" fontId="22" fillId="0" borderId="14" xfId="69" applyFont="1" applyBorder="1" applyAlignment="1">
      <alignment horizontal="center" vertical="center" wrapText="1"/>
    </xf>
    <xf numFmtId="0" fontId="30" fillId="0" borderId="14" xfId="69" applyFont="1" applyBorder="1" applyAlignment="1">
      <alignment horizontal="center" vertical="center"/>
    </xf>
    <xf numFmtId="10" fontId="30" fillId="25" borderId="14" xfId="69" applyNumberFormat="1" applyFont="1" applyFill="1" applyBorder="1" applyAlignment="1" applyProtection="1">
      <alignment horizontal="center" vertical="center"/>
      <protection locked="0"/>
    </xf>
    <xf numFmtId="4" fontId="26"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wrapText="1"/>
    </xf>
    <xf numFmtId="0" fontId="30" fillId="0" borderId="14" xfId="69" applyFont="1" applyBorder="1" applyAlignment="1">
      <alignment horizontal="center" vertical="center" wrapText="1"/>
    </xf>
    <xf numFmtId="0" fontId="39" fillId="0" borderId="0" xfId="69" applyFont="1" applyAlignment="1">
      <alignment horizontal="center" vertical="center" wrapText="1"/>
    </xf>
    <xf numFmtId="10" fontId="39" fillId="0" borderId="0" xfId="69" applyNumberFormat="1" applyFont="1" applyAlignment="1">
      <alignment horizontal="center" vertical="center"/>
    </xf>
    <xf numFmtId="170" fontId="1" fillId="0" borderId="0" xfId="69" applyNumberFormat="1"/>
    <xf numFmtId="0" fontId="30" fillId="0" borderId="0" xfId="69" applyFont="1"/>
    <xf numFmtId="0" fontId="30" fillId="0" borderId="0" xfId="69" applyFont="1" applyAlignment="1">
      <alignment vertical="top"/>
    </xf>
    <xf numFmtId="0" fontId="34" fillId="0" borderId="0" xfId="69"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lignment vertical="top"/>
    </xf>
    <xf numFmtId="0" fontId="22" fillId="0" borderId="15" xfId="70" applyFont="1" applyBorder="1" applyAlignment="1">
      <alignment horizontal="center" vertical="top"/>
    </xf>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Font="1" applyFill="1" applyBorder="1" applyAlignment="1" applyProtection="1">
      <alignment horizontal="center" vertical="center" shrinkToFit="1"/>
    </xf>
    <xf numFmtId="164" fontId="1" fillId="0" borderId="20" xfId="85" applyFont="1" applyFill="1" applyBorder="1" applyAlignment="1">
      <alignment horizontal="center" vertical="center" shrinkToFit="1"/>
    </xf>
    <xf numFmtId="0" fontId="21" fillId="0" borderId="0" xfId="0" applyFont="1" applyAlignment="1">
      <alignment horizontal="left" vertical="center"/>
    </xf>
    <xf numFmtId="0" fontId="1" fillId="0" borderId="0" xfId="69" applyAlignment="1">
      <alignment horizontal="center" vertical="top"/>
    </xf>
    <xf numFmtId="0" fontId="38" fillId="0" borderId="0" xfId="70"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69" applyNumberFormat="1" applyFont="1" applyBorder="1" applyAlignment="1">
      <alignment horizontal="center" vertical="center" wrapText="1"/>
    </xf>
    <xf numFmtId="0" fontId="46" fillId="0" borderId="0" xfId="69" applyFont="1" applyAlignment="1">
      <alignment wrapText="1"/>
    </xf>
    <xf numFmtId="0" fontId="47" fillId="0" borderId="0" xfId="69" applyFont="1" applyAlignment="1">
      <alignment vertical="top" wrapText="1"/>
    </xf>
    <xf numFmtId="0" fontId="44" fillId="0" borderId="14" xfId="69" applyFont="1" applyBorder="1" applyAlignment="1">
      <alignment horizontal="center" vertical="center"/>
    </xf>
    <xf numFmtId="4" fontId="26" fillId="0" borderId="0" xfId="69" applyNumberFormat="1" applyFont="1" applyAlignment="1">
      <alignment horizontal="center" vertical="center" wrapText="1"/>
    </xf>
    <xf numFmtId="0" fontId="1" fillId="0" borderId="0" xfId="69"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5"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lignment horizontal="left"/>
    </xf>
    <xf numFmtId="0" fontId="1" fillId="0" borderId="17" xfId="69"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164" fontId="1" fillId="25" borderId="24" xfId="85" applyFont="1" applyFill="1" applyBorder="1" applyAlignment="1" applyProtection="1">
      <alignment vertical="center" shrinkToFit="1"/>
      <protection locked="0"/>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0" fontId="0" fillId="25" borderId="1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0" fontId="1" fillId="0" borderId="18"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70" applyFont="1" applyBorder="1" applyAlignment="1">
      <alignment horizontal="left" vertical="top"/>
    </xf>
    <xf numFmtId="0" fontId="38" fillId="0" borderId="12" xfId="70"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49" fontId="1" fillId="25" borderId="0" xfId="0" applyNumberFormat="1" applyFont="1" applyFill="1" applyAlignment="1" applyProtection="1">
      <alignment horizontal="left"/>
      <protection locked="0"/>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69" applyNumberFormat="1" applyAlignment="1" applyProtection="1">
      <alignment horizontal="left"/>
      <protection locked="0"/>
    </xf>
    <xf numFmtId="0" fontId="26" fillId="0" borderId="0" xfId="69" applyFont="1" applyAlignment="1">
      <alignment horizontal="left" vertical="center"/>
    </xf>
    <xf numFmtId="0" fontId="22" fillId="0" borderId="0" xfId="69" applyFont="1" applyAlignment="1">
      <alignment horizontal="left" vertical="center"/>
    </xf>
    <xf numFmtId="10" fontId="2" fillId="25" borderId="14" xfId="69" applyNumberFormat="1" applyFont="1" applyFill="1" applyBorder="1" applyAlignment="1" applyProtection="1">
      <alignment horizontal="center"/>
      <protection locked="0"/>
    </xf>
    <xf numFmtId="0" fontId="2" fillId="0" borderId="14" xfId="69" applyFont="1" applyBorder="1" applyAlignment="1">
      <alignment horizontal="left"/>
    </xf>
    <xf numFmtId="0" fontId="26" fillId="0" borderId="14" xfId="69" applyFont="1" applyBorder="1" applyAlignment="1">
      <alignment horizontal="center" vertical="center"/>
    </xf>
    <xf numFmtId="0" fontId="2" fillId="0" borderId="14" xfId="69" applyFont="1" applyBorder="1" applyAlignment="1">
      <alignment horizontal="left" wrapText="1"/>
    </xf>
    <xf numFmtId="4" fontId="26" fillId="0" borderId="14" xfId="69" applyNumberFormat="1" applyFont="1" applyBorder="1" applyAlignment="1">
      <alignment horizontal="center" vertical="center" wrapText="1"/>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Border="1" applyAlignment="1">
      <alignment horizontal="center" vertical="top" wrapText="1"/>
    </xf>
    <xf numFmtId="0" fontId="1" fillId="0" borderId="38" xfId="69" applyBorder="1" applyAlignment="1">
      <alignment horizontal="center" vertical="top" wrapText="1"/>
    </xf>
    <xf numFmtId="0" fontId="1" fillId="0" borderId="18" xfId="69" applyBorder="1" applyAlignment="1">
      <alignment horizontal="left" vertical="top" wrapText="1"/>
    </xf>
    <xf numFmtId="0" fontId="1" fillId="0" borderId="38" xfId="69" applyBorder="1" applyAlignment="1">
      <alignment horizontal="left" vertical="top" wrapText="1"/>
    </xf>
    <xf numFmtId="49" fontId="1" fillId="0" borderId="18" xfId="69" applyNumberFormat="1" applyBorder="1" applyAlignment="1">
      <alignment horizontal="left" vertical="top" wrapText="1"/>
    </xf>
    <xf numFmtId="0" fontId="1" fillId="0" borderId="13" xfId="69" applyBorder="1" applyAlignment="1">
      <alignment horizontal="left" vertical="top" wrapText="1"/>
    </xf>
    <xf numFmtId="0" fontId="2" fillId="0" borderId="16" xfId="67" applyNumberFormat="1" applyFont="1" applyFill="1" applyBorder="1" applyAlignment="1" applyProtection="1">
      <alignment horizontal="left" wrapText="1"/>
    </xf>
    <xf numFmtId="0" fontId="47" fillId="0" borderId="0" xfId="69" applyFont="1" applyAlignment="1">
      <alignment horizontal="center" vertical="top" wrapText="1"/>
    </xf>
    <xf numFmtId="171" fontId="1" fillId="0" borderId="13" xfId="69" applyNumberFormat="1" applyBorder="1" applyAlignment="1">
      <alignment horizontal="left"/>
    </xf>
    <xf numFmtId="0" fontId="1" fillId="0" borderId="14" xfId="69" applyBorder="1" applyAlignment="1">
      <alignment horizontal="left" vertical="center" wrapText="1"/>
    </xf>
    <xf numFmtId="0" fontId="1" fillId="0" borderId="14" xfId="69" applyBorder="1" applyAlignment="1">
      <alignment horizontal="left" vertical="center"/>
    </xf>
    <xf numFmtId="0" fontId="22" fillId="0" borderId="14" xfId="69" applyFont="1" applyBorder="1" applyAlignment="1">
      <alignment horizontal="center" vertical="center"/>
    </xf>
    <xf numFmtId="0" fontId="35" fillId="0" borderId="14" xfId="69"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69" applyNumberFormat="1" applyAlignment="1">
      <alignment horizontal="left"/>
    </xf>
    <xf numFmtId="0" fontId="45" fillId="0" borderId="0" xfId="69" applyFont="1" applyAlignment="1">
      <alignment horizontal="left" vertical="center" indent="1"/>
    </xf>
    <xf numFmtId="0" fontId="39" fillId="0" borderId="0" xfId="69" applyFont="1" applyAlignment="1">
      <alignment horizontal="left" vertical="center" wrapText="1"/>
    </xf>
    <xf numFmtId="2" fontId="33" fillId="0" borderId="17" xfId="69" applyNumberFormat="1" applyFont="1" applyBorder="1" applyAlignment="1">
      <alignment horizontal="center" vertical="center"/>
    </xf>
    <xf numFmtId="0" fontId="1" fillId="0" borderId="0" xfId="69" applyAlignment="1">
      <alignment horizontal="center" vertical="center"/>
    </xf>
    <xf numFmtId="168" fontId="1" fillId="0" borderId="13" xfId="69" applyNumberFormat="1" applyBorder="1" applyAlignment="1">
      <alignment horizontal="left"/>
    </xf>
    <xf numFmtId="49" fontId="1" fillId="25" borderId="32" xfId="69" applyNumberFormat="1" applyFill="1" applyBorder="1" applyAlignment="1" applyProtection="1">
      <alignment horizontal="left" vertical="top" wrapText="1"/>
      <protection locked="0"/>
    </xf>
    <xf numFmtId="49" fontId="1" fillId="25" borderId="10" xfId="69" applyNumberFormat="1" applyFill="1" applyBorder="1" applyAlignment="1" applyProtection="1">
      <alignment horizontal="left" vertical="top" wrapText="1"/>
      <protection locked="0"/>
    </xf>
    <xf numFmtId="49" fontId="1" fillId="25" borderId="19" xfId="69" applyNumberFormat="1" applyFill="1" applyBorder="1" applyAlignment="1" applyProtection="1">
      <alignment horizontal="left" vertical="top" wrapText="1"/>
      <protection locked="0"/>
    </xf>
    <xf numFmtId="0" fontId="1" fillId="0" borderId="17" xfId="69"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170"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49" fillId="0" borderId="0" xfId="0" applyFont="1" applyAlignment="1">
      <alignment horizontal="center" vertical="top" wrapText="1"/>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5" applyFont="1" applyFill="1" applyBorder="1" applyAlignment="1" applyProtection="1">
      <alignment vertical="center" shrinkToFit="1"/>
    </xf>
    <xf numFmtId="164" fontId="1" fillId="25" borderId="34" xfId="85"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7">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4" xr:uid="{00000000-0005-0000-0000-00003F000000}"/>
    <cellStyle name="Linked Cell" xfId="65" xr:uid="{00000000-0005-0000-0000-000040000000}"/>
    <cellStyle name="Moeda 2" xfId="66" xr:uid="{00000000-0005-0000-0000-000041000000}"/>
    <cellStyle name="Moeda_Composicao BDI v2.1" xfId="67" xr:uid="{00000000-0005-0000-0000-000042000000}"/>
    <cellStyle name="Neutral" xfId="68" xr:uid="{00000000-0005-0000-0000-000043000000}"/>
    <cellStyle name="Normal" xfId="0" builtinId="0"/>
    <cellStyle name="Normal 2" xfId="69" xr:uid="{00000000-0005-0000-0000-000045000000}"/>
    <cellStyle name="Normal_FICHA DE VERIFICAÇÃO PRELIMINAR - Plano R" xfId="70" xr:uid="{00000000-0005-0000-0000-000046000000}"/>
    <cellStyle name="Nota" xfId="71" builtinId="10" customBuiltin="1"/>
    <cellStyle name="Note" xfId="72" xr:uid="{00000000-0005-0000-0000-000048000000}"/>
    <cellStyle name="Output" xfId="73" xr:uid="{00000000-0005-0000-0000-000049000000}"/>
    <cellStyle name="Porcentagem" xfId="74" builtinId="5"/>
    <cellStyle name="Saída" xfId="75" builtinId="21" customBuiltin="1"/>
    <cellStyle name="Texto de Aviso" xfId="76" builtinId="11" customBuiltin="1"/>
    <cellStyle name="Texto Explicativo" xfId="77" builtinId="53" customBuiltin="1"/>
    <cellStyle name="Title" xfId="78" xr:uid="{00000000-0005-0000-0000-00004E000000}"/>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00000000-0005-0000-0000-000056000000}"/>
  </cellStyles>
  <dxfs count="184">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drawing6.xml.rels><?xml version="1.0" encoding="UTF-8" standalone="yes"?>
<Relationships xmlns="http://schemas.openxmlformats.org/package/2006/relationships"><Relationship Id="rId3" Type="http://schemas.openxmlformats.org/officeDocument/2006/relationships/image" Target="../media/image9.emf"/><Relationship Id="rId7" Type="http://schemas.openxmlformats.org/officeDocument/2006/relationships/image" Target="../media/image2.emf"/><Relationship Id="rId2" Type="http://schemas.openxmlformats.org/officeDocument/2006/relationships/image" Target="../media/image8.emf"/><Relationship Id="rId1" Type="http://schemas.openxmlformats.org/officeDocument/2006/relationships/image" Target="../media/image4.emf"/><Relationship Id="rId6" Type="http://schemas.openxmlformats.org/officeDocument/2006/relationships/image" Target="../media/image5.emf"/><Relationship Id="rId5" Type="http://schemas.openxmlformats.org/officeDocument/2006/relationships/image" Target="../media/image10.emf"/><Relationship Id="rId4"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1.emf"/><Relationship Id="rId1" Type="http://schemas.openxmlformats.org/officeDocument/2006/relationships/image" Target="../media/image6.emf"/><Relationship Id="rId6" Type="http://schemas.openxmlformats.org/officeDocument/2006/relationships/image" Target="../media/image7.emf"/><Relationship Id="rId5" Type="http://schemas.openxmlformats.org/officeDocument/2006/relationships/image" Target="../media/image13.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69166"/>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200-000003000000}"/>
            </a:ext>
          </a:extLst>
        </xdr:cNvPr>
        <xdr:cNvSpPr/>
      </xdr:nvSpPr>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9525</xdr:rowOff>
        </xdr:to>
        <xdr:pic>
          <xdr:nvPicPr>
            <xdr:cNvPr id="4" name="SigiloPic">
              <a:extLst>
                <a:ext uri="{FF2B5EF4-FFF2-40B4-BE49-F238E27FC236}">
                  <a16:creationId xmlns:a16="http://schemas.microsoft.com/office/drawing/2014/main" id="{00000000-0008-0000-0200-000004000000}"/>
                </a:ext>
              </a:extLst>
            </xdr:cNvPr>
            <xdr:cNvPicPr>
              <a:picLocks noChangeArrowheads="1"/>
              <a:extLst>
                <a:ext uri="{84589F7E-364E-4C9E-8A38-B11213B215E9}">
                  <a14:cameraTool cellRange="PO!$T$1:$T$2" spid="_x0000_s273062"/>
                </a:ext>
              </a:extLst>
            </xdr:cNvPicPr>
          </xdr:nvPicPr>
          <xdr:blipFill>
            <a:blip xmlns:r="http://schemas.openxmlformats.org/officeDocument/2006/relationships" r:embed="rId1"/>
            <a:srcRect/>
            <a:stretch>
              <a:fillRect/>
            </a:stretch>
          </xdr:blipFill>
          <xdr:spPr bwMode="auto">
            <a:xfrm>
              <a:off x="6172200" y="28575"/>
              <a:ext cx="1047750" cy="3333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5" name="Picture 476">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3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300-000003000000}"/>
            </a:ext>
          </a:extLst>
        </xdr:cNvPr>
        <xdr:cNvSpPr/>
      </xdr:nvSpPr>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9525</xdr:rowOff>
        </xdr:to>
        <xdr:pic>
          <xdr:nvPicPr>
            <xdr:cNvPr id="4" name="SigiloPic">
              <a:extLst>
                <a:ext uri="{FF2B5EF4-FFF2-40B4-BE49-F238E27FC236}">
                  <a16:creationId xmlns:a16="http://schemas.microsoft.com/office/drawing/2014/main" id="{00000000-0008-0000-0300-000004000000}"/>
                </a:ext>
              </a:extLst>
            </xdr:cNvPr>
            <xdr:cNvPicPr>
              <a:picLocks noChangeArrowheads="1"/>
              <a:extLst>
                <a:ext uri="{84589F7E-364E-4C9E-8A38-B11213B215E9}">
                  <a14:cameraTool cellRange="PO!$T$1:$T$2" spid="_x0000_s277013"/>
                </a:ext>
              </a:extLst>
            </xdr:cNvPicPr>
          </xdr:nvPicPr>
          <xdr:blipFill>
            <a:blip xmlns:r="http://schemas.openxmlformats.org/officeDocument/2006/relationships" r:embed="rId1"/>
            <a:srcRect/>
            <a:stretch>
              <a:fillRect/>
            </a:stretch>
          </xdr:blipFill>
          <xdr:spPr bwMode="auto">
            <a:xfrm>
              <a:off x="6172200" y="28575"/>
              <a:ext cx="1047750" cy="3333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5" name="Picture 476">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00000000-0008-0000-0400-0000B9070300}"/>
                </a:ext>
              </a:extLst>
            </xdr:cNvPr>
            <xdr:cNvPicPr>
              <a:picLocks noChangeArrowheads="1"/>
              <a:extLst>
                <a:ext uri="{84589F7E-364E-4C9E-8A38-B11213B215E9}">
                  <a14:cameraTool cellRange="DADOS!$A$220:$X$230" spid="_x0000_s292876"/>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4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35</xdr:row>
          <xdr:rowOff>0</xdr:rowOff>
        </xdr:from>
        <xdr:to>
          <xdr:col>19</xdr:col>
          <xdr:colOff>123825</xdr:colOff>
          <xdr:row>39</xdr:row>
          <xdr:rowOff>142875</xdr:rowOff>
        </xdr:to>
        <xdr:pic>
          <xdr:nvPicPr>
            <xdr:cNvPr id="198588" name="Picture 483">
              <a:extLst>
                <a:ext uri="{FF2B5EF4-FFF2-40B4-BE49-F238E27FC236}">
                  <a16:creationId xmlns:a16="http://schemas.microsoft.com/office/drawing/2014/main" id="{00000000-0008-0000-0400-0000BC070300}"/>
                </a:ext>
              </a:extLst>
            </xdr:cNvPr>
            <xdr:cNvPicPr>
              <a:picLocks noChangeArrowheads="1"/>
              <a:extLst>
                <a:ext uri="{84589F7E-364E-4C9E-8A38-B11213B215E9}">
                  <a14:cameraTool cellRange="DADOS!$A$53:$K$57" spid="_x0000_s292877"/>
                </a:ext>
              </a:extLst>
            </xdr:cNvPicPr>
          </xdr:nvPicPr>
          <xdr:blipFill>
            <a:blip xmlns:r="http://schemas.openxmlformats.org/officeDocument/2006/relationships" r:embed="rId2"/>
            <a:srcRect/>
            <a:stretch>
              <a:fillRect/>
            </a:stretch>
          </xdr:blipFill>
          <xdr:spPr bwMode="auto">
            <a:xfrm>
              <a:off x="7210425" y="9477375"/>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5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806450</xdr:colOff>
          <xdr:row>5</xdr:row>
          <xdr:rowOff>120650</xdr:rowOff>
        </xdr:to>
        <xdr:pic>
          <xdr:nvPicPr>
            <xdr:cNvPr id="199394" name="PIC1">
              <a:extLst>
                <a:ext uri="{FF2B5EF4-FFF2-40B4-BE49-F238E27FC236}">
                  <a16:creationId xmlns:a16="http://schemas.microsoft.com/office/drawing/2014/main" id="{00000000-0008-0000-0500-0000E20A0300}"/>
                </a:ext>
              </a:extLst>
            </xdr:cNvPr>
            <xdr:cNvPicPr>
              <a:picLocks noChangeArrowheads="1"/>
              <a:extLst>
                <a:ext uri="{84589F7E-364E-4C9E-8A38-B11213B215E9}">
                  <a14:cameraTool cellRange="DADOS!$A$220:$X$230" spid="_x0000_s290315"/>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768350</xdr:colOff>
          <xdr:row>5</xdr:row>
          <xdr:rowOff>120650</xdr:rowOff>
        </xdr:to>
        <xdr:pic>
          <xdr:nvPicPr>
            <xdr:cNvPr id="199395" name="PIC2">
              <a:extLst>
                <a:ext uri="{FF2B5EF4-FFF2-40B4-BE49-F238E27FC236}">
                  <a16:creationId xmlns:a16="http://schemas.microsoft.com/office/drawing/2014/main" id="{00000000-0008-0000-0500-0000E30A0300}"/>
                </a:ext>
              </a:extLst>
            </xdr:cNvPr>
            <xdr:cNvPicPr>
              <a:picLocks noChangeArrowheads="1"/>
              <a:extLst>
                <a:ext uri="{84589F7E-364E-4C9E-8A38-B11213B215E9}">
                  <a14:cameraTool cellRange="DADOS!$A$220:$X$230" spid="_x0000_s290316"/>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5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26</xdr:row>
          <xdr:rowOff>9525</xdr:rowOff>
        </xdr:from>
        <xdr:to>
          <xdr:col>14</xdr:col>
          <xdr:colOff>28575</xdr:colOff>
          <xdr:row>30</xdr:row>
          <xdr:rowOff>152400</xdr:rowOff>
        </xdr:to>
        <xdr:pic>
          <xdr:nvPicPr>
            <xdr:cNvPr id="199399" name="Picture 483">
              <a:extLst>
                <a:ext uri="{FF2B5EF4-FFF2-40B4-BE49-F238E27FC236}">
                  <a16:creationId xmlns:a16="http://schemas.microsoft.com/office/drawing/2014/main" id="{00000000-0008-0000-0500-0000E70A0300}"/>
                </a:ext>
              </a:extLst>
            </xdr:cNvPr>
            <xdr:cNvPicPr>
              <a:picLocks noChangeArrowheads="1"/>
              <a:extLst>
                <a:ext uri="{84589F7E-364E-4C9E-8A38-B11213B215E9}">
                  <a14:cameraTool cellRange="DADOS!$A$53:$K$57" spid="_x0000_s290317"/>
                </a:ext>
              </a:extLst>
            </xdr:cNvPicPr>
          </xdr:nvPicPr>
          <xdr:blipFill>
            <a:blip xmlns:r="http://schemas.openxmlformats.org/officeDocument/2006/relationships" r:embed="rId2"/>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00000000-0008-0000-0500-0000E80A0300}"/>
                </a:ext>
              </a:extLst>
            </xdr:cNvPr>
            <xdr:cNvPicPr>
              <a:picLocks noChangeArrowheads="1"/>
              <a:extLst>
                <a:ext uri="{84589F7E-364E-4C9E-8A38-B11213B215E9}">
                  <a14:cameraTool cellRange="PO!$T$1:$T$2" spid="_x0000_s290318"/>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6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6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00000000-0008-0000-0600-0000E00F0300}"/>
                </a:ext>
              </a:extLst>
            </xdr:cNvPr>
            <xdr:cNvPicPr>
              <a:picLocks noChangeArrowheads="1"/>
              <a:extLst>
                <a:ext uri="{84589F7E-364E-4C9E-8A38-B11213B215E9}">
                  <a14:cameraTool cellRange="DADOS!$A$220:$X$230" spid="_x0000_s292694"/>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00000000-0008-0000-0600-0000E10F0300}"/>
                </a:ext>
              </a:extLst>
            </xdr:cNvPr>
            <xdr:cNvPicPr>
              <a:picLocks noChangeArrowheads="1"/>
              <a:extLst>
                <a:ext uri="{84589F7E-364E-4C9E-8A38-B11213B215E9}">
                  <a14:cameraTool cellRange="DADOS!$A$220:$X$230" spid="_x0000_s292695"/>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52</xdr:row>
          <xdr:rowOff>0</xdr:rowOff>
        </xdr:from>
        <xdr:to>
          <xdr:col>22</xdr:col>
          <xdr:colOff>28575</xdr:colOff>
          <xdr:row>56</xdr:row>
          <xdr:rowOff>142875</xdr:rowOff>
        </xdr:to>
        <xdr:pic>
          <xdr:nvPicPr>
            <xdr:cNvPr id="200674" name="Picture 483">
              <a:extLst>
                <a:ext uri="{FF2B5EF4-FFF2-40B4-BE49-F238E27FC236}">
                  <a16:creationId xmlns:a16="http://schemas.microsoft.com/office/drawing/2014/main" id="{00000000-0008-0000-0600-0000E20F0300}"/>
                </a:ext>
              </a:extLst>
            </xdr:cNvPr>
            <xdr:cNvPicPr>
              <a:picLocks noChangeArrowheads="1"/>
              <a:extLst>
                <a:ext uri="{84589F7E-364E-4C9E-8A38-B11213B215E9}">
                  <a14:cameraTool cellRange="DADOS!$A$53:$K$57" spid="_x0000_s292696"/>
                </a:ext>
              </a:extLst>
            </xdr:cNvPicPr>
          </xdr:nvPicPr>
          <xdr:blipFill>
            <a:blip xmlns:r="http://schemas.openxmlformats.org/officeDocument/2006/relationships" r:embed="rId3"/>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00000000-0008-0000-0600-0000E30F0300}"/>
                </a:ext>
              </a:extLst>
            </xdr:cNvPr>
            <xdr:cNvPicPr>
              <a:picLocks noChangeArrowheads="1"/>
              <a:extLst>
                <a:ext uri="{84589F7E-364E-4C9E-8A38-B11213B215E9}">
                  <a14:cameraTool cellRange="PO!$T$1:$T$2" spid="_x0000_s292697"/>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0676" name="Picture 483">
              <a:extLst>
                <a:ext uri="{FF2B5EF4-FFF2-40B4-BE49-F238E27FC236}">
                  <a16:creationId xmlns:a16="http://schemas.microsoft.com/office/drawing/2014/main" id="{00000000-0008-0000-0600-0000E40F0300}"/>
                </a:ext>
              </a:extLst>
            </xdr:cNvPr>
            <xdr:cNvPicPr>
              <a:picLocks noChangeArrowheads="1"/>
              <a:extLst>
                <a:ext uri="{84589F7E-364E-4C9E-8A38-B11213B215E9}">
                  <a14:cameraTool cellRange="DADOS!$A$53:$K$57" spid="_x0000_s292698"/>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id="{00000000-0008-0000-0600-0000E50F0300}"/>
                </a:ext>
              </a:extLst>
            </xdr:cNvPr>
            <xdr:cNvPicPr>
              <a:picLocks noChangeArrowheads="1"/>
              <a:extLst>
                <a:ext uri="{84589F7E-364E-4C9E-8A38-B11213B215E9}">
                  <a14:cameraTool cellRange="PO!$T$1:$T$2" spid="_x0000_s292699"/>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0678" name="Picture 483">
              <a:extLst>
                <a:ext uri="{FF2B5EF4-FFF2-40B4-BE49-F238E27FC236}">
                  <a16:creationId xmlns:a16="http://schemas.microsoft.com/office/drawing/2014/main" id="{00000000-0008-0000-0600-0000E60F0300}"/>
                </a:ext>
              </a:extLst>
            </xdr:cNvPr>
            <xdr:cNvPicPr>
              <a:picLocks noChangeArrowheads="1"/>
              <a:extLst>
                <a:ext uri="{84589F7E-364E-4C9E-8A38-B11213B215E9}">
                  <a14:cameraTool cellRange="DADOS!$A$53:$K$57" spid="_x0000_s292700"/>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id="{00000000-0008-0000-0600-0000E70F0300}"/>
                </a:ext>
              </a:extLst>
            </xdr:cNvPr>
            <xdr:cNvPicPr>
              <a:picLocks noChangeArrowheads="1"/>
              <a:extLst>
                <a:ext uri="{84589F7E-364E-4C9E-8A38-B11213B215E9}">
                  <a14:cameraTool cellRange="PO!$T$1:$T$2" spid="_x0000_s292701"/>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0680" name="Picture 483">
              <a:extLst>
                <a:ext uri="{FF2B5EF4-FFF2-40B4-BE49-F238E27FC236}">
                  <a16:creationId xmlns:a16="http://schemas.microsoft.com/office/drawing/2014/main" id="{00000000-0008-0000-0600-0000E80F0300}"/>
                </a:ext>
              </a:extLst>
            </xdr:cNvPr>
            <xdr:cNvPicPr>
              <a:picLocks noChangeArrowheads="1"/>
              <a:extLst>
                <a:ext uri="{84589F7E-364E-4C9E-8A38-B11213B215E9}">
                  <a14:cameraTool cellRange="DADOS!$A$53:$K$57" spid="_x0000_s292702"/>
                </a:ext>
              </a:extLst>
            </xdr:cNvPicPr>
          </xdr:nvPicPr>
          <xdr:blipFill>
            <a:blip xmlns:r="http://schemas.openxmlformats.org/officeDocument/2006/relationships" r:embed="rId6"/>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id="{00000000-0008-0000-0600-0000E90F0300}"/>
                </a:ext>
              </a:extLst>
            </xdr:cNvPr>
            <xdr:cNvPicPr>
              <a:picLocks noChangeArrowheads="1"/>
              <a:extLst>
                <a:ext uri="{84589F7E-364E-4C9E-8A38-B11213B215E9}">
                  <a14:cameraTool cellRange="PO!$T$1:$T$2" spid="_x0000_s292703"/>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0682" name="Picture 483">
              <a:extLst>
                <a:ext uri="{FF2B5EF4-FFF2-40B4-BE49-F238E27FC236}">
                  <a16:creationId xmlns:a16="http://schemas.microsoft.com/office/drawing/2014/main" id="{00000000-0008-0000-0600-0000EA0F0300}"/>
                </a:ext>
              </a:extLst>
            </xdr:cNvPr>
            <xdr:cNvPicPr>
              <a:picLocks noChangeArrowheads="1"/>
              <a:extLst>
                <a:ext uri="{84589F7E-364E-4C9E-8A38-B11213B215E9}">
                  <a14:cameraTool cellRange="DADOS!$A$53:$K$57" spid="_x0000_s292704"/>
                </a:ext>
              </a:extLst>
            </xdr:cNvPicPr>
          </xdr:nvPicPr>
          <xdr:blipFill>
            <a:blip xmlns:r="http://schemas.openxmlformats.org/officeDocument/2006/relationships" r:embed="rId6"/>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id="{00000000-0008-0000-0600-0000EB0F0300}"/>
                </a:ext>
              </a:extLst>
            </xdr:cNvPr>
            <xdr:cNvPicPr>
              <a:picLocks noChangeArrowheads="1"/>
              <a:extLst>
                <a:ext uri="{84589F7E-364E-4C9E-8A38-B11213B215E9}">
                  <a14:cameraTool cellRange="PO!$T$1:$T$2" spid="_x0000_s292705"/>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52</xdr:row>
          <xdr:rowOff>0</xdr:rowOff>
        </xdr:from>
        <xdr:to>
          <xdr:col>23</xdr:col>
          <xdr:colOff>0</xdr:colOff>
          <xdr:row>56</xdr:row>
          <xdr:rowOff>142875</xdr:rowOff>
        </xdr:to>
        <xdr:pic>
          <xdr:nvPicPr>
            <xdr:cNvPr id="200684" name="Picture 483">
              <a:extLst>
                <a:ext uri="{FF2B5EF4-FFF2-40B4-BE49-F238E27FC236}">
                  <a16:creationId xmlns:a16="http://schemas.microsoft.com/office/drawing/2014/main" id="{00000000-0008-0000-0600-0000EC0F0300}"/>
                </a:ext>
              </a:extLst>
            </xdr:cNvPr>
            <xdr:cNvPicPr>
              <a:picLocks noChangeArrowheads="1"/>
              <a:extLst>
                <a:ext uri="{84589F7E-364E-4C9E-8A38-B11213B215E9}">
                  <a14:cameraTool cellRange="DADOS!$A$53:$K$57" spid="_x0000_s292706"/>
                </a:ext>
              </a:extLst>
            </xdr:cNvPicPr>
          </xdr:nvPicPr>
          <xdr:blipFill>
            <a:blip xmlns:r="http://schemas.openxmlformats.org/officeDocument/2006/relationships" r:embed="rId6"/>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id="{00000000-0008-0000-0600-0000ED0F0300}"/>
                </a:ext>
              </a:extLst>
            </xdr:cNvPr>
            <xdr:cNvPicPr>
              <a:picLocks noChangeArrowheads="1"/>
              <a:extLst>
                <a:ext uri="{84589F7E-364E-4C9E-8A38-B11213B215E9}">
                  <a14:cameraTool cellRange="PO!$T$1:$T$2" spid="_x0000_s292707"/>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zoomScaleNormal="100" zoomScaleSheetLayoutView="100" workbookViewId="0">
      <selection activeCell="Q33" sqref="Q33"/>
    </sheetView>
  </sheetViews>
  <sheetFormatPr defaultRowHeight="12.5" x14ac:dyDescent="0.25"/>
  <cols>
    <col min="1" max="2" width="8.7265625" style="5" customWidth="1"/>
    <col min="3" max="5" width="8.7265625" customWidth="1"/>
    <col min="6" max="8" width="8.7265625" style="4" customWidth="1"/>
    <col min="9" max="24" width="8.7265625" customWidth="1"/>
  </cols>
  <sheetData>
    <row r="1" spans="1:25" ht="12.75" customHeight="1" x14ac:dyDescent="0.25">
      <c r="A1" s="88">
        <v>27476</v>
      </c>
      <c r="B1" s="253" t="s">
        <v>2</v>
      </c>
      <c r="C1" s="253"/>
      <c r="D1" s="253"/>
      <c r="E1" s="253"/>
      <c r="F1" s="253"/>
      <c r="G1" s="253"/>
      <c r="H1" s="253"/>
      <c r="I1" s="253"/>
      <c r="J1" s="253"/>
      <c r="K1" s="253"/>
      <c r="L1" s="253"/>
      <c r="M1" s="253"/>
      <c r="N1" s="253"/>
      <c r="O1" s="253"/>
      <c r="P1" s="253"/>
      <c r="Q1" s="253"/>
      <c r="R1" s="253"/>
      <c r="S1" s="253"/>
      <c r="T1" s="253"/>
      <c r="U1" s="253"/>
      <c r="V1" s="253"/>
      <c r="W1" s="253"/>
      <c r="X1" s="254"/>
    </row>
    <row r="2" spans="1:25" ht="13.5" customHeight="1" x14ac:dyDescent="0.25">
      <c r="A2" s="90" t="s">
        <v>228</v>
      </c>
      <c r="B2" s="255"/>
      <c r="C2" s="255"/>
      <c r="D2" s="255"/>
      <c r="E2" s="255"/>
      <c r="F2" s="255"/>
      <c r="G2" s="255"/>
      <c r="H2" s="255"/>
      <c r="I2" s="255"/>
      <c r="J2" s="255"/>
      <c r="K2" s="255"/>
      <c r="L2" s="255"/>
      <c r="M2" s="255"/>
      <c r="N2" s="255"/>
      <c r="O2" s="255"/>
      <c r="P2" s="255"/>
      <c r="Q2" s="255"/>
      <c r="R2" s="255"/>
      <c r="S2" s="255"/>
      <c r="T2" s="255"/>
      <c r="U2" s="255"/>
      <c r="V2" s="255"/>
      <c r="W2" s="255"/>
      <c r="X2" s="256"/>
    </row>
    <row r="3" spans="1:25" ht="13.5" customHeight="1" x14ac:dyDescent="0.25">
      <c r="A3"/>
      <c r="B3"/>
      <c r="F3"/>
      <c r="G3"/>
      <c r="H3"/>
    </row>
    <row r="4" spans="1:25" ht="12.75" customHeight="1" x14ac:dyDescent="0.25">
      <c r="A4" s="265" t="s">
        <v>168</v>
      </c>
      <c r="B4" s="265"/>
      <c r="C4" s="265"/>
      <c r="D4" s="265"/>
      <c r="E4" s="265"/>
      <c r="F4" s="265"/>
      <c r="G4" s="265"/>
      <c r="H4" s="265"/>
      <c r="I4" s="265"/>
      <c r="J4" s="265"/>
      <c r="K4" s="265"/>
      <c r="L4" s="265"/>
      <c r="M4" s="265"/>
      <c r="N4" s="265"/>
      <c r="O4" s="265"/>
      <c r="P4" s="265"/>
      <c r="Q4" s="265"/>
      <c r="R4" s="265"/>
      <c r="S4" s="265"/>
      <c r="T4" s="265"/>
      <c r="U4" s="265"/>
      <c r="V4" s="265"/>
      <c r="W4" s="265"/>
      <c r="X4" s="265"/>
    </row>
    <row r="6" spans="1:25" s="5" customFormat="1" ht="25" customHeight="1" x14ac:dyDescent="0.25">
      <c r="A6" s="266" t="s">
        <v>179</v>
      </c>
      <c r="B6" s="267"/>
      <c r="C6" s="267"/>
      <c r="D6" s="267"/>
      <c r="E6" s="267"/>
      <c r="F6" s="267"/>
      <c r="G6" s="267"/>
      <c r="H6" s="267"/>
      <c r="I6" s="267"/>
      <c r="J6" s="267"/>
      <c r="K6" s="267"/>
      <c r="L6" s="267"/>
      <c r="M6" s="267"/>
      <c r="N6" s="267"/>
      <c r="O6" s="267"/>
      <c r="P6" s="267"/>
      <c r="Q6" s="267"/>
      <c r="R6" s="267"/>
      <c r="S6" s="267"/>
      <c r="T6" s="267"/>
      <c r="U6" s="267"/>
      <c r="V6" s="267"/>
      <c r="W6" s="267"/>
      <c r="X6" s="267"/>
    </row>
    <row r="7" spans="1:25" ht="12.75" customHeight="1" x14ac:dyDescent="0.25"/>
    <row r="8" spans="1:25" ht="12.75" customHeight="1" x14ac:dyDescent="0.3">
      <c r="A8" s="268" t="s">
        <v>23</v>
      </c>
      <c r="B8" s="268"/>
      <c r="C8" s="268"/>
      <c r="D8" s="268"/>
      <c r="E8" s="268"/>
      <c r="F8" s="268"/>
      <c r="G8" s="268"/>
      <c r="H8" s="268"/>
      <c r="I8" s="268"/>
      <c r="J8" s="268"/>
      <c r="K8" s="268"/>
      <c r="L8" s="268"/>
      <c r="M8" s="268"/>
      <c r="N8" s="268"/>
      <c r="O8" s="268"/>
      <c r="P8" s="268"/>
      <c r="Q8" s="268"/>
      <c r="R8" s="268"/>
      <c r="S8" s="268"/>
      <c r="T8" s="268"/>
      <c r="U8" s="268"/>
      <c r="V8" s="268"/>
      <c r="W8" s="268"/>
      <c r="X8" s="268"/>
      <c r="Y8" s="16"/>
    </row>
    <row r="9" spans="1:25" ht="6" customHeight="1" x14ac:dyDescent="0.25">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5">
      <c r="A10" s="270" t="s">
        <v>169</v>
      </c>
      <c r="B10" s="270"/>
      <c r="C10" s="270"/>
      <c r="D10" s="270"/>
      <c r="E10" s="270"/>
      <c r="F10" s="270"/>
      <c r="G10" s="270"/>
      <c r="H10" s="270"/>
      <c r="I10" s="270"/>
      <c r="J10" s="270"/>
      <c r="K10" s="270"/>
      <c r="L10" s="270"/>
      <c r="M10" s="270"/>
      <c r="N10" s="270"/>
      <c r="O10" s="270"/>
      <c r="P10" s="270"/>
      <c r="Q10" s="270"/>
      <c r="R10" s="270"/>
      <c r="S10" s="270"/>
      <c r="T10" s="270"/>
      <c r="U10" s="270"/>
      <c r="V10" s="270"/>
      <c r="W10" s="270"/>
      <c r="X10" s="270"/>
    </row>
    <row r="11" spans="1:25" ht="6" customHeight="1" x14ac:dyDescent="0.25">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5" customHeight="1" x14ac:dyDescent="0.25">
      <c r="A12" s="270" t="s">
        <v>1</v>
      </c>
      <c r="B12" s="270"/>
      <c r="C12" s="270"/>
      <c r="D12" s="270"/>
      <c r="E12" s="270"/>
      <c r="F12" s="270"/>
      <c r="G12" s="270"/>
      <c r="H12" s="270"/>
      <c r="I12" s="270"/>
      <c r="J12" s="270"/>
      <c r="K12" s="270"/>
      <c r="L12" s="270"/>
      <c r="M12" s="270"/>
      <c r="N12" s="270"/>
      <c r="O12" s="270"/>
      <c r="P12" s="270"/>
      <c r="Q12" s="270"/>
      <c r="R12" s="270"/>
      <c r="S12" s="270"/>
      <c r="T12" s="270"/>
      <c r="U12" s="270"/>
      <c r="V12" s="270"/>
      <c r="W12" s="270"/>
      <c r="X12" s="270"/>
    </row>
    <row r="14" spans="1:25" x14ac:dyDescent="0.25">
      <c r="A14" s="269" t="s">
        <v>24</v>
      </c>
      <c r="B14" s="268"/>
      <c r="C14" s="268"/>
      <c r="D14" s="268"/>
      <c r="E14" s="268"/>
      <c r="F14" s="268"/>
      <c r="G14" s="268"/>
      <c r="H14" s="268"/>
      <c r="I14" s="268"/>
      <c r="J14" s="268"/>
      <c r="K14" s="268"/>
      <c r="L14" s="268"/>
      <c r="M14" s="268"/>
      <c r="N14" s="268"/>
      <c r="O14" s="268"/>
      <c r="P14" s="268"/>
      <c r="Q14" s="268"/>
      <c r="R14" s="268"/>
      <c r="S14" s="268"/>
      <c r="T14" s="268"/>
      <c r="U14" s="268"/>
      <c r="V14" s="268"/>
      <c r="W14" s="268"/>
      <c r="X14" s="268"/>
    </row>
    <row r="16" spans="1:25" ht="13" x14ac:dyDescent="0.3">
      <c r="A16" s="275" t="s">
        <v>186</v>
      </c>
      <c r="B16" s="276"/>
      <c r="C16" s="276"/>
      <c r="D16" s="276"/>
      <c r="E16" s="276"/>
      <c r="F16" s="276"/>
      <c r="G16" s="276"/>
      <c r="H16" s="276"/>
      <c r="I16" s="276"/>
      <c r="J16" s="276"/>
      <c r="K16" s="276"/>
      <c r="L16" s="276"/>
      <c r="M16" s="276"/>
      <c r="N16" s="276"/>
      <c r="O16" s="276"/>
      <c r="P16" s="276"/>
      <c r="Q16" s="276"/>
      <c r="R16" s="276"/>
      <c r="S16" s="276"/>
      <c r="T16" s="276"/>
      <c r="U16" s="276"/>
      <c r="V16" s="276"/>
      <c r="W16" s="276"/>
      <c r="X16" s="276"/>
    </row>
    <row r="17" spans="1:25" ht="6" customHeight="1" x14ac:dyDescent="0.25">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ht="13" x14ac:dyDescent="0.3">
      <c r="A18" s="249" t="s">
        <v>187</v>
      </c>
      <c r="B18" s="249"/>
      <c r="C18" s="250"/>
      <c r="D18" s="250"/>
      <c r="E18" s="250"/>
      <c r="F18" s="250"/>
      <c r="G18" s="250"/>
      <c r="H18" s="250"/>
      <c r="I18" s="250"/>
      <c r="J18" s="250"/>
      <c r="K18" s="250"/>
      <c r="L18" s="250"/>
      <c r="M18" s="250"/>
      <c r="N18" s="250"/>
      <c r="O18" s="250"/>
      <c r="P18" s="250"/>
      <c r="Q18" s="250"/>
      <c r="R18" s="250"/>
      <c r="S18" s="250"/>
      <c r="T18" s="250"/>
      <c r="U18" s="250"/>
      <c r="V18" s="250"/>
      <c r="W18" s="250"/>
      <c r="X18" s="250"/>
    </row>
    <row r="21" spans="1:25" x14ac:dyDescent="0.25">
      <c r="A21"/>
    </row>
    <row r="22" spans="1:25" ht="12.75" customHeight="1" x14ac:dyDescent="0.3">
      <c r="A22" s="275" t="s">
        <v>189</v>
      </c>
      <c r="B22" s="276"/>
      <c r="C22" s="276"/>
      <c r="D22" s="276"/>
      <c r="E22" s="276"/>
      <c r="F22" s="276"/>
      <c r="G22" s="276"/>
      <c r="H22" s="276"/>
      <c r="I22" s="276"/>
      <c r="J22" s="190"/>
      <c r="K22" s="190"/>
      <c r="L22" s="190"/>
      <c r="M22" s="190"/>
      <c r="N22" s="190"/>
      <c r="O22" s="190"/>
      <c r="P22" s="190"/>
      <c r="Q22" s="190"/>
      <c r="R22" s="190"/>
      <c r="S22" s="190"/>
      <c r="T22" s="190"/>
      <c r="U22" s="190"/>
      <c r="V22" s="190"/>
      <c r="W22" s="190"/>
      <c r="X22" s="190"/>
      <c r="Y22" s="190"/>
    </row>
    <row r="23" spans="1:25" ht="6" customHeight="1" x14ac:dyDescent="0.25">
      <c r="A23" s="38"/>
      <c r="B23"/>
      <c r="F23"/>
      <c r="G23"/>
      <c r="H23"/>
    </row>
    <row r="24" spans="1:25" ht="12.75" customHeight="1" x14ac:dyDescent="0.3">
      <c r="A24" s="249" t="s">
        <v>190</v>
      </c>
      <c r="B24" s="249"/>
      <c r="C24" s="250"/>
      <c r="D24" s="250"/>
      <c r="E24" s="250"/>
      <c r="F24" s="250"/>
      <c r="G24" s="250"/>
      <c r="H24" s="250"/>
      <c r="I24" s="250"/>
      <c r="J24" s="250"/>
      <c r="K24" s="250"/>
      <c r="L24" s="250"/>
      <c r="M24" s="250"/>
      <c r="N24" s="250"/>
      <c r="O24" s="250"/>
      <c r="P24" s="250"/>
      <c r="Q24" s="250"/>
      <c r="R24" s="250"/>
      <c r="S24" s="250"/>
      <c r="T24" s="250"/>
      <c r="U24" s="250"/>
      <c r="V24" s="250"/>
      <c r="W24" s="250"/>
      <c r="X24" s="250"/>
    </row>
    <row r="25" spans="1:25" ht="6" customHeight="1" x14ac:dyDescent="0.3">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5">
      <c r="A26" s="215" t="s">
        <v>191</v>
      </c>
      <c r="B26" s="215"/>
      <c r="C26" s="216"/>
      <c r="D26" s="216"/>
      <c r="E26" s="216"/>
      <c r="F26" s="216"/>
      <c r="G26" s="216"/>
      <c r="H26" s="216"/>
      <c r="I26" s="216"/>
      <c r="J26" s="216"/>
      <c r="K26" s="216"/>
      <c r="L26" s="216"/>
      <c r="M26" s="216"/>
      <c r="N26" s="216"/>
      <c r="O26" s="216"/>
      <c r="P26" s="216"/>
      <c r="Q26" s="216"/>
      <c r="R26" s="216"/>
      <c r="S26" s="216"/>
      <c r="T26" s="216"/>
      <c r="U26" s="216"/>
      <c r="V26" s="216"/>
      <c r="W26" s="216"/>
      <c r="X26" s="216"/>
    </row>
    <row r="27" spans="1:25" ht="6" customHeight="1" x14ac:dyDescent="0.25">
      <c r="A27" s="17"/>
      <c r="B27" s="17"/>
    </row>
    <row r="28" spans="1:25" ht="12.75" customHeight="1" x14ac:dyDescent="0.25">
      <c r="A28" s="203" t="s">
        <v>177</v>
      </c>
      <c r="B28" s="205"/>
      <c r="C28" s="203" t="s">
        <v>170</v>
      </c>
      <c r="D28" s="204"/>
      <c r="E28" s="205"/>
      <c r="F28" s="203" t="s">
        <v>171</v>
      </c>
      <c r="G28" s="204"/>
      <c r="H28" s="204"/>
      <c r="I28" s="205"/>
      <c r="J28" s="203" t="s">
        <v>172</v>
      </c>
      <c r="K28" s="204"/>
      <c r="L28" s="204"/>
      <c r="M28" s="204"/>
      <c r="N28" s="204"/>
      <c r="O28" s="205"/>
      <c r="P28" s="203" t="s">
        <v>0</v>
      </c>
      <c r="Q28" s="204"/>
      <c r="R28" s="204"/>
      <c r="S28" s="204"/>
      <c r="T28" s="204"/>
      <c r="U28" s="204"/>
      <c r="V28" s="204"/>
      <c r="W28" s="204"/>
      <c r="X28" s="205"/>
    </row>
    <row r="29" spans="1:25" ht="12.75" customHeight="1" x14ac:dyDescent="0.25">
      <c r="A29" s="211"/>
      <c r="B29" s="210"/>
      <c r="C29" s="206" t="s">
        <v>229</v>
      </c>
      <c r="D29" s="207"/>
      <c r="E29" s="208"/>
      <c r="F29" s="211"/>
      <c r="G29" s="209"/>
      <c r="H29" s="209"/>
      <c r="I29" s="210"/>
      <c r="J29" s="211"/>
      <c r="K29" s="209"/>
      <c r="L29" s="209"/>
      <c r="M29" s="209"/>
      <c r="N29" s="209"/>
      <c r="O29" s="210"/>
      <c r="P29" s="206" t="s">
        <v>233</v>
      </c>
      <c r="Q29" s="209"/>
      <c r="R29" s="209"/>
      <c r="S29" s="209"/>
      <c r="T29" s="209"/>
      <c r="U29" s="209"/>
      <c r="V29" s="209"/>
      <c r="W29" s="209"/>
      <c r="X29" s="210"/>
    </row>
    <row r="30" spans="1:25" ht="6" customHeight="1" x14ac:dyDescent="0.25">
      <c r="A30"/>
      <c r="B30"/>
      <c r="F30"/>
      <c r="G30"/>
      <c r="H30"/>
    </row>
    <row r="31" spans="1:25" ht="13" x14ac:dyDescent="0.25">
      <c r="A31" s="203" t="s">
        <v>173</v>
      </c>
      <c r="B31" s="204"/>
      <c r="C31" s="204"/>
      <c r="D31" s="204"/>
      <c r="E31" s="204"/>
      <c r="F31" s="205"/>
      <c r="G31" s="203" t="s">
        <v>174</v>
      </c>
      <c r="H31" s="204"/>
      <c r="I31" s="204"/>
      <c r="J31" s="205"/>
      <c r="K31" s="203" t="s">
        <v>175</v>
      </c>
      <c r="L31" s="204"/>
      <c r="M31" s="204"/>
      <c r="N31" s="204"/>
      <c r="O31" s="204"/>
      <c r="P31" s="205"/>
      <c r="Q31" s="203" t="s">
        <v>180</v>
      </c>
      <c r="R31" s="204"/>
      <c r="S31" s="204"/>
      <c r="T31" s="204"/>
      <c r="U31" s="204"/>
      <c r="V31" s="204"/>
      <c r="W31" s="204"/>
      <c r="X31" s="205"/>
    </row>
    <row r="32" spans="1:25" x14ac:dyDescent="0.25">
      <c r="A32" s="212" t="s">
        <v>229</v>
      </c>
      <c r="B32" s="213"/>
      <c r="C32" s="213"/>
      <c r="D32" s="213"/>
      <c r="E32" s="213"/>
      <c r="F32" s="214"/>
      <c r="G32" s="206" t="s">
        <v>230</v>
      </c>
      <c r="H32" s="207"/>
      <c r="I32" s="207"/>
      <c r="J32" s="208"/>
      <c r="K32" s="206" t="s">
        <v>250</v>
      </c>
      <c r="L32" s="209"/>
      <c r="M32" s="209"/>
      <c r="N32" s="209"/>
      <c r="O32" s="209"/>
      <c r="P32" s="210"/>
      <c r="Q32" s="206" t="s">
        <v>251</v>
      </c>
      <c r="R32" s="209"/>
      <c r="S32" s="209"/>
      <c r="T32" s="209"/>
      <c r="U32" s="209"/>
      <c r="V32" s="209"/>
      <c r="W32" s="209"/>
      <c r="X32" s="210"/>
    </row>
    <row r="33" spans="1:24" ht="9" customHeight="1" x14ac:dyDescent="0.25"/>
    <row r="34" spans="1:24" s="19" customFormat="1" x14ac:dyDescent="0.25"/>
    <row r="35" spans="1:24" ht="12.75" customHeight="1" x14ac:dyDescent="0.25">
      <c r="A35" s="215" t="s">
        <v>192</v>
      </c>
      <c r="B35" s="215"/>
      <c r="C35" s="216"/>
      <c r="D35" s="216"/>
      <c r="E35" s="216"/>
      <c r="F35" s="216"/>
      <c r="G35" s="216"/>
      <c r="H35" s="216"/>
      <c r="I35" s="216"/>
      <c r="J35" s="216"/>
      <c r="K35" s="216"/>
      <c r="L35" s="216"/>
      <c r="M35" s="216"/>
      <c r="N35" s="216"/>
      <c r="O35" s="216"/>
      <c r="P35" s="216"/>
      <c r="Q35" s="216"/>
      <c r="R35" s="216"/>
      <c r="S35" s="216"/>
      <c r="T35" s="216"/>
      <c r="U35" s="216"/>
      <c r="V35" s="216"/>
      <c r="W35" s="216"/>
      <c r="X35" s="216"/>
    </row>
    <row r="36" spans="1:24" ht="6" customHeight="1" x14ac:dyDescent="0.25">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5">
      <c r="A37" s="203" t="s">
        <v>16</v>
      </c>
      <c r="B37" s="205"/>
      <c r="C37" s="78" t="s">
        <v>91</v>
      </c>
      <c r="D37" s="203" t="s">
        <v>14</v>
      </c>
      <c r="E37" s="204"/>
      <c r="F37" s="205"/>
      <c r="G37" s="203" t="s">
        <v>12</v>
      </c>
      <c r="H37" s="204"/>
      <c r="I37" s="204"/>
      <c r="J37" s="204"/>
      <c r="K37" s="204"/>
      <c r="L37" s="204"/>
      <c r="M37" s="204"/>
      <c r="N37" s="204"/>
      <c r="O37" s="204"/>
      <c r="P37" s="204"/>
      <c r="Q37" s="204"/>
      <c r="R37" s="204"/>
      <c r="S37" s="205"/>
      <c r="T37" s="79" t="s">
        <v>7</v>
      </c>
      <c r="U37" s="79" t="s">
        <v>8</v>
      </c>
      <c r="V37" s="79" t="s">
        <v>9</v>
      </c>
      <c r="W37" s="79" t="s">
        <v>10</v>
      </c>
      <c r="X37" s="79" t="s">
        <v>11</v>
      </c>
    </row>
    <row r="38" spans="1:24" ht="12.75" customHeight="1" x14ac:dyDescent="0.25">
      <c r="A38" s="239">
        <v>46152</v>
      </c>
      <c r="B38" s="240"/>
      <c r="C38" s="77" t="s">
        <v>231</v>
      </c>
      <c r="D38" s="206" t="s">
        <v>69</v>
      </c>
      <c r="E38" s="207"/>
      <c r="F38" s="208"/>
      <c r="G38" s="206" t="s">
        <v>249</v>
      </c>
      <c r="H38" s="207"/>
      <c r="I38" s="207"/>
      <c r="J38" s="207"/>
      <c r="K38" s="207"/>
      <c r="L38" s="207"/>
      <c r="M38" s="207"/>
      <c r="N38" s="207"/>
      <c r="O38" s="207"/>
      <c r="P38" s="207"/>
      <c r="Q38" s="207"/>
      <c r="R38" s="207"/>
      <c r="S38" s="208"/>
      <c r="T38" s="80">
        <f ca="1">IF(ISERROR(INDIRECT("'BDI ("&amp;RIGHT(T37,1)&amp;")'!N27")),"",INDIRECT("'BDI ("&amp;RIGHT(T37,1)&amp;")'!N27"))</f>
        <v>0.2109</v>
      </c>
      <c r="U38" s="81">
        <f ca="1">IF(ISERROR(INDIRECT("'BDI ("&amp;RIGHT(U37,1)&amp;")'!N27")),"",INDIRECT("'BDI ("&amp;RIGHT(U37,1)&amp;")'!N27"))</f>
        <v>0.15</v>
      </c>
      <c r="V38" s="81">
        <f ca="1">IF(ISERROR(INDIRECT("'BDI ("&amp;RIGHT(V37,1)&amp;")'!N27")),"",INDIRECT("'BDI ("&amp;RIGHT(V37,1)&amp;")'!N27"))</f>
        <v>0.2223</v>
      </c>
      <c r="W38" s="81" t="str">
        <f ca="1">IF(ISERROR(INDIRECT("'BDI ("&amp;RIGHT(W37,1)&amp;")'!N27")),"",INDIRECT("'BDI ("&amp;RIGHT(W37,1)&amp;")'!N27"))</f>
        <v/>
      </c>
      <c r="X38" s="81" t="str">
        <f ca="1">IF(ISERROR(INDIRECT("'BDI ("&amp;RIGHT(X37,1)&amp;")'!N27")),"",INDIRECT("'BDI ("&amp;RIGHT(X37,1)&amp;")'!N27"))</f>
        <v/>
      </c>
    </row>
    <row r="39" spans="1:24" ht="11.25" customHeight="1" x14ac:dyDescent="0.25">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5">
      <c r="A40" s="215" t="s">
        <v>162</v>
      </c>
      <c r="B40" s="215"/>
      <c r="C40" s="216"/>
      <c r="D40" s="216"/>
      <c r="E40" s="216"/>
      <c r="F40" s="216"/>
      <c r="G40" s="216"/>
      <c r="H40" s="216"/>
      <c r="I40" s="216"/>
      <c r="J40" s="216"/>
      <c r="K40" s="216"/>
      <c r="L40" s="216"/>
      <c r="M40" s="216"/>
      <c r="N40" s="216"/>
      <c r="O40" s="216"/>
      <c r="P40" s="216"/>
      <c r="Q40" s="216"/>
      <c r="R40" s="216"/>
      <c r="S40" s="216"/>
      <c r="T40" s="216"/>
      <c r="U40" s="216"/>
      <c r="V40" s="216"/>
      <c r="W40" s="216"/>
      <c r="X40" s="216"/>
    </row>
    <row r="41" spans="1:24" ht="6" customHeight="1" x14ac:dyDescent="0.25">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5">
      <c r="A42" s="203" t="s">
        <v>87</v>
      </c>
      <c r="B42" s="205"/>
      <c r="C42" s="203" t="s">
        <v>111</v>
      </c>
      <c r="D42" s="204"/>
      <c r="E42" s="204"/>
      <c r="F42" s="204"/>
      <c r="G42" s="204"/>
      <c r="H42" s="203" t="s">
        <v>16</v>
      </c>
      <c r="I42" s="204"/>
      <c r="J42" s="20" t="s">
        <v>91</v>
      </c>
      <c r="K42" s="203" t="s">
        <v>88</v>
      </c>
      <c r="L42" s="204"/>
      <c r="M42" s="205"/>
      <c r="N42" s="20" t="s">
        <v>92</v>
      </c>
      <c r="O42" s="203" t="s">
        <v>93</v>
      </c>
      <c r="P42" s="204"/>
      <c r="Q42" s="204"/>
      <c r="R42" s="204"/>
      <c r="S42" s="204"/>
      <c r="T42" s="205"/>
      <c r="U42" s="237" t="s">
        <v>89</v>
      </c>
      <c r="V42" s="238"/>
      <c r="W42" s="237" t="s">
        <v>90</v>
      </c>
      <c r="X42" s="238"/>
    </row>
    <row r="43" spans="1:24" ht="12.75" customHeight="1" x14ac:dyDescent="0.25">
      <c r="A43" s="271"/>
      <c r="B43" s="272"/>
      <c r="C43" s="206"/>
      <c r="D43" s="207"/>
      <c r="E43" s="207"/>
      <c r="F43" s="207"/>
      <c r="G43" s="207"/>
      <c r="H43" s="239"/>
      <c r="I43" s="240"/>
      <c r="J43" s="74"/>
      <c r="K43" s="217"/>
      <c r="L43" s="218"/>
      <c r="M43" s="219"/>
      <c r="N43" s="89"/>
      <c r="O43" s="260"/>
      <c r="P43" s="261"/>
      <c r="Q43" s="261"/>
      <c r="R43" s="262"/>
      <c r="S43" s="262"/>
      <c r="T43" s="263"/>
      <c r="U43" s="258"/>
      <c r="V43" s="264"/>
      <c r="W43" s="258"/>
      <c r="X43" s="259"/>
    </row>
    <row r="44" spans="1:24" ht="12.75" customHeight="1" x14ac:dyDescent="0.25">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5">
      <c r="A45" s="215" t="s">
        <v>193</v>
      </c>
      <c r="B45" s="215"/>
      <c r="C45" s="216"/>
      <c r="D45" s="216"/>
      <c r="E45" s="216"/>
      <c r="F45" s="216"/>
      <c r="G45" s="216"/>
      <c r="H45" s="216"/>
      <c r="I45" s="216"/>
      <c r="J45" s="216"/>
      <c r="K45" s="216"/>
      <c r="L45" s="216"/>
      <c r="M45" s="216"/>
      <c r="N45" s="216"/>
      <c r="O45" s="216"/>
      <c r="P45" s="216"/>
      <c r="Q45" s="216"/>
      <c r="R45" s="216"/>
      <c r="S45" s="216"/>
      <c r="T45" s="216"/>
      <c r="U45" s="216"/>
      <c r="V45" s="216"/>
      <c r="W45" s="216"/>
      <c r="X45" s="216"/>
    </row>
    <row r="46" spans="1:24" ht="6" customHeight="1" x14ac:dyDescent="0.25">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ht="13" x14ac:dyDescent="0.25">
      <c r="A47" s="20" t="s">
        <v>15</v>
      </c>
      <c r="B47" s="21"/>
      <c r="C47" s="22"/>
      <c r="F47"/>
      <c r="G47"/>
      <c r="H47"/>
    </row>
    <row r="48" spans="1:24" x14ac:dyDescent="0.25">
      <c r="A48" s="243">
        <v>46193</v>
      </c>
      <c r="B48" s="244"/>
      <c r="C48" s="245"/>
      <c r="E48" s="29"/>
      <c r="F48"/>
      <c r="G48"/>
      <c r="H48"/>
    </row>
    <row r="49" spans="1:24" x14ac:dyDescent="0.25">
      <c r="F49" s="25"/>
      <c r="G49" s="26"/>
      <c r="H49" s="27"/>
    </row>
    <row r="50" spans="1:24" x14ac:dyDescent="0.25">
      <c r="A50" s="215" t="s">
        <v>194</v>
      </c>
      <c r="B50" s="215"/>
      <c r="C50" s="216"/>
      <c r="D50" s="216"/>
      <c r="E50" s="216"/>
      <c r="F50" s="216"/>
      <c r="G50" s="216"/>
      <c r="H50" s="216"/>
      <c r="I50" s="216"/>
      <c r="J50" s="216"/>
      <c r="K50" s="216"/>
      <c r="L50" s="216"/>
      <c r="M50" s="216"/>
      <c r="N50" s="216"/>
      <c r="O50" s="216"/>
      <c r="P50" s="216"/>
      <c r="Q50" s="216"/>
      <c r="R50" s="216"/>
      <c r="S50" s="216"/>
      <c r="T50" s="216"/>
      <c r="U50" s="216"/>
      <c r="V50" s="216"/>
      <c r="W50" s="216"/>
      <c r="X50" s="216"/>
    </row>
    <row r="51" spans="1:24" x14ac:dyDescent="0.25">
      <c r="A51" s="18"/>
      <c r="B51" s="18"/>
      <c r="C51" s="24"/>
      <c r="D51" s="24"/>
      <c r="E51" s="24"/>
      <c r="F51" s="24"/>
      <c r="G51" s="24"/>
      <c r="H51" s="24"/>
      <c r="I51" s="24"/>
      <c r="J51" s="24"/>
      <c r="K51" s="24"/>
      <c r="L51" s="24"/>
    </row>
    <row r="52" spans="1:24" ht="13" x14ac:dyDescent="0.3">
      <c r="A52" s="18"/>
      <c r="B52" s="18"/>
      <c r="C52" s="24"/>
      <c r="D52" s="24"/>
      <c r="E52" s="24"/>
      <c r="F52" s="24"/>
      <c r="G52" s="5" t="s">
        <v>18</v>
      </c>
      <c r="H52" s="24"/>
      <c r="I52" s="24"/>
      <c r="K52" s="72" t="s">
        <v>234</v>
      </c>
      <c r="L52" s="24"/>
    </row>
    <row r="53" spans="1:24" x14ac:dyDescent="0.25">
      <c r="A53" s="30"/>
      <c r="B53" s="30"/>
      <c r="C53" s="31"/>
      <c r="D53" s="31"/>
      <c r="E53" s="31"/>
      <c r="F53" s="25"/>
      <c r="G53" s="30"/>
      <c r="H53" s="30"/>
      <c r="I53" s="31"/>
      <c r="J53" s="31"/>
      <c r="K53" s="31"/>
    </row>
    <row r="54" spans="1:24" x14ac:dyDescent="0.25">
      <c r="A54" s="86" t="s">
        <v>140</v>
      </c>
      <c r="B54" s="247"/>
      <c r="C54" s="248"/>
      <c r="D54" s="248"/>
      <c r="E54" s="248"/>
      <c r="F54" s="25"/>
      <c r="G54" s="86" t="s">
        <v>140</v>
      </c>
      <c r="H54" s="247"/>
      <c r="I54" s="248"/>
      <c r="J54" s="248"/>
      <c r="K54" s="248"/>
    </row>
    <row r="55" spans="1:24" x14ac:dyDescent="0.25">
      <c r="A55" s="86" t="str">
        <f>IF(OR(TipoOrçamento="BASE",TipoOrçamento="REPROGRAMADONPL"),"Título:","Cargo:")</f>
        <v>Cargo:</v>
      </c>
      <c r="B55" s="247"/>
      <c r="C55" s="248"/>
      <c r="D55" s="248"/>
      <c r="E55" s="248"/>
      <c r="F55" s="25"/>
      <c r="G55" s="86" t="str">
        <f>A55</f>
        <v>Cargo:</v>
      </c>
      <c r="H55" s="247"/>
      <c r="I55" s="248"/>
      <c r="J55" s="248"/>
      <c r="K55" s="248"/>
    </row>
    <row r="56" spans="1:24" x14ac:dyDescent="0.25">
      <c r="A56" s="86" t="str">
        <f>IF(OR(TipoOrçamento="BASE",TipoOrçamento="REPROGRAMADONPL"),"CREA/CAU:","Empresa:")</f>
        <v>Empresa:</v>
      </c>
      <c r="B56" s="257"/>
      <c r="C56" s="246"/>
      <c r="D56" s="246"/>
      <c r="E56" s="246"/>
      <c r="F56" s="25"/>
      <c r="G56" s="86" t="str">
        <f>A56</f>
        <v>Empresa:</v>
      </c>
      <c r="H56" s="257"/>
      <c r="I56" s="246"/>
      <c r="J56" s="246"/>
      <c r="K56" s="246"/>
    </row>
    <row r="57" spans="1:24" x14ac:dyDescent="0.25">
      <c r="A57" s="86" t="str">
        <f>IF(OR(TipoOrçamento="BASE",TipoOrçamento="REPROGRAMADONPL"),"ART/RRT:","CNPJ:")</f>
        <v>CNPJ:</v>
      </c>
      <c r="B57" s="246"/>
      <c r="C57" s="246"/>
      <c r="D57" s="246"/>
      <c r="E57" s="246"/>
      <c r="F57" s="25"/>
      <c r="G57" s="86" t="str">
        <f>A57</f>
        <v>CNPJ:</v>
      </c>
      <c r="H57" s="246"/>
      <c r="I57" s="246"/>
      <c r="J57" s="246"/>
      <c r="K57" s="246"/>
    </row>
    <row r="58" spans="1:24" x14ac:dyDescent="0.25">
      <c r="F58" s="25"/>
      <c r="G58" s="26"/>
      <c r="H58" s="27"/>
    </row>
    <row r="59" spans="1:24" x14ac:dyDescent="0.25">
      <c r="F59" s="25"/>
      <c r="G59" s="26"/>
      <c r="H59" s="27"/>
    </row>
    <row r="60" spans="1:24" ht="12.75" customHeight="1" x14ac:dyDescent="0.3">
      <c r="A60" s="249" t="s">
        <v>195</v>
      </c>
      <c r="B60" s="249"/>
      <c r="C60" s="250"/>
      <c r="D60" s="250"/>
      <c r="E60" s="250"/>
      <c r="F60" s="250"/>
      <c r="G60" s="250"/>
      <c r="H60" s="250"/>
      <c r="I60" s="250"/>
      <c r="J60" s="250"/>
      <c r="K60" s="250"/>
      <c r="L60" s="250"/>
      <c r="M60" s="250"/>
      <c r="N60" s="250"/>
      <c r="O60" s="250"/>
      <c r="P60" s="250"/>
      <c r="Q60" s="250"/>
      <c r="R60" s="250"/>
      <c r="S60" s="250"/>
      <c r="T60" s="250"/>
      <c r="U60" s="250"/>
      <c r="V60" s="250"/>
      <c r="W60" s="250"/>
      <c r="X60" s="250"/>
    </row>
    <row r="61" spans="1:24" ht="13" x14ac:dyDescent="0.3">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5">
      <c r="A62" s="251" t="s">
        <v>196</v>
      </c>
      <c r="B62" s="273"/>
      <c r="C62" s="274"/>
      <c r="D62" s="274"/>
      <c r="E62" s="274"/>
      <c r="F62" s="274"/>
      <c r="G62" s="274"/>
      <c r="H62" s="274"/>
      <c r="I62" s="274"/>
      <c r="J62" s="274"/>
      <c r="K62" s="274"/>
      <c r="L62" s="274"/>
      <c r="M62" s="274"/>
      <c r="N62" s="274"/>
      <c r="O62" s="274"/>
      <c r="P62" s="274"/>
      <c r="Q62" s="274"/>
      <c r="R62" s="274"/>
      <c r="S62" s="274"/>
      <c r="T62" s="274"/>
      <c r="U62" s="274"/>
      <c r="V62" s="274"/>
      <c r="W62" s="274"/>
      <c r="X62" s="274"/>
    </row>
    <row r="63" spans="1:24" ht="30" customHeight="1" x14ac:dyDescent="0.25">
      <c r="A63" s="251" t="s">
        <v>197</v>
      </c>
      <c r="B63" s="251"/>
      <c r="C63" s="252"/>
      <c r="D63" s="252"/>
      <c r="E63" s="252"/>
      <c r="F63" s="252"/>
      <c r="G63" s="252"/>
      <c r="H63" s="252"/>
      <c r="I63" s="252"/>
      <c r="J63" s="252"/>
      <c r="K63" s="252"/>
      <c r="L63" s="252"/>
      <c r="M63" s="252"/>
      <c r="N63" s="252"/>
      <c r="O63" s="252"/>
      <c r="P63" s="252"/>
      <c r="Q63" s="252"/>
      <c r="R63" s="252"/>
      <c r="S63" s="252"/>
      <c r="T63" s="252"/>
      <c r="U63" s="252"/>
      <c r="V63" s="252"/>
      <c r="W63" s="252"/>
      <c r="X63" s="252"/>
    </row>
    <row r="64" spans="1:24" x14ac:dyDescent="0.25">
      <c r="F64" s="25"/>
      <c r="G64" s="26"/>
      <c r="H64" s="27"/>
    </row>
    <row r="65" spans="1:24" ht="12.75" customHeight="1" x14ac:dyDescent="0.3">
      <c r="A65" s="249" t="s">
        <v>198</v>
      </c>
      <c r="B65" s="249"/>
      <c r="C65" s="250"/>
      <c r="D65" s="250"/>
      <c r="E65" s="250"/>
      <c r="F65" s="250"/>
      <c r="G65" s="250"/>
      <c r="H65" s="250"/>
      <c r="I65" s="250"/>
      <c r="J65" s="250"/>
      <c r="K65" s="250"/>
      <c r="L65" s="250"/>
      <c r="M65" s="250"/>
      <c r="N65" s="250"/>
      <c r="O65" s="250"/>
      <c r="P65" s="250"/>
      <c r="Q65" s="250"/>
      <c r="R65" s="250"/>
      <c r="S65" s="250"/>
      <c r="T65" s="250"/>
      <c r="U65" s="250"/>
      <c r="V65" s="250"/>
      <c r="W65" s="250"/>
      <c r="X65" s="250"/>
    </row>
    <row r="66" spans="1:24" ht="13" x14ac:dyDescent="0.3">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5">
      <c r="A67" s="215" t="s">
        <v>199</v>
      </c>
      <c r="B67" s="215"/>
      <c r="C67" s="216"/>
      <c r="D67" s="216"/>
      <c r="E67" s="216"/>
      <c r="F67" s="216"/>
      <c r="G67" s="216"/>
      <c r="H67" s="216"/>
      <c r="I67" s="216"/>
      <c r="J67" s="216"/>
      <c r="K67" s="216"/>
      <c r="L67" s="216"/>
      <c r="M67" s="216"/>
      <c r="N67" s="216"/>
      <c r="O67" s="216"/>
      <c r="P67" s="216"/>
      <c r="Q67" s="216"/>
      <c r="R67" s="216"/>
      <c r="S67" s="216"/>
      <c r="T67" s="216"/>
      <c r="U67" s="216"/>
      <c r="V67" s="216"/>
      <c r="W67" s="216"/>
      <c r="X67" s="216"/>
    </row>
    <row r="68" spans="1:24" x14ac:dyDescent="0.25">
      <c r="A68" s="215" t="s">
        <v>200</v>
      </c>
      <c r="B68" s="215"/>
      <c r="C68" s="216"/>
      <c r="D68" s="216"/>
      <c r="E68" s="216"/>
      <c r="F68" s="216"/>
      <c r="G68" s="216"/>
      <c r="H68" s="216"/>
      <c r="I68" s="216"/>
      <c r="J68" s="216"/>
      <c r="K68" s="216"/>
      <c r="L68" s="216"/>
      <c r="M68" s="216"/>
      <c r="N68" s="216"/>
      <c r="O68" s="216"/>
      <c r="P68" s="216"/>
      <c r="Q68" s="216"/>
      <c r="R68" s="216"/>
      <c r="S68" s="216"/>
      <c r="T68" s="216"/>
      <c r="U68" s="216"/>
      <c r="V68" s="216"/>
      <c r="W68" s="216"/>
      <c r="X68" s="216"/>
    </row>
    <row r="69" spans="1:24" ht="12.75" customHeight="1" x14ac:dyDescent="0.25">
      <c r="A69" s="215" t="s">
        <v>201</v>
      </c>
      <c r="B69" s="215"/>
      <c r="C69" s="216"/>
      <c r="D69" s="216"/>
      <c r="E69" s="216"/>
      <c r="F69" s="216"/>
      <c r="G69" s="216"/>
      <c r="H69" s="216"/>
      <c r="I69" s="216"/>
      <c r="J69" s="216"/>
      <c r="K69" s="216"/>
      <c r="L69" s="216"/>
      <c r="M69" s="216"/>
      <c r="N69" s="216"/>
      <c r="O69" s="216"/>
      <c r="P69" s="216"/>
      <c r="Q69" s="216"/>
      <c r="R69" s="216"/>
      <c r="S69" s="216"/>
      <c r="T69" s="216"/>
      <c r="U69" s="216"/>
      <c r="V69" s="216"/>
      <c r="W69" s="216"/>
      <c r="X69" s="216"/>
    </row>
    <row r="70" spans="1:24" ht="12.75" customHeight="1" x14ac:dyDescent="0.25">
      <c r="A70" s="215" t="s">
        <v>202</v>
      </c>
      <c r="B70" s="215"/>
      <c r="C70" s="216"/>
      <c r="D70" s="216"/>
      <c r="E70" s="216"/>
      <c r="F70" s="216"/>
      <c r="G70" s="216"/>
      <c r="H70" s="216"/>
      <c r="I70" s="216"/>
      <c r="J70" s="216"/>
      <c r="K70" s="216"/>
      <c r="L70" s="216"/>
      <c r="M70" s="216"/>
      <c r="N70" s="216"/>
      <c r="O70" s="216"/>
      <c r="P70" s="216"/>
      <c r="Q70" s="216"/>
      <c r="R70" s="216"/>
      <c r="S70" s="216"/>
      <c r="T70" s="216"/>
      <c r="U70" s="216"/>
      <c r="V70" s="216"/>
      <c r="W70" s="216"/>
      <c r="X70" s="216"/>
    </row>
    <row r="71" spans="1:24" ht="12.75" customHeight="1" x14ac:dyDescent="0.25">
      <c r="A71" s="215" t="s">
        <v>203</v>
      </c>
      <c r="B71" s="215"/>
      <c r="C71" s="216"/>
      <c r="D71" s="216"/>
      <c r="E71" s="216"/>
      <c r="F71" s="216"/>
      <c r="G71" s="216"/>
      <c r="H71" s="216"/>
      <c r="I71" s="216"/>
      <c r="J71" s="216"/>
      <c r="K71" s="216"/>
      <c r="L71" s="216"/>
      <c r="M71" s="216"/>
      <c r="N71" s="216"/>
      <c r="O71" s="216"/>
      <c r="P71" s="216"/>
      <c r="Q71" s="216"/>
      <c r="R71" s="216"/>
      <c r="S71" s="216"/>
      <c r="T71" s="216"/>
      <c r="U71" s="216"/>
      <c r="V71" s="216"/>
      <c r="W71" s="216"/>
      <c r="X71" s="216"/>
    </row>
    <row r="72" spans="1:24" ht="12.75" customHeight="1" x14ac:dyDescent="0.25">
      <c r="A72" s="215" t="s">
        <v>204</v>
      </c>
      <c r="B72" s="215"/>
      <c r="C72" s="216"/>
      <c r="D72" s="216"/>
      <c r="E72" s="216"/>
      <c r="F72" s="216"/>
      <c r="G72" s="216"/>
      <c r="H72" s="216"/>
      <c r="I72" s="216"/>
      <c r="J72" s="216"/>
      <c r="K72" s="216"/>
      <c r="L72" s="216"/>
      <c r="M72" s="216"/>
      <c r="N72" s="216"/>
      <c r="O72" s="216"/>
      <c r="P72" s="216"/>
      <c r="Q72" s="216"/>
      <c r="R72" s="216"/>
      <c r="S72" s="216"/>
      <c r="T72" s="216"/>
      <c r="U72" s="216"/>
      <c r="V72" s="216"/>
      <c r="W72" s="216"/>
      <c r="X72" s="216"/>
    </row>
    <row r="73" spans="1:24" x14ac:dyDescent="0.25">
      <c r="F73" s="25"/>
      <c r="G73" s="26"/>
      <c r="H73" s="27"/>
    </row>
    <row r="74" spans="1:24" ht="12.75" customHeight="1" x14ac:dyDescent="0.3">
      <c r="A74" s="249" t="s">
        <v>205</v>
      </c>
      <c r="B74" s="249"/>
      <c r="C74" s="250"/>
      <c r="D74" s="250"/>
      <c r="E74" s="250"/>
      <c r="F74" s="250"/>
      <c r="G74" s="250"/>
      <c r="H74" s="250"/>
      <c r="I74" s="250"/>
      <c r="J74" s="250"/>
      <c r="K74" s="250"/>
      <c r="L74" s="250"/>
      <c r="M74" s="250"/>
      <c r="N74" s="250"/>
      <c r="O74" s="250"/>
      <c r="P74" s="250"/>
      <c r="Q74" s="250"/>
      <c r="R74" s="250"/>
      <c r="S74" s="250"/>
      <c r="T74" s="250"/>
      <c r="U74" s="250"/>
      <c r="V74" s="250"/>
      <c r="W74" s="250"/>
      <c r="X74" s="250"/>
    </row>
    <row r="75" spans="1:24" ht="13" x14ac:dyDescent="0.3">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5">
      <c r="A76" s="215" t="s">
        <v>206</v>
      </c>
      <c r="B76" s="215"/>
      <c r="C76" s="216"/>
      <c r="D76" s="216"/>
      <c r="E76" s="216"/>
      <c r="F76" s="216"/>
      <c r="G76" s="216"/>
      <c r="H76" s="216"/>
      <c r="I76" s="216"/>
      <c r="J76" s="216"/>
      <c r="K76" s="216"/>
      <c r="L76" s="216"/>
      <c r="M76" s="216"/>
      <c r="N76" s="216"/>
      <c r="O76" s="216"/>
      <c r="P76" s="216"/>
      <c r="Q76" s="216"/>
      <c r="R76" s="216"/>
      <c r="S76" s="216"/>
      <c r="T76" s="216"/>
      <c r="U76" s="216"/>
      <c r="V76" s="216"/>
      <c r="W76" s="216"/>
      <c r="X76" s="216"/>
    </row>
    <row r="77" spans="1:24" ht="26.15" customHeight="1" x14ac:dyDescent="0.25">
      <c r="A77" s="226" t="s">
        <v>207</v>
      </c>
      <c r="B77" s="226"/>
      <c r="C77" s="227"/>
      <c r="D77" s="227"/>
      <c r="E77" s="227"/>
      <c r="F77" s="227"/>
      <c r="G77" s="227"/>
      <c r="H77" s="227"/>
      <c r="I77" s="227"/>
      <c r="J77" s="227"/>
      <c r="K77" s="227"/>
      <c r="L77" s="227"/>
      <c r="M77" s="227"/>
      <c r="N77" s="227"/>
      <c r="O77" s="227"/>
      <c r="P77" s="227"/>
      <c r="Q77" s="227"/>
      <c r="R77" s="227"/>
      <c r="S77" s="227"/>
      <c r="T77" s="227"/>
      <c r="U77" s="227"/>
      <c r="V77" s="227"/>
      <c r="W77" s="227"/>
      <c r="X77" s="227"/>
    </row>
    <row r="78" spans="1:24" ht="12.75" customHeight="1" x14ac:dyDescent="0.25">
      <c r="A78" s="215" t="s">
        <v>208</v>
      </c>
      <c r="B78" s="215"/>
      <c r="C78" s="216"/>
      <c r="D78" s="216"/>
      <c r="E78" s="216"/>
      <c r="F78" s="216"/>
      <c r="G78" s="216"/>
      <c r="H78" s="216"/>
      <c r="I78" s="216"/>
      <c r="J78" s="216"/>
      <c r="K78" s="216"/>
      <c r="L78" s="216"/>
      <c r="M78" s="216"/>
      <c r="N78" s="216"/>
      <c r="O78" s="216"/>
      <c r="P78" s="216"/>
      <c r="Q78" s="216"/>
      <c r="R78" s="216"/>
      <c r="S78" s="216"/>
      <c r="T78" s="216"/>
      <c r="U78" s="216"/>
      <c r="V78" s="216"/>
      <c r="W78" s="216"/>
      <c r="X78" s="216"/>
    </row>
    <row r="79" spans="1:24" ht="25.5" customHeight="1" x14ac:dyDescent="0.25">
      <c r="A79" s="215" t="s">
        <v>209</v>
      </c>
      <c r="B79" s="215"/>
      <c r="C79" s="216"/>
      <c r="D79" s="216"/>
      <c r="E79" s="216"/>
      <c r="F79" s="216"/>
      <c r="G79" s="216"/>
      <c r="H79" s="216"/>
      <c r="I79" s="216"/>
      <c r="J79" s="216"/>
      <c r="K79" s="216"/>
      <c r="L79" s="216"/>
      <c r="M79" s="216"/>
      <c r="N79" s="216"/>
      <c r="O79" s="216"/>
      <c r="P79" s="216"/>
      <c r="Q79" s="216"/>
      <c r="R79" s="216"/>
      <c r="S79" s="216"/>
      <c r="T79" s="216"/>
      <c r="U79" s="216"/>
      <c r="V79" s="216"/>
      <c r="W79" s="216"/>
      <c r="X79" s="216"/>
    </row>
    <row r="80" spans="1:24" x14ac:dyDescent="0.25">
      <c r="A80" s="226" t="s">
        <v>210</v>
      </c>
      <c r="B80" s="226"/>
      <c r="C80" s="227"/>
      <c r="D80" s="227"/>
      <c r="E80" s="227"/>
      <c r="F80" s="227"/>
      <c r="G80" s="227"/>
      <c r="H80" s="227"/>
      <c r="I80" s="227"/>
      <c r="J80" s="227"/>
      <c r="K80" s="227"/>
      <c r="L80" s="227"/>
      <c r="M80" s="227"/>
      <c r="N80" s="227"/>
      <c r="O80" s="227"/>
      <c r="P80" s="227"/>
      <c r="Q80" s="227"/>
      <c r="R80" s="227"/>
      <c r="S80" s="227"/>
      <c r="T80" s="227"/>
      <c r="U80" s="227"/>
      <c r="V80" s="227"/>
      <c r="W80" s="227"/>
      <c r="X80" s="227"/>
    </row>
    <row r="81" spans="1:24" ht="12.75" customHeight="1" x14ac:dyDescent="0.25">
      <c r="A81" s="215" t="s">
        <v>211</v>
      </c>
      <c r="B81" s="215"/>
      <c r="C81" s="216"/>
      <c r="D81" s="216"/>
      <c r="E81" s="216"/>
      <c r="F81" s="216"/>
      <c r="G81" s="216"/>
      <c r="H81" s="216"/>
      <c r="I81" s="216"/>
      <c r="J81" s="216"/>
      <c r="K81" s="216"/>
      <c r="L81" s="216"/>
      <c r="M81" s="216"/>
      <c r="N81" s="216"/>
      <c r="O81" s="216"/>
      <c r="P81" s="216"/>
      <c r="Q81" s="216"/>
      <c r="R81" s="216"/>
      <c r="S81" s="216"/>
      <c r="T81" s="216"/>
      <c r="U81" s="216"/>
      <c r="V81" s="216"/>
      <c r="W81" s="216"/>
      <c r="X81" s="216"/>
    </row>
    <row r="82" spans="1:24" ht="26.15" customHeight="1" x14ac:dyDescent="0.25">
      <c r="A82" s="215" t="s">
        <v>212</v>
      </c>
      <c r="B82" s="215"/>
      <c r="C82" s="216"/>
      <c r="D82" s="216"/>
      <c r="E82" s="216"/>
      <c r="F82" s="216"/>
      <c r="G82" s="216"/>
      <c r="H82" s="216"/>
      <c r="I82" s="216"/>
      <c r="J82" s="216"/>
      <c r="K82" s="216"/>
      <c r="L82" s="216"/>
      <c r="M82" s="216"/>
      <c r="N82" s="216"/>
      <c r="O82" s="216"/>
      <c r="P82" s="216"/>
      <c r="Q82" s="216"/>
      <c r="R82" s="216"/>
      <c r="S82" s="216"/>
      <c r="T82" s="216"/>
      <c r="U82" s="216"/>
      <c r="V82" s="216"/>
      <c r="W82" s="216"/>
      <c r="X82" s="216"/>
    </row>
    <row r="83" spans="1:24" ht="26.15" customHeight="1" x14ac:dyDescent="0.25">
      <c r="A83" s="215" t="s">
        <v>213</v>
      </c>
      <c r="B83" s="215"/>
      <c r="C83" s="216"/>
      <c r="D83" s="216"/>
      <c r="E83" s="216"/>
      <c r="F83" s="216"/>
      <c r="G83" s="216"/>
      <c r="H83" s="216"/>
      <c r="I83" s="216"/>
      <c r="J83" s="216"/>
      <c r="K83" s="216"/>
      <c r="L83" s="216"/>
      <c r="M83" s="216"/>
      <c r="N83" s="216"/>
      <c r="O83" s="216"/>
      <c r="P83" s="216"/>
      <c r="Q83" s="216"/>
      <c r="R83" s="216"/>
      <c r="S83" s="216"/>
      <c r="T83" s="216"/>
      <c r="U83" s="216"/>
      <c r="V83" s="216"/>
      <c r="W83" s="216"/>
      <c r="X83" s="216"/>
    </row>
    <row r="84" spans="1:24" ht="12.75" customHeight="1" x14ac:dyDescent="0.25">
      <c r="A84" s="215" t="s">
        <v>214</v>
      </c>
      <c r="B84" s="215"/>
      <c r="C84" s="216"/>
      <c r="D84" s="216"/>
      <c r="E84" s="216"/>
      <c r="F84" s="216"/>
      <c r="G84" s="216"/>
      <c r="H84" s="216"/>
      <c r="I84" s="216"/>
      <c r="J84" s="216"/>
      <c r="K84" s="216"/>
      <c r="L84" s="216"/>
      <c r="M84" s="216"/>
      <c r="N84" s="216"/>
      <c r="O84" s="216"/>
      <c r="P84" s="216"/>
      <c r="Q84" s="216"/>
      <c r="R84" s="216"/>
      <c r="S84" s="216"/>
      <c r="T84" s="216"/>
      <c r="U84" s="216"/>
      <c r="V84" s="216"/>
      <c r="W84" s="216"/>
      <c r="X84" s="216"/>
    </row>
    <row r="85" spans="1:24" x14ac:dyDescent="0.25">
      <c r="A85" s="215" t="s">
        <v>215</v>
      </c>
      <c r="B85" s="215"/>
      <c r="C85" s="216"/>
      <c r="D85" s="216"/>
      <c r="E85" s="216"/>
      <c r="F85" s="216"/>
      <c r="G85" s="216"/>
      <c r="H85" s="216"/>
      <c r="I85" s="216"/>
      <c r="J85" s="216"/>
      <c r="K85" s="216"/>
      <c r="L85" s="216"/>
      <c r="M85" s="216"/>
      <c r="N85" s="216"/>
      <c r="O85" s="216"/>
      <c r="P85" s="216"/>
      <c r="Q85" s="216"/>
      <c r="R85" s="216"/>
      <c r="S85" s="216"/>
      <c r="T85" s="216"/>
      <c r="U85" s="216"/>
      <c r="V85" s="216"/>
      <c r="W85" s="216"/>
      <c r="X85" s="216"/>
    </row>
    <row r="86" spans="1:24" ht="12.75" customHeight="1" x14ac:dyDescent="0.25">
      <c r="A86" s="226" t="s">
        <v>216</v>
      </c>
      <c r="B86" s="226"/>
      <c r="C86" s="227"/>
      <c r="D86" s="227"/>
      <c r="E86" s="227"/>
      <c r="F86" s="227"/>
      <c r="G86" s="227"/>
      <c r="H86" s="227"/>
      <c r="I86" s="227"/>
      <c r="J86" s="227"/>
      <c r="K86" s="227"/>
      <c r="L86" s="227"/>
      <c r="M86" s="227"/>
      <c r="N86" s="227"/>
      <c r="O86" s="227"/>
      <c r="P86" s="227"/>
      <c r="Q86" s="227"/>
      <c r="R86" s="227"/>
      <c r="S86" s="227"/>
      <c r="T86" s="227"/>
      <c r="U86" s="227"/>
      <c r="V86" s="227"/>
      <c r="W86" s="227"/>
      <c r="X86" s="227"/>
    </row>
    <row r="87" spans="1:24" x14ac:dyDescent="0.25">
      <c r="A87" s="215" t="s">
        <v>217</v>
      </c>
      <c r="B87" s="215"/>
      <c r="C87" s="216"/>
      <c r="D87" s="216"/>
      <c r="E87" s="216"/>
      <c r="F87" s="216"/>
      <c r="G87" s="216"/>
      <c r="H87" s="216"/>
      <c r="I87" s="216"/>
      <c r="J87" s="216"/>
      <c r="K87" s="216"/>
      <c r="L87" s="216"/>
      <c r="M87" s="216"/>
      <c r="N87" s="216"/>
      <c r="O87" s="216"/>
      <c r="P87" s="216"/>
      <c r="Q87" s="216"/>
      <c r="R87" s="216"/>
      <c r="S87" s="216"/>
      <c r="T87" s="216"/>
      <c r="U87" s="216"/>
      <c r="V87" s="216"/>
      <c r="W87" s="216"/>
      <c r="X87" s="216"/>
    </row>
    <row r="88" spans="1:24" x14ac:dyDescent="0.25">
      <c r="A88" s="215" t="s">
        <v>218</v>
      </c>
      <c r="B88" s="215"/>
      <c r="C88" s="216"/>
      <c r="D88" s="216"/>
      <c r="E88" s="216"/>
      <c r="F88" s="216"/>
      <c r="G88" s="216"/>
      <c r="H88" s="216"/>
      <c r="I88" s="216"/>
      <c r="J88" s="216"/>
      <c r="K88" s="216"/>
      <c r="L88" s="216"/>
      <c r="M88" s="216"/>
      <c r="N88" s="216"/>
      <c r="O88" s="216"/>
      <c r="P88" s="216"/>
      <c r="Q88" s="216"/>
      <c r="R88" s="216"/>
      <c r="S88" s="216"/>
      <c r="T88" s="216"/>
      <c r="U88" s="216"/>
      <c r="V88" s="216"/>
      <c r="W88" s="216"/>
      <c r="X88" s="216"/>
    </row>
    <row r="90" spans="1:24" ht="13" x14ac:dyDescent="0.3">
      <c r="A90" s="249" t="s">
        <v>219</v>
      </c>
      <c r="B90" s="249"/>
      <c r="C90" s="250"/>
      <c r="D90" s="250"/>
      <c r="E90" s="250"/>
      <c r="F90" s="250"/>
      <c r="G90" s="250"/>
      <c r="H90" s="250"/>
      <c r="I90" s="250"/>
      <c r="J90" s="250"/>
      <c r="K90" s="250"/>
      <c r="L90" s="250"/>
      <c r="M90" s="250"/>
      <c r="N90" s="250"/>
      <c r="O90" s="250"/>
      <c r="P90" s="250"/>
      <c r="Q90" s="250"/>
      <c r="R90" s="250"/>
      <c r="S90" s="250"/>
      <c r="T90" s="250"/>
      <c r="U90" s="250"/>
      <c r="V90" s="250"/>
      <c r="W90" s="250"/>
      <c r="X90" s="250"/>
    </row>
    <row r="91" spans="1:24" ht="13" x14ac:dyDescent="0.3">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5">
      <c r="A92" s="215" t="s">
        <v>220</v>
      </c>
      <c r="B92" s="215"/>
      <c r="C92" s="216"/>
      <c r="D92" s="216"/>
      <c r="E92" s="216"/>
      <c r="F92" s="216"/>
      <c r="G92" s="216"/>
      <c r="H92" s="216"/>
      <c r="I92" s="216"/>
      <c r="J92" s="216"/>
      <c r="K92" s="216"/>
      <c r="L92" s="216"/>
      <c r="M92" s="216"/>
      <c r="N92" s="216"/>
      <c r="O92" s="216"/>
      <c r="P92" s="216"/>
      <c r="Q92" s="216"/>
      <c r="R92" s="216"/>
      <c r="S92" s="216"/>
      <c r="T92" s="216"/>
      <c r="U92" s="216"/>
      <c r="V92" s="216"/>
      <c r="W92" s="216"/>
      <c r="X92" s="216"/>
    </row>
    <row r="93" spans="1:24" ht="12.75" customHeight="1" x14ac:dyDescent="0.25">
      <c r="A93" s="226" t="s">
        <v>221</v>
      </c>
      <c r="B93" s="226"/>
      <c r="C93" s="227"/>
      <c r="D93" s="227"/>
      <c r="E93" s="227"/>
      <c r="F93" s="227"/>
      <c r="G93" s="227"/>
      <c r="H93" s="227"/>
      <c r="I93" s="227"/>
      <c r="J93" s="227"/>
      <c r="K93" s="227"/>
      <c r="L93" s="227"/>
      <c r="M93" s="227"/>
      <c r="N93" s="227"/>
      <c r="O93" s="227"/>
      <c r="P93" s="227"/>
      <c r="Q93" s="227"/>
      <c r="R93" s="227"/>
      <c r="S93" s="227"/>
      <c r="T93" s="227"/>
      <c r="U93" s="227"/>
      <c r="V93" s="227"/>
      <c r="W93" s="227"/>
      <c r="X93" s="227"/>
    </row>
    <row r="94" spans="1:24" ht="12.75" customHeight="1" x14ac:dyDescent="0.25">
      <c r="A94" s="215" t="s">
        <v>222</v>
      </c>
      <c r="B94" s="215"/>
      <c r="C94" s="216"/>
      <c r="D94" s="216"/>
      <c r="E94" s="216"/>
      <c r="F94" s="216"/>
      <c r="G94" s="216"/>
      <c r="H94" s="216"/>
      <c r="I94" s="216"/>
      <c r="J94" s="216"/>
      <c r="K94" s="216"/>
      <c r="L94" s="216"/>
      <c r="M94" s="216"/>
      <c r="N94" s="216"/>
      <c r="O94" s="216"/>
      <c r="P94" s="216"/>
      <c r="Q94" s="216"/>
      <c r="R94" s="216"/>
      <c r="S94" s="216"/>
      <c r="T94" s="216"/>
      <c r="U94" s="216"/>
      <c r="V94" s="216"/>
      <c r="W94" s="216"/>
      <c r="X94" s="216"/>
    </row>
    <row r="95" spans="1:24" x14ac:dyDescent="0.25">
      <c r="A95" s="215" t="s">
        <v>223</v>
      </c>
      <c r="B95" s="215"/>
      <c r="C95" s="216"/>
      <c r="D95" s="216"/>
      <c r="E95" s="216"/>
      <c r="F95" s="216"/>
      <c r="G95" s="216"/>
      <c r="H95" s="216"/>
      <c r="I95" s="216"/>
      <c r="J95" s="216"/>
      <c r="K95" s="216"/>
      <c r="L95" s="216"/>
      <c r="M95" s="216"/>
      <c r="N95" s="216"/>
      <c r="O95" s="216"/>
      <c r="P95" s="216"/>
      <c r="Q95" s="216"/>
      <c r="R95" s="216"/>
      <c r="S95" s="216"/>
      <c r="T95" s="216"/>
      <c r="U95" s="216"/>
      <c r="V95" s="216"/>
      <c r="W95" s="216"/>
      <c r="X95" s="216"/>
    </row>
    <row r="96" spans="1:24" ht="12.75" customHeight="1" x14ac:dyDescent="0.25">
      <c r="A96" s="226"/>
      <c r="B96" s="226"/>
      <c r="C96" s="227"/>
      <c r="D96" s="227"/>
      <c r="E96" s="227"/>
      <c r="F96" s="227"/>
      <c r="G96" s="227"/>
      <c r="H96" s="227"/>
      <c r="I96" s="227"/>
      <c r="J96" s="227"/>
      <c r="K96" s="227"/>
      <c r="L96" s="227"/>
      <c r="M96" s="227"/>
      <c r="N96" s="227"/>
      <c r="O96" s="227"/>
      <c r="P96" s="227"/>
      <c r="Q96" s="227"/>
      <c r="R96" s="227"/>
      <c r="S96" s="227"/>
      <c r="T96" s="227"/>
      <c r="U96" s="227"/>
      <c r="V96" s="227"/>
      <c r="W96" s="227"/>
      <c r="X96" s="227"/>
    </row>
    <row r="97" spans="1:24" ht="13" x14ac:dyDescent="0.3">
      <c r="A97" s="249" t="s">
        <v>224</v>
      </c>
      <c r="B97" s="249"/>
      <c r="C97" s="250"/>
      <c r="D97" s="250"/>
      <c r="E97" s="250"/>
      <c r="F97" s="250"/>
      <c r="G97" s="250"/>
      <c r="H97" s="250"/>
      <c r="I97" s="250"/>
      <c r="J97" s="250"/>
      <c r="K97" s="250"/>
      <c r="L97" s="250"/>
      <c r="M97" s="250"/>
      <c r="N97" s="250"/>
      <c r="O97" s="250"/>
      <c r="P97" s="250"/>
      <c r="Q97" s="250"/>
      <c r="R97" s="250"/>
      <c r="S97" s="250"/>
      <c r="T97" s="250"/>
      <c r="U97" s="250"/>
      <c r="V97" s="250"/>
      <c r="W97" s="250"/>
      <c r="X97" s="250"/>
    </row>
    <row r="98" spans="1:24" ht="12.75" customHeight="1" x14ac:dyDescent="0.25">
      <c r="A98" s="226"/>
      <c r="B98" s="226"/>
      <c r="C98" s="227"/>
      <c r="D98" s="227"/>
      <c r="E98" s="227"/>
      <c r="F98" s="227"/>
      <c r="G98" s="227"/>
      <c r="H98" s="227"/>
      <c r="I98" s="227"/>
      <c r="J98" s="227"/>
      <c r="K98" s="227"/>
      <c r="L98" s="227"/>
      <c r="M98" s="227"/>
      <c r="N98" s="227"/>
      <c r="O98" s="227"/>
      <c r="P98" s="227"/>
      <c r="Q98" s="227"/>
      <c r="R98" s="227"/>
      <c r="S98" s="227"/>
      <c r="T98" s="227"/>
      <c r="U98" s="227"/>
      <c r="V98" s="227"/>
      <c r="W98" s="227"/>
      <c r="X98" s="227"/>
    </row>
    <row r="99" spans="1:24" ht="12.75" customHeight="1" x14ac:dyDescent="0.25">
      <c r="A99" s="215" t="s">
        <v>225</v>
      </c>
      <c r="B99" s="215"/>
      <c r="C99" s="216"/>
      <c r="D99" s="216"/>
      <c r="E99" s="216"/>
      <c r="F99" s="216"/>
      <c r="G99" s="216"/>
      <c r="H99" s="216"/>
      <c r="I99" s="216"/>
      <c r="J99" s="216"/>
      <c r="K99" s="216"/>
      <c r="L99" s="216"/>
      <c r="M99" s="216"/>
      <c r="N99" s="216"/>
      <c r="O99" s="216"/>
      <c r="P99" s="216"/>
      <c r="Q99" s="216"/>
      <c r="R99" s="216"/>
      <c r="S99" s="216"/>
      <c r="T99" s="216"/>
      <c r="U99" s="216"/>
      <c r="V99" s="216"/>
      <c r="W99" s="216"/>
      <c r="X99" s="216"/>
    </row>
    <row r="100" spans="1:24" ht="12.75" customHeight="1" x14ac:dyDescent="0.25">
      <c r="A100" s="215" t="s">
        <v>226</v>
      </c>
      <c r="B100" s="215"/>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row>
    <row r="101" spans="1:24" x14ac:dyDescent="0.25">
      <c r="A101" s="215" t="s">
        <v>227</v>
      </c>
      <c r="B101" s="215"/>
      <c r="C101" s="216"/>
      <c r="D101" s="216"/>
      <c r="E101" s="216"/>
      <c r="F101" s="216"/>
      <c r="G101" s="216"/>
      <c r="H101" s="216"/>
      <c r="I101" s="216"/>
      <c r="J101" s="216"/>
      <c r="K101" s="216"/>
      <c r="L101" s="216"/>
      <c r="M101" s="216"/>
      <c r="N101" s="216"/>
      <c r="O101" s="216"/>
      <c r="P101" s="216"/>
      <c r="Q101" s="216"/>
      <c r="R101" s="216"/>
      <c r="S101" s="216"/>
      <c r="T101" s="216"/>
      <c r="U101" s="216"/>
      <c r="V101" s="216"/>
      <c r="W101" s="216"/>
      <c r="X101" s="216"/>
    </row>
    <row r="102" spans="1:24" ht="12.75" customHeight="1" x14ac:dyDescent="0.25">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5">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5">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5">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5"/>
    <row r="107" spans="1:24" x14ac:dyDescent="0.25">
      <c r="A107"/>
      <c r="F107"/>
      <c r="H107" s="10"/>
      <c r="L107" s="1" t="s">
        <v>131</v>
      </c>
      <c r="O107" s="1"/>
      <c r="P107" s="10"/>
      <c r="Q107" s="1"/>
    </row>
    <row r="108" spans="1:24" ht="12.75" customHeight="1" x14ac:dyDescent="0.25">
      <c r="A108"/>
      <c r="F108"/>
      <c r="G108" s="23"/>
      <c r="H108" s="23"/>
      <c r="L108" s="1" t="s">
        <v>132</v>
      </c>
      <c r="P108" s="23"/>
      <c r="S108" s="175">
        <f ca="1">T38</f>
        <v>0.2109</v>
      </c>
    </row>
    <row r="109" spans="1:24" x14ac:dyDescent="0.25">
      <c r="A109"/>
      <c r="F109"/>
      <c r="G109" s="23"/>
      <c r="H109" s="23"/>
      <c r="L109" s="1" t="s">
        <v>133</v>
      </c>
      <c r="P109" s="23"/>
      <c r="S109" s="175">
        <f ca="1">U38</f>
        <v>0.15</v>
      </c>
    </row>
    <row r="110" spans="1:24" ht="12.75" customHeight="1" x14ac:dyDescent="0.25">
      <c r="A110"/>
      <c r="F110"/>
      <c r="G110" s="23"/>
      <c r="H110" s="23"/>
      <c r="L110" s="1" t="s">
        <v>134</v>
      </c>
      <c r="P110" s="23"/>
      <c r="S110" s="175">
        <f ca="1">V38</f>
        <v>0.2223</v>
      </c>
    </row>
    <row r="111" spans="1:24" x14ac:dyDescent="0.25">
      <c r="A111"/>
      <c r="F111"/>
      <c r="G111" s="23"/>
      <c r="H111" s="23"/>
      <c r="L111" s="1" t="s">
        <v>135</v>
      </c>
      <c r="P111" s="23"/>
      <c r="S111" s="175" t="str">
        <f ca="1">W38</f>
        <v/>
      </c>
    </row>
    <row r="112" spans="1:24" ht="12.75" customHeight="1" x14ac:dyDescent="0.25">
      <c r="A112"/>
      <c r="F112"/>
      <c r="G112" s="23"/>
      <c r="H112" s="23"/>
      <c r="L112" s="1" t="s">
        <v>136</v>
      </c>
      <c r="P112" s="23"/>
      <c r="S112" s="175" t="str">
        <f ca="1">X38</f>
        <v/>
      </c>
    </row>
    <row r="113" spans="1:16" x14ac:dyDescent="0.25">
      <c r="A113"/>
      <c r="H113" s="10"/>
      <c r="L113" s="1" t="s">
        <v>66</v>
      </c>
    </row>
    <row r="114" spans="1:16" ht="12.75" customHeight="1" x14ac:dyDescent="0.25">
      <c r="A114"/>
      <c r="H114" s="10"/>
      <c r="L114" s="1" t="s">
        <v>67</v>
      </c>
    </row>
    <row r="115" spans="1:16" x14ac:dyDescent="0.25">
      <c r="A115"/>
      <c r="H115" s="10"/>
      <c r="L115" s="1" t="s">
        <v>68</v>
      </c>
      <c r="P115" t="s">
        <v>112</v>
      </c>
    </row>
    <row r="116" spans="1:16" x14ac:dyDescent="0.25">
      <c r="A116"/>
      <c r="H116" s="10"/>
      <c r="L116" s="1" t="s">
        <v>69</v>
      </c>
      <c r="P116" t="s">
        <v>113</v>
      </c>
    </row>
    <row r="117" spans="1:16" x14ac:dyDescent="0.25">
      <c r="A117"/>
      <c r="L117" s="1" t="s">
        <v>70</v>
      </c>
      <c r="P117" t="s">
        <v>114</v>
      </c>
    </row>
    <row r="118" spans="1:16" x14ac:dyDescent="0.25">
      <c r="A118"/>
      <c r="L118" s="1" t="s">
        <v>71</v>
      </c>
      <c r="P118" t="s">
        <v>94</v>
      </c>
    </row>
    <row r="119" spans="1:16" x14ac:dyDescent="0.25">
      <c r="A119"/>
      <c r="L119" s="1" t="s">
        <v>72</v>
      </c>
      <c r="P119" t="s">
        <v>95</v>
      </c>
    </row>
    <row r="120" spans="1:16" x14ac:dyDescent="0.25">
      <c r="A120"/>
      <c r="L120" s="1" t="s">
        <v>73</v>
      </c>
      <c r="P120" t="s">
        <v>96</v>
      </c>
    </row>
    <row r="121" spans="1:16" x14ac:dyDescent="0.25">
      <c r="A121"/>
      <c r="L121" s="1" t="s">
        <v>74</v>
      </c>
    </row>
    <row r="122" spans="1:16" x14ac:dyDescent="0.25">
      <c r="A122"/>
      <c r="L122" s="1" t="s">
        <v>75</v>
      </c>
      <c r="P122" t="s">
        <v>97</v>
      </c>
    </row>
    <row r="123" spans="1:16" x14ac:dyDescent="0.25">
      <c r="A123"/>
      <c r="L123" s="1" t="s">
        <v>76</v>
      </c>
      <c r="P123" t="s">
        <v>98</v>
      </c>
    </row>
    <row r="124" spans="1:16" x14ac:dyDescent="0.25">
      <c r="A124"/>
      <c r="L124" s="1" t="s">
        <v>77</v>
      </c>
    </row>
    <row r="125" spans="1:16" x14ac:dyDescent="0.25">
      <c r="A125"/>
      <c r="L125" s="1" t="s">
        <v>78</v>
      </c>
    </row>
    <row r="126" spans="1:16" x14ac:dyDescent="0.25">
      <c r="A126"/>
      <c r="L126" s="1" t="s">
        <v>79</v>
      </c>
    </row>
    <row r="127" spans="1:16" x14ac:dyDescent="0.25">
      <c r="A127"/>
      <c r="L127" s="1" t="s">
        <v>80</v>
      </c>
    </row>
    <row r="128" spans="1:16" x14ac:dyDescent="0.25">
      <c r="A128"/>
      <c r="L128" s="1" t="s">
        <v>81</v>
      </c>
    </row>
    <row r="129" spans="1:12" x14ac:dyDescent="0.25">
      <c r="A129"/>
      <c r="L129" s="1" t="s">
        <v>82</v>
      </c>
    </row>
    <row r="130" spans="1:12" x14ac:dyDescent="0.25">
      <c r="A130"/>
      <c r="L130" s="1" t="s">
        <v>83</v>
      </c>
    </row>
    <row r="131" spans="1:12" x14ac:dyDescent="0.25">
      <c r="A131"/>
      <c r="L131" s="1" t="s">
        <v>84</v>
      </c>
    </row>
    <row r="132" spans="1:12" x14ac:dyDescent="0.25">
      <c r="A132"/>
      <c r="L132" s="1" t="s">
        <v>65</v>
      </c>
    </row>
    <row r="133" spans="1:12" x14ac:dyDescent="0.25">
      <c r="A133"/>
      <c r="L133" s="1" t="s">
        <v>85</v>
      </c>
    </row>
    <row r="134" spans="1:12" x14ac:dyDescent="0.25">
      <c r="A134"/>
      <c r="L134" s="1"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03" t="str">
        <f>A28</f>
        <v>Nº OPERAÇÃO</v>
      </c>
      <c r="B220" s="205"/>
      <c r="C220" s="203" t="str">
        <f>C28</f>
        <v>GESTOR</v>
      </c>
      <c r="D220" s="204"/>
      <c r="E220" s="205"/>
      <c r="F220" s="203" t="str">
        <f>F28</f>
        <v>PROGRAMA</v>
      </c>
      <c r="G220" s="204"/>
      <c r="H220" s="204"/>
      <c r="I220" s="205"/>
      <c r="J220" s="203" t="str">
        <f>J28</f>
        <v>AÇÃO / MODALIDADE</v>
      </c>
      <c r="K220" s="204"/>
      <c r="L220" s="204"/>
      <c r="M220" s="204"/>
      <c r="N220" s="204"/>
      <c r="O220" s="205"/>
      <c r="P220" s="203" t="str">
        <f>P28</f>
        <v>OBJETO</v>
      </c>
      <c r="Q220" s="204"/>
      <c r="R220" s="204"/>
      <c r="S220" s="204"/>
      <c r="T220" s="204"/>
      <c r="U220" s="204"/>
      <c r="V220" s="204"/>
      <c r="W220" s="204"/>
      <c r="X220" s="205"/>
    </row>
    <row r="221" spans="1:24" ht="12.75" customHeight="1" x14ac:dyDescent="0.25">
      <c r="A221" s="200" t="str">
        <f>IF(A29="","",A29)</f>
        <v/>
      </c>
      <c r="B221" s="202"/>
      <c r="C221" s="200" t="str">
        <f>IF(C29="","",C29)</f>
        <v>Prefeitura Municipal de Concórdia</v>
      </c>
      <c r="D221" s="201"/>
      <c r="E221" s="202"/>
      <c r="F221" s="200" t="str">
        <f>IF(F29="","",F29)</f>
        <v/>
      </c>
      <c r="G221" s="201"/>
      <c r="H221" s="201"/>
      <c r="I221" s="202"/>
      <c r="J221" s="200" t="str">
        <f>IF(J29="","",J29)</f>
        <v/>
      </c>
      <c r="K221" s="201"/>
      <c r="L221" s="201" t="e">
        <f>IF(#REF!="","",#REF!)</f>
        <v>#REF!</v>
      </c>
      <c r="M221" s="201"/>
      <c r="N221" s="201" t="e">
        <f>IF(#REF!="","",#REF!)</f>
        <v>#REF!</v>
      </c>
      <c r="O221" s="202"/>
      <c r="P221" s="200" t="str">
        <f>IF(P29="","",P29)</f>
        <v>Construção de Praça no Bairro das Nações</v>
      </c>
      <c r="Q221" s="201"/>
      <c r="R221" s="201"/>
      <c r="S221" s="201"/>
      <c r="T221" s="201"/>
      <c r="U221" s="201"/>
      <c r="V221" s="201"/>
      <c r="W221" s="201"/>
      <c r="X221" s="202"/>
    </row>
    <row r="222" spans="1:24" ht="6" customHeight="1" x14ac:dyDescent="0.25">
      <c r="A222"/>
      <c r="B222"/>
      <c r="F222"/>
      <c r="G222"/>
      <c r="H222"/>
    </row>
    <row r="223" spans="1:24" ht="13" x14ac:dyDescent="0.25">
      <c r="A223" s="203" t="str">
        <f>A31</f>
        <v>PROPONENTE / TOMADOR</v>
      </c>
      <c r="B223" s="204"/>
      <c r="C223" s="204"/>
      <c r="D223" s="204"/>
      <c r="E223" s="204"/>
      <c r="F223" s="204"/>
      <c r="G223" s="203" t="str">
        <f>G31</f>
        <v>MUNICÍPIO / UF</v>
      </c>
      <c r="H223" s="204"/>
      <c r="I223" s="204"/>
      <c r="J223" s="205"/>
      <c r="K223" s="203" t="str">
        <f>K31</f>
        <v>LOCALIDADE / ENDEREÇO</v>
      </c>
      <c r="L223" s="204"/>
      <c r="M223" s="204"/>
      <c r="N223" s="204"/>
      <c r="O223" s="204"/>
      <c r="P223" s="205"/>
      <c r="Q223" s="203" t="str">
        <f>Q31</f>
        <v>APELIDO DO EMPREENDIMENTO</v>
      </c>
      <c r="R223" s="204"/>
      <c r="S223" s="204"/>
      <c r="T223" s="204"/>
      <c r="U223" s="204"/>
      <c r="V223" s="204"/>
      <c r="W223" s="204"/>
      <c r="X223" s="205"/>
    </row>
    <row r="224" spans="1:24" ht="12.75" customHeight="1" x14ac:dyDescent="0.25">
      <c r="A224" s="235" t="str">
        <f>IF(A32="","",A32)</f>
        <v>Prefeitura Municipal de Concórdia</v>
      </c>
      <c r="B224" s="236"/>
      <c r="C224" s="236"/>
      <c r="D224" s="236"/>
      <c r="E224" s="236"/>
      <c r="F224" s="236"/>
      <c r="G224" s="200" t="str">
        <f>IF(G32="","",G32)</f>
        <v>Concórdia/SC</v>
      </c>
      <c r="H224" s="201" t="str">
        <f>IF(I32="","",I32)</f>
        <v/>
      </c>
      <c r="I224" s="201"/>
      <c r="J224" s="202" t="e">
        <f>IF(#REF!="","",#REF!)</f>
        <v>#REF!</v>
      </c>
      <c r="K224" s="200" t="str">
        <f>IF(K32="","",K32)</f>
        <v>Município de Concórdia</v>
      </c>
      <c r="L224" s="201"/>
      <c r="M224" s="201"/>
      <c r="N224" s="201"/>
      <c r="O224" s="201"/>
      <c r="P224" s="202"/>
      <c r="Q224" s="200" t="str">
        <f>IF(Q32="","",Q32)</f>
        <v>Manutenção de Pavimetnação</v>
      </c>
      <c r="R224" s="201"/>
      <c r="S224" s="201"/>
      <c r="T224" s="201"/>
      <c r="U224" s="201"/>
      <c r="V224" s="201"/>
      <c r="W224" s="201"/>
      <c r="X224" s="202"/>
    </row>
    <row r="225" spans="1:24" ht="6" hidden="1" customHeight="1" x14ac:dyDescent="0.25">
      <c r="A225"/>
      <c r="B225"/>
      <c r="F225"/>
      <c r="G225"/>
      <c r="H225"/>
    </row>
    <row r="226" spans="1:24" ht="13" hidden="1" x14ac:dyDescent="0.25">
      <c r="A226" s="203" t="str">
        <f>A37</f>
        <v>DATA BASE</v>
      </c>
      <c r="B226" s="205"/>
      <c r="C226" s="78" t="str">
        <f>C37</f>
        <v>DESON.</v>
      </c>
      <c r="D226" s="203" t="str">
        <f>D37</f>
        <v>LOCALIDADE DO SINAPI</v>
      </c>
      <c r="E226" s="204"/>
      <c r="F226" s="205"/>
      <c r="G226" s="203" t="str">
        <f>G37</f>
        <v>DESCRIÇÃO DO LOTE</v>
      </c>
      <c r="H226" s="204"/>
      <c r="I226" s="204"/>
      <c r="J226" s="204"/>
      <c r="K226" s="204"/>
      <c r="L226" s="204"/>
      <c r="M226" s="204"/>
      <c r="N226" s="204"/>
      <c r="O226" s="204"/>
      <c r="P226" s="204"/>
      <c r="Q226" s="204"/>
      <c r="R226" s="204"/>
      <c r="S226" s="205"/>
      <c r="T226" s="79" t="str">
        <f>T37</f>
        <v>BDI 1</v>
      </c>
      <c r="U226" s="79" t="str">
        <f>U37</f>
        <v>BDI 2</v>
      </c>
      <c r="V226" s="79" t="str">
        <f>V37</f>
        <v>BDI 3</v>
      </c>
      <c r="W226" s="79" t="str">
        <f>W37</f>
        <v>BDI 4</v>
      </c>
      <c r="X226" s="79" t="str">
        <f>X37</f>
        <v>BDI 5</v>
      </c>
    </row>
    <row r="227" spans="1:24" ht="12.75" hidden="1" customHeight="1" x14ac:dyDescent="0.25">
      <c r="A227" s="241">
        <f>IF(A38="","",A38)</f>
        <v>46152</v>
      </c>
      <c r="B227" s="242"/>
      <c r="C227" s="115" t="str">
        <f t="shared" ref="C227:X227" si="0">IF(C38="","",C38)</f>
        <v>Não</v>
      </c>
      <c r="D227" s="228" t="str">
        <f t="shared" si="0"/>
        <v>Florianópolis / SC</v>
      </c>
      <c r="E227" s="232" t="str">
        <f t="shared" si="0"/>
        <v/>
      </c>
      <c r="F227" s="229" t="str">
        <f t="shared" si="0"/>
        <v/>
      </c>
      <c r="G227" s="228" t="str">
        <f t="shared" si="0"/>
        <v>MANUTENÇÃO DE PAVIMENTAÇÃO ASFÁLTICA</v>
      </c>
      <c r="H227" s="232" t="str">
        <f t="shared" si="0"/>
        <v/>
      </c>
      <c r="I227" s="232" t="str">
        <f t="shared" si="0"/>
        <v/>
      </c>
      <c r="J227" s="232" t="str">
        <f t="shared" si="0"/>
        <v/>
      </c>
      <c r="K227" s="232" t="str">
        <f t="shared" si="0"/>
        <v/>
      </c>
      <c r="L227" s="232" t="str">
        <f t="shared" si="0"/>
        <v/>
      </c>
      <c r="M227" s="232" t="str">
        <f t="shared" si="0"/>
        <v/>
      </c>
      <c r="N227" s="232" t="str">
        <f t="shared" si="0"/>
        <v/>
      </c>
      <c r="O227" s="232" t="str">
        <f t="shared" si="0"/>
        <v/>
      </c>
      <c r="P227" s="232" t="str">
        <f t="shared" si="0"/>
        <v/>
      </c>
      <c r="Q227" s="232" t="str">
        <f t="shared" si="0"/>
        <v/>
      </c>
      <c r="R227" s="232" t="str">
        <f t="shared" si="0"/>
        <v/>
      </c>
      <c r="S227" s="229" t="str">
        <f t="shared" si="0"/>
        <v/>
      </c>
      <c r="T227" s="117">
        <f t="shared" ca="1" si="0"/>
        <v>0.2109</v>
      </c>
      <c r="U227" s="81">
        <f t="shared" ca="1" si="0"/>
        <v>0.15</v>
      </c>
      <c r="V227" s="81">
        <f t="shared" ca="1" si="0"/>
        <v>0.2223</v>
      </c>
      <c r="W227" s="81" t="str">
        <f t="shared" ca="1" si="0"/>
        <v/>
      </c>
      <c r="X227" s="81" t="str">
        <f t="shared" ca="1" si="0"/>
        <v/>
      </c>
    </row>
    <row r="228" spans="1:24" ht="6" customHeight="1" x14ac:dyDescent="0.25">
      <c r="A228"/>
      <c r="B228"/>
      <c r="F228"/>
      <c r="G228"/>
      <c r="H228"/>
    </row>
    <row r="229" spans="1:24" ht="12.75" customHeight="1" x14ac:dyDescent="0.25">
      <c r="A229" s="203" t="s">
        <v>87</v>
      </c>
      <c r="B229" s="205"/>
      <c r="C229" s="203" t="s">
        <v>163</v>
      </c>
      <c r="D229" s="204"/>
      <c r="E229" s="204"/>
      <c r="F229" s="204"/>
      <c r="G229" s="204"/>
      <c r="H229" s="203" t="s">
        <v>16</v>
      </c>
      <c r="I229" s="204"/>
      <c r="J229" s="20" t="s">
        <v>91</v>
      </c>
      <c r="K229" s="203" t="s">
        <v>88</v>
      </c>
      <c r="L229" s="204"/>
      <c r="M229" s="205"/>
      <c r="N229" s="20" t="s">
        <v>92</v>
      </c>
      <c r="O229" s="203" t="s">
        <v>93</v>
      </c>
      <c r="P229" s="204"/>
      <c r="Q229" s="204"/>
      <c r="R229" s="204"/>
      <c r="S229" s="204"/>
      <c r="T229" s="205"/>
      <c r="U229" s="237" t="s">
        <v>89</v>
      </c>
      <c r="V229" s="238"/>
      <c r="W229" s="237" t="s">
        <v>90</v>
      </c>
      <c r="X229" s="238"/>
    </row>
    <row r="230" spans="1:24" ht="12.75" customHeight="1" x14ac:dyDescent="0.25">
      <c r="A230" s="228" t="str">
        <f>IF(A43="","",A43)</f>
        <v/>
      </c>
      <c r="B230" s="229"/>
      <c r="C230" s="228" t="str">
        <f>IF(C43="","",C43)</f>
        <v/>
      </c>
      <c r="D230" s="232"/>
      <c r="E230" s="232" t="str">
        <f>IF(E43="","",E43)</f>
        <v/>
      </c>
      <c r="F230" s="232"/>
      <c r="G230" s="232" t="str">
        <f>IF(G43="","",G43)</f>
        <v/>
      </c>
      <c r="H230" s="233" t="str">
        <f>IF(H43="","",H43)</f>
        <v/>
      </c>
      <c r="I230" s="234" t="str">
        <f>IF(I43="","",I43)</f>
        <v/>
      </c>
      <c r="J230" s="116" t="str">
        <f>IF(J43="","",J43)</f>
        <v/>
      </c>
      <c r="K230" s="220" t="str">
        <f>IF(K43="","",K43)</f>
        <v/>
      </c>
      <c r="L230" s="222"/>
      <c r="M230" s="223" t="str">
        <f>IF(M43="","",M43)</f>
        <v/>
      </c>
      <c r="N230" s="118" t="str">
        <f>IF(N43="","",N43)</f>
        <v/>
      </c>
      <c r="O230" s="220" t="str">
        <f>IF(O43="","",O43)</f>
        <v/>
      </c>
      <c r="P230" s="221"/>
      <c r="Q230" s="221" t="str">
        <f>IF(Q43="","",Q43)</f>
        <v/>
      </c>
      <c r="R230" s="222"/>
      <c r="S230" s="222" t="str">
        <f>IF(S43="","",S43)</f>
        <v/>
      </c>
      <c r="T230" s="223"/>
      <c r="U230" s="230" t="str">
        <f>IF(U43="","",U43)</f>
        <v/>
      </c>
      <c r="V230" s="231"/>
      <c r="W230" s="224" t="str">
        <f>IF(W43="","",W43)</f>
        <v/>
      </c>
      <c r="X230" s="225"/>
    </row>
    <row r="232" spans="1:24" ht="6" customHeight="1" x14ac:dyDescent="0.25">
      <c r="A232"/>
      <c r="B232"/>
      <c r="F232"/>
      <c r="G232"/>
      <c r="H232"/>
    </row>
    <row r="233" spans="1:24" x14ac:dyDescent="0.25">
      <c r="A233"/>
      <c r="B233"/>
      <c r="F233"/>
      <c r="G233"/>
      <c r="H233"/>
    </row>
    <row r="234" spans="1:24" x14ac:dyDescent="0.25">
      <c r="A234"/>
      <c r="B234"/>
      <c r="F234"/>
      <c r="G234"/>
      <c r="H234"/>
    </row>
    <row r="235" spans="1:24" x14ac:dyDescent="0.25">
      <c r="A235"/>
      <c r="B235"/>
      <c r="F235"/>
      <c r="G235"/>
      <c r="H235"/>
    </row>
    <row r="236" spans="1:24" ht="12.75" hidden="1" customHeight="1" x14ac:dyDescent="0.25">
      <c r="A236"/>
      <c r="B236"/>
      <c r="F236"/>
      <c r="G236"/>
      <c r="H236"/>
    </row>
    <row r="237" spans="1:24" ht="6" hidden="1" customHeight="1" x14ac:dyDescent="0.25">
      <c r="A237"/>
      <c r="B237"/>
      <c r="F237"/>
      <c r="G237"/>
      <c r="H237"/>
    </row>
    <row r="238" spans="1:24" ht="12.75" hidden="1" customHeight="1" x14ac:dyDescent="0.25">
      <c r="A238"/>
      <c r="B238"/>
      <c r="F238"/>
      <c r="G238"/>
      <c r="H238"/>
    </row>
    <row r="239" spans="1:24" ht="12.75" hidden="1" customHeight="1" x14ac:dyDescent="0.25">
      <c r="A239"/>
      <c r="B239"/>
      <c r="F239"/>
      <c r="G239"/>
      <c r="H239"/>
    </row>
    <row r="240" spans="1:24" ht="6" hidden="1" customHeight="1" x14ac:dyDescent="0.25">
      <c r="A240"/>
      <c r="B240"/>
      <c r="F240"/>
      <c r="G240"/>
      <c r="H240"/>
    </row>
    <row r="241" customFormat="1" ht="12.75" hidden="1" customHeight="1" x14ac:dyDescent="0.25"/>
    <row r="242" customFormat="1" ht="12.75" hidden="1" customHeight="1" x14ac:dyDescent="0.25"/>
    <row r="243" customFormat="1" ht="12.75" hidden="1" customHeight="1" x14ac:dyDescent="0.25"/>
    <row r="244" customFormat="1" ht="12.75" customHeight="1" x14ac:dyDescent="0.25"/>
    <row r="245" customFormat="1" ht="6" customHeight="1" x14ac:dyDescent="0.25"/>
    <row r="246" customFormat="1" ht="12.75" customHeight="1" x14ac:dyDescent="0.25"/>
    <row r="247" customFormat="1" ht="12.75" customHeight="1" x14ac:dyDescent="0.25"/>
    <row r="248" customFormat="1" ht="12.75" customHeight="1" x14ac:dyDescent="0.25"/>
    <row r="249" customFormat="1" ht="12.75" customHeight="1" x14ac:dyDescent="0.25"/>
    <row r="250" customFormat="1" ht="6" customHeight="1" x14ac:dyDescent="0.25"/>
    <row r="251" customFormat="1" x14ac:dyDescent="0.25"/>
    <row r="252" customFormat="1" x14ac:dyDescent="0.25"/>
    <row r="253" customFormat="1" x14ac:dyDescent="0.25"/>
    <row r="254" customFormat="1" x14ac:dyDescent="0.25"/>
    <row r="255" customFormat="1" x14ac:dyDescent="0.25"/>
    <row r="256" customFormat="1" x14ac:dyDescent="0.25"/>
    <row r="257" customFormat="1" x14ac:dyDescent="0.25"/>
  </sheetData>
  <sheetProtection algorithmName="SHA-512" hashValue="A2ZXK7NjK0oihhV2rx+BL3nZaldDnS+EoVgtLMa/wkPgFTrAPQWd2baV47j03H6zMKw6fNj5jGU4yd4Q8gnYPQ==" saltValue="UGU48YJ4O88Sn1YFcbfXtQ=="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183" priority="42" stopIfTrue="1">
      <formula>$B54&lt;&gt;""</formula>
    </cfRule>
  </conditionalFormatting>
  <conditionalFormatting sqref="A48 H54:K54 H55:H56 H57:K57 A29:C29 J29 F29 A32 P29 G32 K32">
    <cfRule type="expression" dxfId="182" priority="48" stopIfTrue="1">
      <formula>A29&lt;&gt;""</formula>
    </cfRule>
  </conditionalFormatting>
  <conditionalFormatting sqref="G53:K54 G55:H56 G57:K57">
    <cfRule type="expression" dxfId="181" priority="43" stopIfTrue="1">
      <formula>$K$52&lt;&gt;"SIM"</formula>
    </cfRule>
  </conditionalFormatting>
  <conditionalFormatting sqref="A40:X43">
    <cfRule type="expression" dxfId="180" priority="56" stopIfTrue="1">
      <formula>OR(TipoOrçamento="BASE",TipoOrçamento="REPROGRAMADONPL")</formula>
    </cfRule>
    <cfRule type="expression" dxfId="179" priority="57" stopIfTrue="1">
      <formula>A40&lt;&gt;""</formula>
    </cfRule>
  </conditionalFormatting>
  <conditionalFormatting sqref="A35:X38">
    <cfRule type="expression" dxfId="178" priority="58" stopIfTrue="1">
      <formula>OR(TipoOrçamento="LICITADO",TipoOrçamento="REPROGRAMADOAC")</formula>
    </cfRule>
    <cfRule type="expression" dxfId="177" priority="59" stopIfTrue="1">
      <formula>A35&lt;&gt;""</formula>
    </cfRule>
  </conditionalFormatting>
  <conditionalFormatting sqref="Q32">
    <cfRule type="expression" dxfId="176"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 zoomScaleNormal="100" zoomScaleSheetLayoutView="100" zoomScalePageLayoutView="70" workbookViewId="0">
      <selection activeCell="N19" sqref="N19"/>
    </sheetView>
  </sheetViews>
  <sheetFormatPr defaultColWidth="0" defaultRowHeight="12.5" zeroHeight="1" x14ac:dyDescent="0.25"/>
  <cols>
    <col min="1" max="1" width="30.26953125" style="42" hidden="1" customWidth="1"/>
    <col min="2" max="3" width="9.1796875" style="42" hidden="1" customWidth="1"/>
    <col min="4" max="4" width="23.54296875" style="42" hidden="1" customWidth="1"/>
    <col min="5" max="8" width="9.1796875" style="42" hidden="1" customWidth="1"/>
    <col min="9" max="14" width="10.7265625" style="42" customWidth="1"/>
    <col min="15" max="15" width="12.81640625" style="42" customWidth="1"/>
    <col min="16" max="18" width="10.7265625" style="42" customWidth="1"/>
    <col min="19" max="19" width="3.7265625" style="42" customWidth="1"/>
    <col min="20" max="20" width="29.54296875" style="42" customWidth="1"/>
    <col min="21" max="21" width="13.7265625" style="42" customWidth="1"/>
    <col min="22" max="16384" width="9.1796875" style="42" hidden="1"/>
  </cols>
  <sheetData>
    <row r="1" spans="1:29" ht="15" customHeight="1" x14ac:dyDescent="0.35">
      <c r="E1" s="43" t="s">
        <v>25</v>
      </c>
      <c r="F1" s="43" t="s">
        <v>26</v>
      </c>
      <c r="G1" s="43" t="s">
        <v>27</v>
      </c>
      <c r="N1" s="46" t="str">
        <f ca="1">"Quadro de Composição do BDI "&amp;MID(CELL("nome.arquivo",N1),5+FIND("BDI (",CELL("nome.arquivo",N1)),1)</f>
        <v>Quadro de Composição do BDI 1</v>
      </c>
      <c r="Q1"/>
      <c r="R1"/>
    </row>
    <row r="2" spans="1:29" ht="13" x14ac:dyDescent="0.3">
      <c r="A2" s="42" t="s">
        <v>28</v>
      </c>
      <c r="B2" s="44" t="s">
        <v>29</v>
      </c>
      <c r="C2" s="42" t="str">
        <f t="shared" ref="C2:C49" si="0">CONCATENATE(A2,"-",B2)</f>
        <v>Construção e Reforma de Edifícios-AC</v>
      </c>
      <c r="E2" s="45">
        <v>0.03</v>
      </c>
      <c r="F2" s="45">
        <v>0.04</v>
      </c>
      <c r="G2" s="45">
        <v>5.5E-2</v>
      </c>
      <c r="Q2"/>
      <c r="R2"/>
    </row>
    <row r="3" spans="1:29" ht="13" x14ac:dyDescent="0.3">
      <c r="A3" s="42" t="str">
        <f>A2</f>
        <v>Construção e Reforma de Edifícios</v>
      </c>
      <c r="B3" s="44" t="s">
        <v>30</v>
      </c>
      <c r="C3" s="42" t="str">
        <f t="shared" si="0"/>
        <v>Construção e Reforma de Edifícios-SG</v>
      </c>
      <c r="E3" s="45">
        <v>8.0000000000000002E-3</v>
      </c>
      <c r="F3" s="45">
        <v>8.0000000000000002E-3</v>
      </c>
      <c r="G3" s="45">
        <v>0.01</v>
      </c>
    </row>
    <row r="4" spans="1:29" ht="13" x14ac:dyDescent="0.3">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4">
      <c r="A5" s="42" t="str">
        <f>A4</f>
        <v>Construção e Reforma de Edifícios</v>
      </c>
      <c r="B5" s="44" t="s">
        <v>32</v>
      </c>
      <c r="C5" s="42" t="str">
        <f t="shared" si="0"/>
        <v>Construção e Reforma de Edifícios-DF</v>
      </c>
      <c r="E5" s="45">
        <v>5.8999999999999999E-3</v>
      </c>
      <c r="F5" s="45">
        <v>1.23E-2</v>
      </c>
      <c r="G5" s="45">
        <v>1.3899999999999999E-2</v>
      </c>
      <c r="I5" s="290">
        <f>DADOS!A29</f>
        <v>0</v>
      </c>
      <c r="J5" s="291"/>
      <c r="K5" s="292" t="str">
        <f>DADOS!A32</f>
        <v>Prefeitura Municipal de Concórdia</v>
      </c>
      <c r="L5" s="293"/>
      <c r="M5" s="293"/>
      <c r="N5" s="293"/>
      <c r="O5" s="293"/>
      <c r="P5" s="293"/>
      <c r="Q5" s="293"/>
      <c r="R5" s="291"/>
      <c r="S5" s="47"/>
    </row>
    <row r="6" spans="1:29" ht="6" customHeight="1" x14ac:dyDescent="0.3">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3">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3">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4" t="str">
        <f>DADOS!P29</f>
        <v>Construção de Praça no Bairro das Nações</v>
      </c>
      <c r="J8" s="294"/>
      <c r="K8" s="294"/>
      <c r="L8" s="294"/>
      <c r="M8" s="294"/>
      <c r="N8" s="294"/>
      <c r="O8" s="294"/>
      <c r="P8" s="294"/>
      <c r="Q8" s="294"/>
      <c r="R8" s="294"/>
    </row>
    <row r="9" spans="1:29" ht="6" customHeight="1" x14ac:dyDescent="0.3">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ht="13" x14ac:dyDescent="0.3">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ht="13" x14ac:dyDescent="0.3">
      <c r="A11" s="42" t="s">
        <v>34</v>
      </c>
      <c r="B11" s="44" t="s">
        <v>32</v>
      </c>
      <c r="C11" s="42" t="str">
        <f t="shared" si="0"/>
        <v>Construção de Praças Urbanas, Rodovias, Ferrovias e recapeamento e pavimentação de vias urbanas-DF</v>
      </c>
      <c r="E11" s="45">
        <v>1.0200000000000001E-2</v>
      </c>
      <c r="F11" s="45">
        <v>1.11E-2</v>
      </c>
      <c r="G11" s="45">
        <v>1.21E-2</v>
      </c>
      <c r="I11" s="285" t="s">
        <v>34</v>
      </c>
      <c r="J11" s="286"/>
      <c r="K11" s="286"/>
      <c r="L11" s="286"/>
      <c r="M11" s="286"/>
      <c r="N11" s="286"/>
      <c r="O11" s="286"/>
      <c r="P11" s="287"/>
      <c r="Q11" s="288" t="str">
        <f>DADOS!$C$38</f>
        <v>Não</v>
      </c>
      <c r="R11" s="289"/>
    </row>
    <row r="12" spans="1:29" ht="13" x14ac:dyDescent="0.3">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3">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3" t="s">
        <v>36</v>
      </c>
      <c r="J13" s="283"/>
      <c r="K13" s="283"/>
      <c r="L13" s="283"/>
      <c r="M13" s="283"/>
      <c r="N13" s="283"/>
      <c r="O13" s="283"/>
      <c r="P13" s="283"/>
      <c r="Q13" s="280">
        <v>1</v>
      </c>
      <c r="R13" s="280"/>
    </row>
    <row r="14" spans="1:29" ht="15" customHeight="1" x14ac:dyDescent="0.3">
      <c r="A14" s="42" t="s">
        <v>37</v>
      </c>
      <c r="B14" s="44" t="s">
        <v>29</v>
      </c>
      <c r="C14" s="42" t="str">
        <f t="shared" si="0"/>
        <v>Construção de Redes de Abastecimento de Água, Coleta de Esgoto-AC</v>
      </c>
      <c r="E14" s="45">
        <v>3.4300000000000004E-2</v>
      </c>
      <c r="F14" s="45">
        <v>4.9299999999999997E-2</v>
      </c>
      <c r="G14" s="45">
        <v>6.7099999999999993E-2</v>
      </c>
      <c r="I14" s="281" t="s">
        <v>38</v>
      </c>
      <c r="J14" s="281"/>
      <c r="K14" s="281"/>
      <c r="L14" s="281"/>
      <c r="M14" s="281"/>
      <c r="N14" s="281"/>
      <c r="O14" s="281"/>
      <c r="P14" s="281"/>
      <c r="Q14" s="280">
        <v>0.02</v>
      </c>
      <c r="R14" s="280"/>
    </row>
    <row r="15" spans="1:29" ht="13" x14ac:dyDescent="0.3">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3">
      <c r="B16" s="44"/>
      <c r="E16" s="45"/>
      <c r="F16" s="45"/>
      <c r="G16" s="45"/>
      <c r="I16" s="282" t="s">
        <v>39</v>
      </c>
      <c r="J16" s="282"/>
      <c r="K16" s="282"/>
      <c r="L16" s="282"/>
      <c r="M16" s="282" t="s">
        <v>40</v>
      </c>
      <c r="N16" s="284" t="s">
        <v>41</v>
      </c>
      <c r="O16" s="284" t="s">
        <v>42</v>
      </c>
      <c r="P16" s="282" t="s">
        <v>43</v>
      </c>
      <c r="Q16" s="282" t="s">
        <v>44</v>
      </c>
      <c r="R16" s="299" t="s">
        <v>45</v>
      </c>
      <c r="T16" s="295" t="str">
        <f>IF(V27,"Para BDI fora do intervalo estatístico, deve ser apresentado Relatório Técnico Circunstanciado justificando a adoção do percentual de cada parcela do BDI.","")</f>
        <v/>
      </c>
      <c r="U16" s="295"/>
      <c r="V16" s="93"/>
      <c r="W16" s="93"/>
      <c r="X16" s="93"/>
      <c r="Y16" s="93"/>
      <c r="Z16" s="93"/>
      <c r="AA16" s="93"/>
      <c r="AB16" s="93"/>
      <c r="AC16" s="93"/>
    </row>
    <row r="17" spans="1:31" ht="15.75" customHeight="1" x14ac:dyDescent="0.3">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2"/>
      <c r="J17" s="282"/>
      <c r="K17" s="282"/>
      <c r="L17" s="282"/>
      <c r="M17" s="282"/>
      <c r="N17" s="284"/>
      <c r="O17" s="284"/>
      <c r="P17" s="282"/>
      <c r="Q17" s="282"/>
      <c r="R17" s="299"/>
      <c r="T17" s="295"/>
      <c r="U17" s="295"/>
      <c r="V17" s="93"/>
      <c r="W17" s="93"/>
      <c r="X17" s="93"/>
      <c r="Y17" s="93"/>
      <c r="Z17" s="93"/>
      <c r="AA17" s="93"/>
      <c r="AB17" s="93"/>
      <c r="AC17" s="93"/>
    </row>
    <row r="18" spans="1:31" ht="26.25" customHeight="1" x14ac:dyDescent="0.3">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7" t="str">
        <f>IF($I$11=$A$59,"Encargos Sociais incidentes sobre a mão de obra","Administração Central")</f>
        <v>Administração Central</v>
      </c>
      <c r="J18" s="297"/>
      <c r="K18" s="297"/>
      <c r="L18" s="297"/>
      <c r="M18" s="50" t="str">
        <f>IF($I$11=$A$59,"K1","AC")</f>
        <v>AC</v>
      </c>
      <c r="N18" s="51">
        <v>4.0099999999999997E-2</v>
      </c>
      <c r="O18" s="52" t="s">
        <v>46</v>
      </c>
      <c r="P18" s="53">
        <f>VLOOKUP(CONCATENATE(I$11,"-",M18),$C$2:$G$49,3,FALSE)</f>
        <v>3.7999999999999999E-2</v>
      </c>
      <c r="Q18" s="53">
        <f>VLOOKUP(CONCATENATE(I$11,"-",M18),$C$2:$G$49,4,FALSE)</f>
        <v>4.0099999999999997E-2</v>
      </c>
      <c r="R18" s="53">
        <f>VLOOKUP(CONCATENATE(I$11,"-",M18),$C$2:$G$49,5,FALSE)</f>
        <v>4.6699999999999998E-2</v>
      </c>
      <c r="T18" s="295"/>
      <c r="U18" s="295"/>
      <c r="V18" s="93"/>
      <c r="W18" s="93"/>
      <c r="X18" s="93"/>
      <c r="Y18" s="93"/>
      <c r="Z18" s="93"/>
      <c r="AA18" s="93"/>
      <c r="AB18" s="93"/>
      <c r="AC18" s="93"/>
    </row>
    <row r="19" spans="1:31" ht="26.25" customHeight="1" x14ac:dyDescent="0.3">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7" t="str">
        <f>IF($I$11=$A$59,"Administração Central da empresa ou consultoria - overhead","Seguro e Garantia")</f>
        <v>Seguro e Garantia</v>
      </c>
      <c r="J19" s="297"/>
      <c r="K19" s="297"/>
      <c r="L19" s="297"/>
      <c r="M19" s="50" t="str">
        <f>IF($I$11=$A$59,"K2","SG")</f>
        <v>SG</v>
      </c>
      <c r="N19" s="51">
        <v>7.4000000000000003E-3</v>
      </c>
      <c r="O19" s="52" t="s">
        <v>46</v>
      </c>
      <c r="P19" s="53">
        <f>VLOOKUP(CONCATENATE(I$11,"-",M19),$C$2:$G$49,3,FALSE)</f>
        <v>3.2000000000000002E-3</v>
      </c>
      <c r="Q19" s="53">
        <f>VLOOKUP(CONCATENATE(I$11,"-",M19),$C$2:$G$49,4,FALSE)</f>
        <v>4.0000000000000001E-3</v>
      </c>
      <c r="R19" s="53">
        <f>VLOOKUP(CONCATENATE(I$11,"-",M19),$C$2:$G$49,5,FALSE)</f>
        <v>7.4000000000000003E-3</v>
      </c>
      <c r="T19" s="295"/>
      <c r="U19" s="295"/>
      <c r="V19" s="93"/>
      <c r="W19" s="93"/>
      <c r="X19" s="93"/>
      <c r="Y19" s="93"/>
      <c r="Z19" s="93"/>
      <c r="AA19" s="93"/>
      <c r="AB19" s="93"/>
      <c r="AC19" s="93"/>
    </row>
    <row r="20" spans="1:31" ht="26.25" customHeight="1" x14ac:dyDescent="0.3">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7" t="str">
        <f>IF($I$11=$A$59,"","Risco")</f>
        <v>Risco</v>
      </c>
      <c r="J20" s="297"/>
      <c r="K20" s="297"/>
      <c r="L20" s="297"/>
      <c r="M20" s="50" t="str">
        <f>IF($I$11=$A$59,"","R")</f>
        <v>R</v>
      </c>
      <c r="N20" s="51">
        <v>5.5999999999999999E-3</v>
      </c>
      <c r="O20" s="52" t="s">
        <v>46</v>
      </c>
      <c r="P20" s="53">
        <f>VLOOKUP(CONCATENATE(I$11,"-",M20),$C$2:$G$49,3,FALSE)</f>
        <v>5.0000000000000001E-3</v>
      </c>
      <c r="Q20" s="53">
        <f>VLOOKUP(CONCATENATE(I$11,"-",M20),$C$2:$G$49,4,FALSE)</f>
        <v>5.6000000000000008E-3</v>
      </c>
      <c r="R20" s="53">
        <f>VLOOKUP(CONCATENATE(I$11,"-",M20),$C$2:$G$49,5,FALSE)</f>
        <v>9.7000000000000003E-3</v>
      </c>
      <c r="T20" s="295"/>
      <c r="U20" s="295"/>
      <c r="V20" s="93"/>
      <c r="W20" s="93"/>
      <c r="X20" s="93"/>
      <c r="Y20" s="93"/>
      <c r="Z20" s="93"/>
      <c r="AA20" s="93"/>
      <c r="AB20" s="93"/>
      <c r="AC20" s="93"/>
    </row>
    <row r="21" spans="1:31" ht="26.25" customHeight="1" x14ac:dyDescent="0.3">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7" t="str">
        <f>IF($I$11=$A$59,"","Despesas Financeiras")</f>
        <v>Despesas Financeiras</v>
      </c>
      <c r="J21" s="297"/>
      <c r="K21" s="297"/>
      <c r="L21" s="297"/>
      <c r="M21" s="50" t="str">
        <f>IF($I$11=$A$59,"","DF")</f>
        <v>DF</v>
      </c>
      <c r="N21" s="51">
        <v>1.11E-2</v>
      </c>
      <c r="O21" s="52" t="s">
        <v>46</v>
      </c>
      <c r="P21" s="53">
        <f>VLOOKUP(CONCATENATE(I$11,"-",M21),$C$2:$G$49,3,FALSE)</f>
        <v>1.0200000000000001E-2</v>
      </c>
      <c r="Q21" s="53">
        <f>VLOOKUP(CONCATENATE(I$11,"-",M21),$C$2:$G$49,4,FALSE)</f>
        <v>1.11E-2</v>
      </c>
      <c r="R21" s="53">
        <f>VLOOKUP(CONCATENATE(I$11,"-",M21),$C$2:$G$49,5,FALSE)</f>
        <v>1.21E-2</v>
      </c>
      <c r="T21" s="295"/>
      <c r="U21" s="295"/>
    </row>
    <row r="22" spans="1:31" ht="26.25" customHeight="1" x14ac:dyDescent="0.3">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7" t="str">
        <f>IF($I$11=$A$59,"Margem bruta da empresa de consultoria","Lucro")</f>
        <v>Lucro</v>
      </c>
      <c r="J22" s="297"/>
      <c r="K22" s="297"/>
      <c r="L22" s="297"/>
      <c r="M22" s="50" t="str">
        <f>IF($I$11=$A$59,"K3","L")</f>
        <v>L</v>
      </c>
      <c r="N22" s="51">
        <v>7.2999999999999995E-2</v>
      </c>
      <c r="O22" s="52" t="s">
        <v>46</v>
      </c>
      <c r="P22" s="53">
        <f>VLOOKUP(CONCATENATE(I$11,"-",M22),$C$2:$G$49,3,FALSE)</f>
        <v>6.6400000000000001E-2</v>
      </c>
      <c r="Q22" s="53">
        <f>VLOOKUP(CONCATENATE(I$11,"-",M22),$C$2:$G$49,4,FALSE)</f>
        <v>7.2999999999999995E-2</v>
      </c>
      <c r="R22" s="53">
        <f>VLOOKUP(CONCATENATE(I$11,"-",M22),$C$2:$G$49,5,FALSE)</f>
        <v>8.6899999999999991E-2</v>
      </c>
      <c r="T22" s="295"/>
      <c r="U22" s="295"/>
    </row>
    <row r="23" spans="1:31" ht="26.25" customHeight="1" x14ac:dyDescent="0.3">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8" t="s">
        <v>48</v>
      </c>
      <c r="J23" s="298"/>
      <c r="K23" s="298"/>
      <c r="L23" s="298"/>
      <c r="M23" s="50" t="s">
        <v>49</v>
      </c>
      <c r="N23" s="51">
        <v>3.6499999999999998E-2</v>
      </c>
      <c r="O23" s="52" t="s">
        <v>46</v>
      </c>
      <c r="P23" s="53">
        <v>3.6499999999999998E-2</v>
      </c>
      <c r="Q23" s="53">
        <v>3.6499999999999998E-2</v>
      </c>
      <c r="R23" s="53">
        <v>3.6499999999999998E-2</v>
      </c>
      <c r="T23" s="295"/>
      <c r="U23" s="295"/>
    </row>
    <row r="24" spans="1:31" ht="26.25" customHeight="1" x14ac:dyDescent="0.3">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7" t="s">
        <v>50</v>
      </c>
      <c r="J24" s="297"/>
      <c r="K24" s="297"/>
      <c r="L24" s="297"/>
      <c r="M24" s="50" t="s">
        <v>51</v>
      </c>
      <c r="N24" s="53">
        <f>IF($I$11&lt;&gt;$A$58,Q14*Q13,0)</f>
        <v>0.02</v>
      </c>
      <c r="O24" s="52" t="s">
        <v>46</v>
      </c>
      <c r="P24" s="53">
        <v>0</v>
      </c>
      <c r="Q24" s="53">
        <v>2.5000000000000001E-2</v>
      </c>
      <c r="R24" s="53">
        <v>0.05</v>
      </c>
      <c r="T24" s="295"/>
      <c r="U24" s="295"/>
    </row>
    <row r="25" spans="1:31" ht="26.25" customHeight="1" x14ac:dyDescent="0.3">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7" t="s">
        <v>116</v>
      </c>
      <c r="J25" s="297"/>
      <c r="K25" s="297"/>
      <c r="L25" s="297"/>
      <c r="M25" s="50" t="s">
        <v>52</v>
      </c>
      <c r="N25" s="53">
        <f>IF(AND($I$11&lt;&gt;$A$58,Q11="Sim"),4.5%,0%)</f>
        <v>0</v>
      </c>
      <c r="O25" s="52" t="str">
        <f>IF(AND(N25&gt;=P25, N25&lt;=R25), "OK", "Não OK")</f>
        <v>OK</v>
      </c>
      <c r="P25" s="54">
        <v>0</v>
      </c>
      <c r="Q25" s="54">
        <v>4.4999999999999998E-2</v>
      </c>
      <c r="R25" s="54">
        <v>4.4999999999999998E-2</v>
      </c>
    </row>
    <row r="26" spans="1:31" ht="30.75" customHeight="1" x14ac:dyDescent="0.3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7" t="s">
        <v>53</v>
      </c>
      <c r="J26" s="297"/>
      <c r="K26" s="297"/>
      <c r="L26" s="297"/>
      <c r="M26" s="55" t="s">
        <v>33</v>
      </c>
      <c r="N26" s="53">
        <f>IF($I$11=$A$58,0,ROUND((((1+N18+N19+N20)*(1+N21)*(1+N22)/(1-(N23+N24)))-1),4))</f>
        <v>0.2109</v>
      </c>
      <c r="O26" s="91" t="str">
        <f>IF(OR($I$11=$A$59,$I$11=$A$58,AND(N26&gt;=P26, N26&lt;=R26)), "OK", "FORA DO INTERVALO")</f>
        <v>OK</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 customHeight="1" x14ac:dyDescent="0.35">
      <c r="A27" s="42" t="s">
        <v>54</v>
      </c>
      <c r="B27" s="44" t="s">
        <v>29</v>
      </c>
      <c r="C27" s="42" t="str">
        <f t="shared" si="0"/>
        <v>Obras Portuárias, Marítimas e Fluviais-AC</v>
      </c>
      <c r="E27" s="45">
        <v>0.04</v>
      </c>
      <c r="F27" s="45">
        <v>5.5199999999999999E-2</v>
      </c>
      <c r="G27" s="45">
        <v>7.85E-2</v>
      </c>
      <c r="I27" s="308" t="s">
        <v>55</v>
      </c>
      <c r="J27" s="308"/>
      <c r="K27" s="308"/>
      <c r="L27" s="308"/>
      <c r="M27" s="56" t="s">
        <v>56</v>
      </c>
      <c r="N27" s="57">
        <f>IF($I$11=$A$58,0,ROUND((((1+N18+N19+N20)*(1+N21)*(1+N22)/(1-(N23+N24+N25)))-1),4))</f>
        <v>0.2109</v>
      </c>
      <c r="O27" s="95" t="str">
        <f>IF(Q11&lt;&gt;"Sim","",O26)</f>
        <v/>
      </c>
      <c r="P27" s="309"/>
      <c r="Q27" s="309"/>
      <c r="R27" s="309"/>
      <c r="T27" s="92"/>
      <c r="V27" s="96" t="b">
        <f>AND(COUNTA(N18:N23)=6,O26&lt;&gt;"ok",NOT(V29))</f>
        <v>0</v>
      </c>
      <c r="W27" s="42" t="s">
        <v>118</v>
      </c>
    </row>
    <row r="28" spans="1:31" ht="7.5" customHeight="1" x14ac:dyDescent="0.3">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3">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7" t="s">
        <v>117</v>
      </c>
      <c r="K29" s="307"/>
      <c r="L29" s="307"/>
      <c r="M29" s="307"/>
      <c r="N29" s="307"/>
      <c r="O29" s="307"/>
      <c r="P29" s="307"/>
      <c r="Q29" s="307"/>
      <c r="R29" s="307"/>
      <c r="V29" s="96" t="b">
        <v>0</v>
      </c>
      <c r="W29" s="42" t="s">
        <v>119</v>
      </c>
    </row>
    <row r="30" spans="1:31" ht="7.5" customHeight="1" x14ac:dyDescent="0.3">
      <c r="B30" s="44"/>
      <c r="E30" s="45"/>
      <c r="F30" s="45"/>
      <c r="G30" s="45"/>
      <c r="V30" s="96"/>
    </row>
    <row r="31" spans="1:31" ht="18.75" customHeight="1" x14ac:dyDescent="0.3">
      <c r="B31" s="44"/>
      <c r="E31" s="45"/>
      <c r="F31" s="45"/>
      <c r="G31" s="45"/>
      <c r="I31" s="310" t="s">
        <v>61</v>
      </c>
      <c r="J31" s="310"/>
      <c r="K31" s="310"/>
      <c r="L31" s="310"/>
      <c r="M31" s="310"/>
      <c r="N31" s="310"/>
      <c r="O31" s="310"/>
      <c r="P31" s="310"/>
      <c r="Q31" s="310"/>
      <c r="R31" s="310"/>
    </row>
    <row r="32" spans="1:31" ht="30" customHeight="1" x14ac:dyDescent="0.3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5" t="str">
        <f>IF(Q11="Sim","BDI.DES =","BDI.PAD =")</f>
        <v>BDI.PAD =</v>
      </c>
      <c r="M32" s="303" t="str">
        <f>IF($I$11=$A$59,"(1+K1+K2)*(1+K3)","(1+AC + S + R + G)*(1 + DF)*(1+L)")</f>
        <v>(1+AC + S + R + G)*(1 + DF)*(1+L)</v>
      </c>
      <c r="N32" s="303"/>
      <c r="O32" s="303"/>
      <c r="P32" s="301" t="s">
        <v>108</v>
      </c>
      <c r="Q32" s="85"/>
      <c r="R32" s="85"/>
    </row>
    <row r="33" spans="1:18" ht="27" customHeight="1" x14ac:dyDescent="0.3">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5"/>
      <c r="M33" s="304" t="str">
        <f>IF(Q11="Sim","(1-CP-ISS-CRPB)","(1-CP-ISS)")</f>
        <v>(1-CP-ISS)</v>
      </c>
      <c r="N33" s="304"/>
      <c r="O33" s="304"/>
      <c r="P33" s="302"/>
      <c r="Q33" s="85"/>
      <c r="R33" s="85"/>
    </row>
    <row r="34" spans="1:18" ht="7.5" customHeight="1" x14ac:dyDescent="0.3">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3">
      <c r="B35" s="49"/>
      <c r="E35" s="45"/>
      <c r="F35" s="45"/>
      <c r="G35" s="45"/>
      <c r="I35" s="300"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2%.</v>
      </c>
      <c r="J35" s="300"/>
      <c r="K35" s="300"/>
      <c r="L35" s="300"/>
      <c r="M35" s="300"/>
      <c r="N35" s="300"/>
      <c r="O35" s="300"/>
      <c r="P35" s="300"/>
      <c r="Q35" s="300"/>
      <c r="R35" s="300"/>
    </row>
    <row r="36" spans="1:18" ht="11.25" customHeight="1" x14ac:dyDescent="0.3">
      <c r="B36" s="49"/>
      <c r="E36" s="45"/>
      <c r="F36" s="45"/>
      <c r="G36" s="45"/>
    </row>
    <row r="37" spans="1:18" ht="52.5" customHeight="1" x14ac:dyDescent="0.3">
      <c r="B37" s="49"/>
      <c r="E37" s="45"/>
      <c r="F37" s="45"/>
      <c r="G37" s="45"/>
      <c r="I37" s="30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0"/>
      <c r="K37" s="300"/>
      <c r="L37" s="300"/>
      <c r="M37" s="300"/>
      <c r="N37" s="300"/>
      <c r="O37" s="300"/>
      <c r="P37" s="300"/>
      <c r="Q37" s="300"/>
      <c r="R37" s="300"/>
    </row>
    <row r="38" spans="1:18" ht="18" customHeight="1" x14ac:dyDescent="0.3">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ht="13" x14ac:dyDescent="0.3">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3">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2"/>
      <c r="J40" s="313"/>
      <c r="K40" s="313"/>
      <c r="L40" s="313"/>
      <c r="M40" s="313"/>
      <c r="N40" s="313"/>
      <c r="O40" s="313"/>
      <c r="P40" s="313"/>
      <c r="Q40" s="313"/>
      <c r="R40" s="314"/>
    </row>
    <row r="41" spans="1:18" ht="16.5" customHeight="1" x14ac:dyDescent="0.3">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ht="13" x14ac:dyDescent="0.3">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6" t="str">
        <f>PO!K36</f>
        <v>Concórdia/SC</v>
      </c>
      <c r="J42" s="296"/>
      <c r="K42" s="296"/>
      <c r="L42" s="296"/>
      <c r="O42" s="311">
        <f ca="1">PO!K39</f>
        <v>46220</v>
      </c>
      <c r="P42" s="311"/>
      <c r="Q42" s="311"/>
      <c r="R42" s="311"/>
    </row>
    <row r="43" spans="1:18" ht="15" customHeight="1" x14ac:dyDescent="0.3">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9" t="s">
        <v>120</v>
      </c>
      <c r="J43" s="279"/>
      <c r="K43" s="279"/>
      <c r="L43" s="279"/>
      <c r="N43" s="58"/>
      <c r="O43" s="122" t="s">
        <v>121</v>
      </c>
      <c r="P43" s="123"/>
      <c r="Q43" s="123"/>
      <c r="R43" s="123"/>
    </row>
    <row r="44" spans="1:18" ht="13" x14ac:dyDescent="0.3">
      <c r="A44" s="42" t="s">
        <v>59</v>
      </c>
      <c r="B44" s="44" t="s">
        <v>104</v>
      </c>
      <c r="C44" s="42" t="str">
        <f t="shared" si="0"/>
        <v>Estudos e Projetos, Planos e Gerenciamento e outros correlatos-K1</v>
      </c>
      <c r="E44" s="45" t="s">
        <v>46</v>
      </c>
      <c r="F44" s="45" t="s">
        <v>46</v>
      </c>
      <c r="G44" s="45" t="s">
        <v>46</v>
      </c>
    </row>
    <row r="45" spans="1:18" ht="30" customHeight="1" x14ac:dyDescent="0.3">
      <c r="A45" s="42" t="str">
        <f>A44</f>
        <v>Estudos e Projetos, Planos e Gerenciamento e outros correlatos</v>
      </c>
      <c r="B45" s="44" t="s">
        <v>105</v>
      </c>
      <c r="C45" s="42" t="str">
        <f t="shared" si="0"/>
        <v>Estudos e Projetos, Planos e Gerenciamento e outros correlatos-K2</v>
      </c>
      <c r="E45" s="45" t="s">
        <v>46</v>
      </c>
      <c r="F45" s="45">
        <v>0.2</v>
      </c>
      <c r="G45" s="45" t="s">
        <v>46</v>
      </c>
      <c r="I45" s="278"/>
      <c r="J45" s="278"/>
      <c r="K45" s="278"/>
      <c r="L45" s="278"/>
      <c r="M45" s="59"/>
      <c r="N45" s="59"/>
      <c r="O45" s="278"/>
      <c r="P45" s="278"/>
      <c r="Q45" s="278"/>
      <c r="R45" s="278"/>
    </row>
    <row r="46" spans="1:18" ht="13" x14ac:dyDescent="0.3">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5" t="s">
        <v>57</v>
      </c>
      <c r="J46" s="315"/>
      <c r="K46" s="315"/>
      <c r="L46" s="315"/>
      <c r="O46" s="315" t="s">
        <v>58</v>
      </c>
      <c r="P46" s="315"/>
      <c r="Q46" s="315"/>
      <c r="R46" s="315"/>
    </row>
    <row r="47" spans="1:18" ht="14" x14ac:dyDescent="0.3">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6">
        <f>DADOS!B54</f>
        <v>0</v>
      </c>
      <c r="K47" s="306"/>
      <c r="L47" s="306"/>
      <c r="M47" s="59"/>
      <c r="N47" s="59"/>
      <c r="O47" s="21" t="s">
        <v>140</v>
      </c>
      <c r="P47" s="277"/>
      <c r="Q47" s="277"/>
      <c r="R47" s="277"/>
    </row>
    <row r="48" spans="1:18" ht="14" x14ac:dyDescent="0.3">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6">
        <f>DADOS!B55</f>
        <v>0</v>
      </c>
      <c r="K48" s="306"/>
      <c r="L48" s="306"/>
      <c r="M48" s="59"/>
      <c r="N48" s="59"/>
      <c r="O48" s="21" t="s">
        <v>60</v>
      </c>
      <c r="P48" s="277"/>
      <c r="Q48" s="277"/>
      <c r="R48" s="277"/>
    </row>
    <row r="49" spans="1:18" ht="14" x14ac:dyDescent="0.3">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6">
        <f>DADOS!B56</f>
        <v>0</v>
      </c>
      <c r="K49" s="306"/>
      <c r="L49" s="306"/>
      <c r="M49" s="59"/>
      <c r="N49" s="59"/>
      <c r="O49" s="59"/>
      <c r="P49" s="59"/>
      <c r="Q49" s="59"/>
      <c r="R49" s="59"/>
    </row>
    <row r="50" spans="1:18" ht="13" x14ac:dyDescent="0.25">
      <c r="I50" s="21" t="str">
        <f>DADOS!A57</f>
        <v>CNPJ:</v>
      </c>
      <c r="J50" s="306">
        <f>DADOS!B57</f>
        <v>0</v>
      </c>
      <c r="K50" s="306"/>
      <c r="L50" s="306"/>
    </row>
    <row r="51" spans="1:18" x14ac:dyDescent="0.25"/>
    <row r="52" spans="1:18" hidden="1" x14ac:dyDescent="0.25">
      <c r="A52" s="42" t="s">
        <v>28</v>
      </c>
    </row>
    <row r="53" spans="1:18" hidden="1" x14ac:dyDescent="0.25">
      <c r="A53" s="42" t="s">
        <v>34</v>
      </c>
    </row>
    <row r="54" spans="1:18" hidden="1" x14ac:dyDescent="0.25">
      <c r="A54" s="42" t="s">
        <v>37</v>
      </c>
    </row>
    <row r="55" spans="1:18" hidden="1" x14ac:dyDescent="0.25">
      <c r="A55" s="42" t="s">
        <v>47</v>
      </c>
    </row>
    <row r="56" spans="1:18" hidden="1" x14ac:dyDescent="0.25">
      <c r="A56" s="42" t="s">
        <v>54</v>
      </c>
    </row>
    <row r="57" spans="1:18" hidden="1" x14ac:dyDescent="0.25">
      <c r="A57" s="42" t="s">
        <v>137</v>
      </c>
    </row>
    <row r="58" spans="1:18" hidden="1" x14ac:dyDescent="0.25">
      <c r="A58" s="42" t="s">
        <v>138</v>
      </c>
    </row>
    <row r="59" spans="1:18" hidden="1" x14ac:dyDescent="0.25">
      <c r="A59" s="42" t="s">
        <v>59</v>
      </c>
    </row>
    <row r="60" spans="1:18" ht="14" hidden="1" x14ac:dyDescent="0.3">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175" priority="6" stopIfTrue="1">
      <formula>$O$42=""</formula>
    </cfRule>
  </conditionalFormatting>
  <conditionalFormatting sqref="O18:O27">
    <cfRule type="expression" dxfId="174" priority="11" stopIfTrue="1">
      <formula>AND(O18&lt;&gt;"OK",O18&lt;&gt;"-",O18&lt;&gt;"")</formula>
    </cfRule>
    <cfRule type="cellIs" dxfId="173" priority="12" stopIfTrue="1" operator="equal">
      <formula>"OK"</formula>
    </cfRule>
  </conditionalFormatting>
  <conditionalFormatting sqref="I26:N26">
    <cfRule type="expression" dxfId="172" priority="10" stopIfTrue="1">
      <formula>$Q$11="Não"</formula>
    </cfRule>
  </conditionalFormatting>
  <conditionalFormatting sqref="I27:N27">
    <cfRule type="expression" dxfId="171" priority="9" stopIfTrue="1">
      <formula>$Q$11="sim"</formula>
    </cfRule>
  </conditionalFormatting>
  <conditionalFormatting sqref="P27:R27">
    <cfRule type="expression" dxfId="170" priority="8" stopIfTrue="1">
      <formula>$Q$11="sim"</formula>
    </cfRule>
  </conditionalFormatting>
  <conditionalFormatting sqref="P47:R48">
    <cfRule type="expression" dxfId="169" priority="7" stopIfTrue="1">
      <formula>P47=""</formula>
    </cfRule>
  </conditionalFormatting>
  <conditionalFormatting sqref="I29:R29">
    <cfRule type="expression" dxfId="168" priority="3" stopIfTrue="1">
      <formula>AND(NOT($V$27),NOT($V$29))</formula>
    </cfRule>
  </conditionalFormatting>
  <conditionalFormatting sqref="P18:R26">
    <cfRule type="expression" dxfId="167"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BB25D-5DF8-4185-8C12-2AB8135B611D}">
  <sheetPr codeName="Plan5">
    <tabColor rgb="FFFFFF00"/>
    <pageSetUpPr fitToPage="1"/>
  </sheetPr>
  <dimension ref="A1:AE60"/>
  <sheetViews>
    <sheetView showGridLines="0" topLeftCell="I1" zoomScaleNormal="100" zoomScaleSheetLayoutView="100" zoomScalePageLayoutView="70" workbookViewId="0">
      <selection activeCell="N23" sqref="N23"/>
    </sheetView>
  </sheetViews>
  <sheetFormatPr defaultColWidth="0" defaultRowHeight="12.75" customHeight="1" zeroHeight="1" x14ac:dyDescent="0.25"/>
  <cols>
    <col min="1" max="1" width="30.26953125" style="42" hidden="1" customWidth="1"/>
    <col min="2" max="3" width="9.1796875" style="42" hidden="1" customWidth="1"/>
    <col min="4" max="4" width="23.54296875" style="42" hidden="1" customWidth="1"/>
    <col min="5" max="8" width="9.1796875" style="42" hidden="1" customWidth="1"/>
    <col min="9" max="14" width="10.7265625" style="42" customWidth="1"/>
    <col min="15" max="15" width="12.81640625" style="42" customWidth="1"/>
    <col min="16" max="18" width="10.7265625" style="42" customWidth="1"/>
    <col min="19" max="19" width="3.7265625" style="42" customWidth="1"/>
    <col min="20" max="20" width="29.54296875" style="42" customWidth="1"/>
    <col min="21" max="21" width="13.7265625" style="42" customWidth="1"/>
    <col min="22" max="16384" width="9.1796875" style="42" hidden="1"/>
  </cols>
  <sheetData>
    <row r="1" spans="1:29" ht="15" customHeight="1" x14ac:dyDescent="0.35">
      <c r="E1" s="43" t="s">
        <v>25</v>
      </c>
      <c r="F1" s="43" t="s">
        <v>26</v>
      </c>
      <c r="G1" s="43" t="s">
        <v>27</v>
      </c>
      <c r="N1" s="46" t="str">
        <f ca="1">"Quadro de Composição do BDI "&amp;MID(CELL("nome.arquivo",N1),5+FIND("BDI (",CELL("nome.arquivo",N1)),1)</f>
        <v>Quadro de Composição do BDI 2</v>
      </c>
      <c r="Q1"/>
      <c r="R1"/>
    </row>
    <row r="2" spans="1:29" ht="13" x14ac:dyDescent="0.3">
      <c r="A2" s="42" t="s">
        <v>28</v>
      </c>
      <c r="B2" s="44" t="s">
        <v>29</v>
      </c>
      <c r="C2" s="42" t="str">
        <f t="shared" ref="C2:C49" si="0">CONCATENATE(A2,"-",B2)</f>
        <v>Construção e Reforma de Edifícios-AC</v>
      </c>
      <c r="E2" s="45">
        <v>0.03</v>
      </c>
      <c r="F2" s="45">
        <v>0.04</v>
      </c>
      <c r="G2" s="45">
        <v>5.5E-2</v>
      </c>
      <c r="Q2"/>
      <c r="R2"/>
    </row>
    <row r="3" spans="1:29" ht="13" x14ac:dyDescent="0.3">
      <c r="A3" s="42" t="str">
        <f>A2</f>
        <v>Construção e Reforma de Edifícios</v>
      </c>
      <c r="B3" s="44" t="s">
        <v>30</v>
      </c>
      <c r="C3" s="42" t="str">
        <f t="shared" si="0"/>
        <v>Construção e Reforma de Edifícios-SG</v>
      </c>
      <c r="E3" s="45">
        <v>8.0000000000000002E-3</v>
      </c>
      <c r="F3" s="45">
        <v>8.0000000000000002E-3</v>
      </c>
      <c r="G3" s="45">
        <v>0.01</v>
      </c>
    </row>
    <row r="4" spans="1:29" ht="13" x14ac:dyDescent="0.3">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4">
      <c r="A5" s="42" t="str">
        <f>A4</f>
        <v>Construção e Reforma de Edifícios</v>
      </c>
      <c r="B5" s="44" t="s">
        <v>32</v>
      </c>
      <c r="C5" s="42" t="str">
        <f t="shared" si="0"/>
        <v>Construção e Reforma de Edifícios-DF</v>
      </c>
      <c r="E5" s="45">
        <v>5.8999999999999999E-3</v>
      </c>
      <c r="F5" s="45">
        <v>1.23E-2</v>
      </c>
      <c r="G5" s="45">
        <v>1.3899999999999999E-2</v>
      </c>
      <c r="I5" s="290">
        <f>DADOS!A29</f>
        <v>0</v>
      </c>
      <c r="J5" s="291"/>
      <c r="K5" s="292" t="str">
        <f>DADOS!A32</f>
        <v>Prefeitura Municipal de Concórdia</v>
      </c>
      <c r="L5" s="293"/>
      <c r="M5" s="293"/>
      <c r="N5" s="293"/>
      <c r="O5" s="293"/>
      <c r="P5" s="293"/>
      <c r="Q5" s="293"/>
      <c r="R5" s="291"/>
      <c r="S5" s="47"/>
    </row>
    <row r="6" spans="1:29" ht="6" customHeight="1" x14ac:dyDescent="0.3">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3">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3">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4" t="str">
        <f>DADOS!P29</f>
        <v>Construção de Praça no Bairro das Nações</v>
      </c>
      <c r="J8" s="294"/>
      <c r="K8" s="294"/>
      <c r="L8" s="294"/>
      <c r="M8" s="294"/>
      <c r="N8" s="294"/>
      <c r="O8" s="294"/>
      <c r="P8" s="294"/>
      <c r="Q8" s="294"/>
      <c r="R8" s="294"/>
    </row>
    <row r="9" spans="1:29" ht="6" customHeight="1" x14ac:dyDescent="0.3">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ht="13" x14ac:dyDescent="0.3">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ht="13" x14ac:dyDescent="0.3">
      <c r="A11" s="42" t="s">
        <v>34</v>
      </c>
      <c r="B11" s="44" t="s">
        <v>32</v>
      </c>
      <c r="C11" s="42" t="str">
        <f t="shared" si="0"/>
        <v>Construção de Praças Urbanas, Rodovias, Ferrovias e recapeamento e pavimentação de vias urbanas-DF</v>
      </c>
      <c r="E11" s="45">
        <v>1.0200000000000001E-2</v>
      </c>
      <c r="F11" s="45">
        <v>1.11E-2</v>
      </c>
      <c r="G11" s="45">
        <v>1.21E-2</v>
      </c>
      <c r="I11" s="285" t="s">
        <v>137</v>
      </c>
      <c r="J11" s="286"/>
      <c r="K11" s="286"/>
      <c r="L11" s="286"/>
      <c r="M11" s="286"/>
      <c r="N11" s="286"/>
      <c r="O11" s="286"/>
      <c r="P11" s="287"/>
      <c r="Q11" s="288" t="str">
        <f>DADOS!$C$38</f>
        <v>Não</v>
      </c>
      <c r="R11" s="289"/>
    </row>
    <row r="12" spans="1:29" ht="13" x14ac:dyDescent="0.3">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3">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3" t="s">
        <v>36</v>
      </c>
      <c r="J13" s="283"/>
      <c r="K13" s="283"/>
      <c r="L13" s="283"/>
      <c r="M13" s="283"/>
      <c r="N13" s="283"/>
      <c r="O13" s="283"/>
      <c r="P13" s="283"/>
      <c r="Q13" s="280">
        <v>1</v>
      </c>
      <c r="R13" s="280"/>
    </row>
    <row r="14" spans="1:29" ht="15" customHeight="1" x14ac:dyDescent="0.3">
      <c r="A14" s="42" t="s">
        <v>37</v>
      </c>
      <c r="B14" s="44" t="s">
        <v>29</v>
      </c>
      <c r="C14" s="42" t="str">
        <f t="shared" si="0"/>
        <v>Construção de Redes de Abastecimento de Água, Coleta de Esgoto-AC</v>
      </c>
      <c r="E14" s="45">
        <v>3.4300000000000004E-2</v>
      </c>
      <c r="F14" s="45">
        <v>4.9299999999999997E-2</v>
      </c>
      <c r="G14" s="45">
        <v>6.7099999999999993E-2</v>
      </c>
      <c r="I14" s="281" t="s">
        <v>38</v>
      </c>
      <c r="J14" s="281"/>
      <c r="K14" s="281"/>
      <c r="L14" s="281"/>
      <c r="M14" s="281"/>
      <c r="N14" s="281"/>
      <c r="O14" s="281"/>
      <c r="P14" s="281"/>
      <c r="Q14" s="280">
        <v>0.02</v>
      </c>
      <c r="R14" s="280"/>
    </row>
    <row r="15" spans="1:29" ht="13" x14ac:dyDescent="0.3">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3">
      <c r="B16" s="44"/>
      <c r="E16" s="45"/>
      <c r="F16" s="45"/>
      <c r="G16" s="45"/>
      <c r="I16" s="282" t="s">
        <v>39</v>
      </c>
      <c r="J16" s="282"/>
      <c r="K16" s="282"/>
      <c r="L16" s="282"/>
      <c r="M16" s="282" t="s">
        <v>40</v>
      </c>
      <c r="N16" s="284" t="s">
        <v>41</v>
      </c>
      <c r="O16" s="284" t="s">
        <v>42</v>
      </c>
      <c r="P16" s="282" t="s">
        <v>43</v>
      </c>
      <c r="Q16" s="282" t="s">
        <v>44</v>
      </c>
      <c r="R16" s="299" t="s">
        <v>45</v>
      </c>
      <c r="T16" s="295" t="str">
        <f>IF(V27,"Para BDI fora do intervalo estatístico, deve ser apresentado Relatório Técnico Circunstanciado justificando a adoção do percentual de cada parcela do BDI.","")</f>
        <v/>
      </c>
      <c r="U16" s="295"/>
      <c r="V16" s="93"/>
      <c r="W16" s="93"/>
      <c r="X16" s="93"/>
      <c r="Y16" s="93"/>
      <c r="Z16" s="93"/>
      <c r="AA16" s="93"/>
      <c r="AB16" s="93"/>
      <c r="AC16" s="93"/>
    </row>
    <row r="17" spans="1:31" ht="15.75" customHeight="1" x14ac:dyDescent="0.3">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2"/>
      <c r="J17" s="282"/>
      <c r="K17" s="282"/>
      <c r="L17" s="282"/>
      <c r="M17" s="282"/>
      <c r="N17" s="284"/>
      <c r="O17" s="284"/>
      <c r="P17" s="282"/>
      <c r="Q17" s="282"/>
      <c r="R17" s="299"/>
      <c r="T17" s="295"/>
      <c r="U17" s="295"/>
      <c r="V17" s="93"/>
      <c r="W17" s="93"/>
      <c r="X17" s="93"/>
      <c r="Y17" s="93"/>
      <c r="Z17" s="93"/>
      <c r="AA17" s="93"/>
      <c r="AB17" s="93"/>
      <c r="AC17" s="93"/>
    </row>
    <row r="18" spans="1:31" ht="26.25" customHeight="1" x14ac:dyDescent="0.3">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7" t="str">
        <f>IF($I$11=$A$59,"Encargos Sociais incidentes sobre a mão de obra","Administração Central")</f>
        <v>Administração Central</v>
      </c>
      <c r="J18" s="297"/>
      <c r="K18" s="297"/>
      <c r="L18" s="297"/>
      <c r="M18" s="50" t="str">
        <f>IF($I$11=$A$59,"K1","AC")</f>
        <v>AC</v>
      </c>
      <c r="N18" s="51">
        <v>1.4999999999999999E-2</v>
      </c>
      <c r="O18" s="52" t="s">
        <v>46</v>
      </c>
      <c r="P18" s="53">
        <f>VLOOKUP(CONCATENATE(I$11,"-",M18),$C$2:$G$49,3,FALSE)</f>
        <v>1.4999999999999999E-2</v>
      </c>
      <c r="Q18" s="53">
        <f>VLOOKUP(CONCATENATE(I$11,"-",M18),$C$2:$G$49,4,FALSE)</f>
        <v>3.4500000000000003E-2</v>
      </c>
      <c r="R18" s="53">
        <f>VLOOKUP(CONCATENATE(I$11,"-",M18),$C$2:$G$49,5,FALSE)</f>
        <v>4.4900000000000002E-2</v>
      </c>
      <c r="T18" s="295"/>
      <c r="U18" s="295"/>
      <c r="V18" s="93"/>
      <c r="W18" s="93"/>
      <c r="X18" s="93"/>
      <c r="Y18" s="93"/>
      <c r="Z18" s="93"/>
      <c r="AA18" s="93"/>
      <c r="AB18" s="93"/>
      <c r="AC18" s="93"/>
    </row>
    <row r="19" spans="1:31" ht="26.25" customHeight="1" x14ac:dyDescent="0.3">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7" t="str">
        <f>IF($I$11=$A$59,"Administração Central da empresa ou consultoria - overhead","Seguro e Garantia")</f>
        <v>Seguro e Garantia</v>
      </c>
      <c r="J19" s="297"/>
      <c r="K19" s="297"/>
      <c r="L19" s="297"/>
      <c r="M19" s="50" t="str">
        <f>IF($I$11=$A$59,"K2","SG")</f>
        <v>SG</v>
      </c>
      <c r="N19" s="51">
        <v>3.0000000000000001E-3</v>
      </c>
      <c r="O19" s="52" t="s">
        <v>46</v>
      </c>
      <c r="P19" s="53">
        <f>VLOOKUP(CONCATENATE(I$11,"-",M19),$C$2:$G$49,3,FALSE)</f>
        <v>3.0000000000000001E-3</v>
      </c>
      <c r="Q19" s="53">
        <f>VLOOKUP(CONCATENATE(I$11,"-",M19),$C$2:$G$49,4,FALSE)</f>
        <v>4.7999999999999996E-3</v>
      </c>
      <c r="R19" s="53">
        <f>VLOOKUP(CONCATENATE(I$11,"-",M19),$C$2:$G$49,5,FALSE)</f>
        <v>8.199999999999999E-3</v>
      </c>
      <c r="T19" s="295"/>
      <c r="U19" s="295"/>
      <c r="V19" s="93"/>
      <c r="W19" s="93"/>
      <c r="X19" s="93"/>
      <c r="Y19" s="93"/>
      <c r="Z19" s="93"/>
      <c r="AA19" s="93"/>
      <c r="AB19" s="93"/>
      <c r="AC19" s="93"/>
    </row>
    <row r="20" spans="1:31" ht="26.25" customHeight="1" x14ac:dyDescent="0.3">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7" t="str">
        <f>IF($I$11=$A$59,"","Risco")</f>
        <v>Risco</v>
      </c>
      <c r="J20" s="297"/>
      <c r="K20" s="297"/>
      <c r="L20" s="297"/>
      <c r="M20" s="50" t="str">
        <f>IF($I$11=$A$59,"","R")</f>
        <v>R</v>
      </c>
      <c r="N20" s="51">
        <v>5.5999999999999999E-3</v>
      </c>
      <c r="O20" s="52" t="s">
        <v>46</v>
      </c>
      <c r="P20" s="53">
        <f>VLOOKUP(CONCATENATE(I$11,"-",M20),$C$2:$G$49,3,FALSE)</f>
        <v>5.6000000000000008E-3</v>
      </c>
      <c r="Q20" s="53">
        <f>VLOOKUP(CONCATENATE(I$11,"-",M20),$C$2:$G$49,4,FALSE)</f>
        <v>8.5000000000000006E-3</v>
      </c>
      <c r="R20" s="53">
        <f>VLOOKUP(CONCATENATE(I$11,"-",M20),$C$2:$G$49,5,FALSE)</f>
        <v>8.8999999999999999E-3</v>
      </c>
      <c r="T20" s="295"/>
      <c r="U20" s="295"/>
      <c r="V20" s="93"/>
      <c r="W20" s="93"/>
      <c r="X20" s="93"/>
      <c r="Y20" s="93"/>
      <c r="Z20" s="93"/>
      <c r="AA20" s="93"/>
      <c r="AB20" s="93"/>
      <c r="AC20" s="93"/>
    </row>
    <row r="21" spans="1:31" ht="26.25" customHeight="1" x14ac:dyDescent="0.3">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7" t="str">
        <f>IF($I$11=$A$59,"","Despesas Financeiras")</f>
        <v>Despesas Financeiras</v>
      </c>
      <c r="J21" s="297"/>
      <c r="K21" s="297"/>
      <c r="L21" s="297"/>
      <c r="M21" s="50" t="str">
        <f>IF($I$11=$A$59,"","DF")</f>
        <v>DF</v>
      </c>
      <c r="N21" s="51">
        <v>8.5000000000000006E-3</v>
      </c>
      <c r="O21" s="52" t="s">
        <v>46</v>
      </c>
      <c r="P21" s="53">
        <f>VLOOKUP(CONCATENATE(I$11,"-",M21),$C$2:$G$49,3,FALSE)</f>
        <v>8.5000000000000006E-3</v>
      </c>
      <c r="Q21" s="53">
        <f>VLOOKUP(CONCATENATE(I$11,"-",M21),$C$2:$G$49,4,FALSE)</f>
        <v>8.5000000000000006E-3</v>
      </c>
      <c r="R21" s="53">
        <f>VLOOKUP(CONCATENATE(I$11,"-",M21),$C$2:$G$49,5,FALSE)</f>
        <v>1.11E-2</v>
      </c>
      <c r="T21" s="295"/>
      <c r="U21" s="295"/>
    </row>
    <row r="22" spans="1:31" ht="26.25" customHeight="1" x14ac:dyDescent="0.3">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7" t="str">
        <f>IF($I$11=$A$59,"Margem bruta da empresa de consultoria","Lucro")</f>
        <v>Lucro</v>
      </c>
      <c r="J22" s="297"/>
      <c r="K22" s="297"/>
      <c r="L22" s="297"/>
      <c r="M22" s="50" t="str">
        <f>IF($I$11=$A$59,"K3","L")</f>
        <v>L</v>
      </c>
      <c r="N22" s="51">
        <v>5.11E-2</v>
      </c>
      <c r="O22" s="52" t="s">
        <v>46</v>
      </c>
      <c r="P22" s="53">
        <f>VLOOKUP(CONCATENATE(I$11,"-",M22),$C$2:$G$49,3,FALSE)</f>
        <v>3.5000000000000003E-2</v>
      </c>
      <c r="Q22" s="53">
        <f>VLOOKUP(CONCATENATE(I$11,"-",M22),$C$2:$G$49,4,FALSE)</f>
        <v>5.1100000000000007E-2</v>
      </c>
      <c r="R22" s="53">
        <f>VLOOKUP(CONCATENATE(I$11,"-",M22),$C$2:$G$49,5,FALSE)</f>
        <v>6.2199999999999998E-2</v>
      </c>
      <c r="T22" s="295"/>
      <c r="U22" s="295"/>
    </row>
    <row r="23" spans="1:31" ht="26.25" customHeight="1" x14ac:dyDescent="0.3">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8" t="s">
        <v>48</v>
      </c>
      <c r="J23" s="298"/>
      <c r="K23" s="298"/>
      <c r="L23" s="298"/>
      <c r="M23" s="50" t="s">
        <v>49</v>
      </c>
      <c r="N23" s="51">
        <v>3.6499999999999998E-2</v>
      </c>
      <c r="O23" s="52" t="s">
        <v>46</v>
      </c>
      <c r="P23" s="53">
        <v>3.6499999999999998E-2</v>
      </c>
      <c r="Q23" s="53">
        <v>3.6499999999999998E-2</v>
      </c>
      <c r="R23" s="53">
        <v>3.6499999999999998E-2</v>
      </c>
      <c r="T23" s="295"/>
      <c r="U23" s="295"/>
    </row>
    <row r="24" spans="1:31" ht="26.25" customHeight="1" x14ac:dyDescent="0.3">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7" t="s">
        <v>50</v>
      </c>
      <c r="J24" s="297"/>
      <c r="K24" s="297"/>
      <c r="L24" s="297"/>
      <c r="M24" s="50" t="s">
        <v>51</v>
      </c>
      <c r="N24" s="53">
        <f>IF($I$11&lt;&gt;$A$58,Q14*Q13,0)</f>
        <v>0.02</v>
      </c>
      <c r="O24" s="52" t="s">
        <v>46</v>
      </c>
      <c r="P24" s="53">
        <v>0</v>
      </c>
      <c r="Q24" s="53">
        <v>2.5000000000000001E-2</v>
      </c>
      <c r="R24" s="53">
        <v>0.05</v>
      </c>
      <c r="T24" s="295"/>
      <c r="U24" s="295"/>
    </row>
    <row r="25" spans="1:31" ht="26.25" customHeight="1" x14ac:dyDescent="0.3">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7" t="s">
        <v>116</v>
      </c>
      <c r="J25" s="297"/>
      <c r="K25" s="297"/>
      <c r="L25" s="297"/>
      <c r="M25" s="50" t="s">
        <v>52</v>
      </c>
      <c r="N25" s="53">
        <f>IF(AND($I$11&lt;&gt;$A$58,Q11="Sim"),4.5%,0%)</f>
        <v>0</v>
      </c>
      <c r="O25" s="52" t="str">
        <f>IF(AND(N25&gt;=P25, N25&lt;=R25), "OK", "Não OK")</f>
        <v>OK</v>
      </c>
      <c r="P25" s="54">
        <v>0</v>
      </c>
      <c r="Q25" s="54">
        <v>4.4999999999999998E-2</v>
      </c>
      <c r="R25" s="54">
        <v>4.4999999999999998E-2</v>
      </c>
    </row>
    <row r="26" spans="1:31" ht="30.75" customHeight="1" x14ac:dyDescent="0.3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7" t="s">
        <v>53</v>
      </c>
      <c r="J26" s="297"/>
      <c r="K26" s="297"/>
      <c r="L26" s="297"/>
      <c r="M26" s="55" t="s">
        <v>33</v>
      </c>
      <c r="N26" s="53">
        <f>IF($I$11=$A$58,0,ROUND((((1+N18+N19+N20)*(1+N21)*(1+N22)/(1-(N23+N24)))-1),4))</f>
        <v>0.15</v>
      </c>
      <c r="O26" s="91" t="str">
        <f>IF(OR($I$11=$A$59,$I$11=$A$58,AND(N26&gt;=P26, N26&lt;=R26)), "OK", "FORA DO INTERVALO")</f>
        <v>OK</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35">
      <c r="A27" s="42" t="s">
        <v>54</v>
      </c>
      <c r="B27" s="44" t="s">
        <v>29</v>
      </c>
      <c r="C27" s="42" t="str">
        <f t="shared" si="0"/>
        <v>Obras Portuárias, Marítimas e Fluviais-AC</v>
      </c>
      <c r="E27" s="45">
        <v>0.04</v>
      </c>
      <c r="F27" s="45">
        <v>5.5199999999999999E-2</v>
      </c>
      <c r="G27" s="45">
        <v>7.85E-2</v>
      </c>
      <c r="I27" s="308" t="s">
        <v>55</v>
      </c>
      <c r="J27" s="308"/>
      <c r="K27" s="308"/>
      <c r="L27" s="308"/>
      <c r="M27" s="56" t="s">
        <v>56</v>
      </c>
      <c r="N27" s="57">
        <f>IF($I$11=$A$58,0,ROUND((((1+N18+N19+N20)*(1+N21)*(1+N22)/(1-(N23+N24+N25)))-1),4))</f>
        <v>0.15</v>
      </c>
      <c r="O27" s="95" t="str">
        <f>IF(Q11&lt;&gt;"Sim","",O26)</f>
        <v/>
      </c>
      <c r="P27" s="309"/>
      <c r="Q27" s="309"/>
      <c r="R27" s="309"/>
      <c r="T27" s="92"/>
      <c r="V27" s="96" t="b">
        <f>AND(COUNTA(N18:N23)=6,O26&lt;&gt;"ok",NOT(V29))</f>
        <v>0</v>
      </c>
      <c r="W27" s="42" t="s">
        <v>118</v>
      </c>
    </row>
    <row r="28" spans="1:31" ht="7.5" customHeight="1" x14ac:dyDescent="0.3">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3">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7" t="s">
        <v>117</v>
      </c>
      <c r="K29" s="307"/>
      <c r="L29" s="307"/>
      <c r="M29" s="307"/>
      <c r="N29" s="307"/>
      <c r="O29" s="307"/>
      <c r="P29" s="307"/>
      <c r="Q29" s="307"/>
      <c r="R29" s="307"/>
      <c r="V29" s="96" t="b">
        <v>0</v>
      </c>
      <c r="W29" s="42" t="s">
        <v>119</v>
      </c>
    </row>
    <row r="30" spans="1:31" ht="7.5" customHeight="1" x14ac:dyDescent="0.3">
      <c r="B30" s="44"/>
      <c r="E30" s="45"/>
      <c r="F30" s="45"/>
      <c r="G30" s="45"/>
      <c r="V30" s="96"/>
    </row>
    <row r="31" spans="1:31" ht="18.75" customHeight="1" x14ac:dyDescent="0.3">
      <c r="B31" s="44"/>
      <c r="E31" s="45"/>
      <c r="F31" s="45"/>
      <c r="G31" s="45"/>
      <c r="I31" s="310" t="s">
        <v>61</v>
      </c>
      <c r="J31" s="310"/>
      <c r="K31" s="310"/>
      <c r="L31" s="310"/>
      <c r="M31" s="310"/>
      <c r="N31" s="310"/>
      <c r="O31" s="310"/>
      <c r="P31" s="310"/>
      <c r="Q31" s="310"/>
      <c r="R31" s="310"/>
    </row>
    <row r="32" spans="1:31" ht="30" customHeight="1" x14ac:dyDescent="0.3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5" t="str">
        <f>IF(Q11="Sim","BDI.DES =","BDI.PAD =")</f>
        <v>BDI.PAD =</v>
      </c>
      <c r="M32" s="303" t="str">
        <f>IF($I$11=$A$59,"(1+K1+K2)*(1+K3)","(1+AC + S + R + G)*(1 + DF)*(1+L)")</f>
        <v>(1+AC + S + R + G)*(1 + DF)*(1+L)</v>
      </c>
      <c r="N32" s="303"/>
      <c r="O32" s="303"/>
      <c r="P32" s="301" t="s">
        <v>108</v>
      </c>
      <c r="Q32" s="85"/>
      <c r="R32" s="85"/>
    </row>
    <row r="33" spans="1:18" ht="27" customHeight="1" x14ac:dyDescent="0.3">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5"/>
      <c r="M33" s="304" t="str">
        <f>IF(Q11="Sim","(1-CP-ISS-CRPB)","(1-CP-ISS)")</f>
        <v>(1-CP-ISS)</v>
      </c>
      <c r="N33" s="304"/>
      <c r="O33" s="304"/>
      <c r="P33" s="302"/>
      <c r="Q33" s="85"/>
      <c r="R33" s="85"/>
    </row>
    <row r="34" spans="1:18" ht="7.5" customHeight="1" x14ac:dyDescent="0.3">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3">
      <c r="B35" s="49"/>
      <c r="E35" s="45"/>
      <c r="F35" s="45"/>
      <c r="G35" s="45"/>
      <c r="I35" s="300"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100%, com a respectiva alíquota de 2%.</v>
      </c>
      <c r="J35" s="300"/>
      <c r="K35" s="300"/>
      <c r="L35" s="300"/>
      <c r="M35" s="300"/>
      <c r="N35" s="300"/>
      <c r="O35" s="300"/>
      <c r="P35" s="300"/>
      <c r="Q35" s="300"/>
      <c r="R35" s="300"/>
    </row>
    <row r="36" spans="1:18" ht="11.25" customHeight="1" x14ac:dyDescent="0.3">
      <c r="B36" s="49"/>
      <c r="E36" s="45"/>
      <c r="F36" s="45"/>
      <c r="G36" s="45"/>
    </row>
    <row r="37" spans="1:18" ht="52.5" customHeight="1" x14ac:dyDescent="0.3">
      <c r="B37" s="49"/>
      <c r="E37" s="45"/>
      <c r="F37" s="45"/>
      <c r="G37" s="45"/>
      <c r="I37" s="30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0"/>
      <c r="K37" s="300"/>
      <c r="L37" s="300"/>
      <c r="M37" s="300"/>
      <c r="N37" s="300"/>
      <c r="O37" s="300"/>
      <c r="P37" s="300"/>
      <c r="Q37" s="300"/>
      <c r="R37" s="300"/>
    </row>
    <row r="38" spans="1:18" ht="18" customHeight="1" x14ac:dyDescent="0.3">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ht="13" x14ac:dyDescent="0.3">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3">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2"/>
      <c r="J40" s="313"/>
      <c r="K40" s="313"/>
      <c r="L40" s="313"/>
      <c r="M40" s="313"/>
      <c r="N40" s="313"/>
      <c r="O40" s="313"/>
      <c r="P40" s="313"/>
      <c r="Q40" s="313"/>
      <c r="R40" s="314"/>
    </row>
    <row r="41" spans="1:18" ht="16.5" customHeight="1" x14ac:dyDescent="0.3">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ht="13" x14ac:dyDescent="0.3">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6" t="str">
        <f>PO!K36</f>
        <v>Concórdia/SC</v>
      </c>
      <c r="J42" s="296"/>
      <c r="K42" s="296"/>
      <c r="L42" s="296"/>
      <c r="O42" s="311">
        <f ca="1">PO!K39</f>
        <v>46220</v>
      </c>
      <c r="P42" s="311"/>
      <c r="Q42" s="311"/>
      <c r="R42" s="311"/>
    </row>
    <row r="43" spans="1:18" ht="15" customHeight="1" x14ac:dyDescent="0.3">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9" t="s">
        <v>120</v>
      </c>
      <c r="J43" s="279"/>
      <c r="K43" s="279"/>
      <c r="L43" s="279"/>
      <c r="N43" s="58"/>
      <c r="O43" s="122" t="s">
        <v>121</v>
      </c>
      <c r="P43" s="123"/>
      <c r="Q43" s="123"/>
      <c r="R43" s="123"/>
    </row>
    <row r="44" spans="1:18" ht="13" x14ac:dyDescent="0.3">
      <c r="A44" s="42" t="s">
        <v>59</v>
      </c>
      <c r="B44" s="44" t="s">
        <v>104</v>
      </c>
      <c r="C44" s="42" t="str">
        <f t="shared" si="0"/>
        <v>Estudos e Projetos, Planos e Gerenciamento e outros correlatos-K1</v>
      </c>
      <c r="E44" s="45" t="s">
        <v>46</v>
      </c>
      <c r="F44" s="45" t="s">
        <v>46</v>
      </c>
      <c r="G44" s="45" t="s">
        <v>46</v>
      </c>
    </row>
    <row r="45" spans="1:18" ht="30" customHeight="1" x14ac:dyDescent="0.3">
      <c r="A45" s="42" t="str">
        <f>A44</f>
        <v>Estudos e Projetos, Planos e Gerenciamento e outros correlatos</v>
      </c>
      <c r="B45" s="44" t="s">
        <v>105</v>
      </c>
      <c r="C45" s="42" t="str">
        <f t="shared" si="0"/>
        <v>Estudos e Projetos, Planos e Gerenciamento e outros correlatos-K2</v>
      </c>
      <c r="E45" s="45" t="s">
        <v>46</v>
      </c>
      <c r="F45" s="45">
        <v>0.2</v>
      </c>
      <c r="G45" s="45" t="s">
        <v>46</v>
      </c>
      <c r="I45" s="278"/>
      <c r="J45" s="278"/>
      <c r="K45" s="278"/>
      <c r="L45" s="278"/>
      <c r="M45" s="59"/>
      <c r="N45" s="59"/>
      <c r="O45" s="278"/>
      <c r="P45" s="278"/>
      <c r="Q45" s="278"/>
      <c r="R45" s="278"/>
    </row>
    <row r="46" spans="1:18" ht="13" x14ac:dyDescent="0.3">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5" t="s">
        <v>57</v>
      </c>
      <c r="J46" s="315"/>
      <c r="K46" s="315"/>
      <c r="L46" s="315"/>
      <c r="O46" s="315" t="s">
        <v>58</v>
      </c>
      <c r="P46" s="315"/>
      <c r="Q46" s="315"/>
      <c r="R46" s="315"/>
    </row>
    <row r="47" spans="1:18" ht="14" x14ac:dyDescent="0.3">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6">
        <f>DADOS!B54</f>
        <v>0</v>
      </c>
      <c r="K47" s="306"/>
      <c r="L47" s="306"/>
      <c r="M47" s="59"/>
      <c r="N47" s="59"/>
      <c r="O47" s="21" t="s">
        <v>140</v>
      </c>
      <c r="P47" s="277"/>
      <c r="Q47" s="277"/>
      <c r="R47" s="277"/>
    </row>
    <row r="48" spans="1:18" ht="14" x14ac:dyDescent="0.3">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6">
        <f>DADOS!B55</f>
        <v>0</v>
      </c>
      <c r="K48" s="306"/>
      <c r="L48" s="306"/>
      <c r="M48" s="59"/>
      <c r="N48" s="59"/>
      <c r="O48" s="21" t="s">
        <v>60</v>
      </c>
      <c r="P48" s="277"/>
      <c r="Q48" s="277"/>
      <c r="R48" s="277"/>
    </row>
    <row r="49" spans="1:18" ht="14" x14ac:dyDescent="0.3">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6">
        <f>DADOS!B56</f>
        <v>0</v>
      </c>
      <c r="K49" s="306"/>
      <c r="L49" s="306"/>
      <c r="M49" s="59"/>
      <c r="N49" s="59"/>
      <c r="O49" s="59"/>
      <c r="P49" s="59"/>
      <c r="Q49" s="59"/>
      <c r="R49" s="59"/>
    </row>
    <row r="50" spans="1:18" ht="13" x14ac:dyDescent="0.25">
      <c r="I50" s="21" t="str">
        <f>DADOS!A57</f>
        <v>CNPJ:</v>
      </c>
      <c r="J50" s="306">
        <f>DADOS!B57</f>
        <v>0</v>
      </c>
      <c r="K50" s="306"/>
      <c r="L50" s="306"/>
    </row>
    <row r="51" spans="1:18" ht="12.5" x14ac:dyDescent="0.25"/>
    <row r="52" spans="1:18" ht="12.5" hidden="1" x14ac:dyDescent="0.25">
      <c r="A52" s="42" t="s">
        <v>28</v>
      </c>
    </row>
    <row r="53" spans="1:18" ht="12.5" hidden="1" x14ac:dyDescent="0.25">
      <c r="A53" s="42" t="s">
        <v>34</v>
      </c>
    </row>
    <row r="54" spans="1:18" ht="12.5" hidden="1" x14ac:dyDescent="0.25">
      <c r="A54" s="42" t="s">
        <v>37</v>
      </c>
    </row>
    <row r="55" spans="1:18" ht="12.5" hidden="1" x14ac:dyDescent="0.25">
      <c r="A55" s="42" t="s">
        <v>47</v>
      </c>
    </row>
    <row r="56" spans="1:18" ht="12.5" hidden="1" x14ac:dyDescent="0.25">
      <c r="A56" s="42" t="s">
        <v>54</v>
      </c>
    </row>
    <row r="57" spans="1:18" ht="12.5" hidden="1" x14ac:dyDescent="0.25">
      <c r="A57" s="42" t="s">
        <v>137</v>
      </c>
    </row>
    <row r="58" spans="1:18" ht="12.5" hidden="1" x14ac:dyDescent="0.25">
      <c r="A58" s="42" t="s">
        <v>138</v>
      </c>
    </row>
    <row r="59" spans="1:18" ht="12.5" hidden="1" x14ac:dyDescent="0.25">
      <c r="A59" s="42" t="s">
        <v>59</v>
      </c>
    </row>
    <row r="60" spans="1:18" ht="14" hidden="1" x14ac:dyDescent="0.3">
      <c r="A60" s="60"/>
      <c r="B60" s="59"/>
      <c r="C60" s="59"/>
      <c r="D60" s="59"/>
      <c r="E60" s="59"/>
      <c r="F60" s="59"/>
      <c r="G60" s="59"/>
    </row>
  </sheetData>
  <sheetProtection password="C95B"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166" priority="3" stopIfTrue="1">
      <formula>$O$42=""</formula>
    </cfRule>
  </conditionalFormatting>
  <conditionalFormatting sqref="O18:O27">
    <cfRule type="expression" dxfId="165" priority="8" stopIfTrue="1">
      <formula>AND(O18&lt;&gt;"OK",O18&lt;&gt;"-",O18&lt;&gt;"")</formula>
    </cfRule>
    <cfRule type="cellIs" dxfId="164" priority="9" stopIfTrue="1" operator="equal">
      <formula>"OK"</formula>
    </cfRule>
  </conditionalFormatting>
  <conditionalFormatting sqref="I26:N26">
    <cfRule type="expression" dxfId="163" priority="7" stopIfTrue="1">
      <formula>$Q$11="Não"</formula>
    </cfRule>
  </conditionalFormatting>
  <conditionalFormatting sqref="I27:N27">
    <cfRule type="expression" dxfId="162" priority="6" stopIfTrue="1">
      <formula>$Q$11="sim"</formula>
    </cfRule>
  </conditionalFormatting>
  <conditionalFormatting sqref="P27:R27">
    <cfRule type="expression" dxfId="161" priority="5" stopIfTrue="1">
      <formula>$Q$11="sim"</formula>
    </cfRule>
  </conditionalFormatting>
  <conditionalFormatting sqref="P47:R48">
    <cfRule type="expression" dxfId="160" priority="4" stopIfTrue="1">
      <formula>P47=""</formula>
    </cfRule>
  </conditionalFormatting>
  <conditionalFormatting sqref="I29:R29">
    <cfRule type="expression" dxfId="159" priority="2" stopIfTrue="1">
      <formula>AND(NOT($V$27),NOT($V$29))</formula>
    </cfRule>
  </conditionalFormatting>
  <conditionalFormatting sqref="P18:R26">
    <cfRule type="expression" dxfId="158" priority="1" stopIfTrue="1">
      <formula>$I$11=$A$58</formula>
    </cfRule>
  </conditionalFormatting>
  <dataValidations count="6">
    <dataValidation type="decimal" allowBlank="1" showInputMessage="1" showErrorMessage="1" errorTitle="Erro de valores" error="Digite um valor entre 0% e 100%" sqref="N18:N23" xr:uid="{504F0185-CA78-4452-95D1-E828421576E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AFB694DC-284A-4048-8571-770B6EEDE007}">
      <formula1>0</formula1>
    </dataValidation>
    <dataValidation type="decimal" allowBlank="1" showInputMessage="1" showErrorMessage="1" errorTitle="Valor não permitido" error="Digite um percentual entre 0% e 100%." promptTitle="Valores admissíveis:" prompt="Insira valores entre 0 e 100%." sqref="Q13:R13" xr:uid="{832DDCA9-6403-4970-A5C9-2020E595461F}">
      <formula1>0</formula1>
      <formula2>1</formula2>
    </dataValidation>
    <dataValidation type="decimal" allowBlank="1" showInputMessage="1" showErrorMessage="1" errorTitle="Erro de valores" error="Digite um valor maior do que 0." sqref="N24" xr:uid="{340A8900-5489-440E-946D-27D2C43F96D5}">
      <formula1>0</formula1>
      <formula2>1</formula2>
    </dataValidation>
    <dataValidation operator="greaterThanOrEqual" allowBlank="1" showInputMessage="1" showErrorMessage="1" errorTitle="Erro de valores" error="Digite um valor igual a 0% ou 2%." sqref="N25" xr:uid="{71F67A04-171E-4B27-B683-A93275D851E9}"/>
    <dataValidation type="list" allowBlank="1" showInputMessage="1" showErrorMessage="1" sqref="I11:P11" xr:uid="{A50E8133-1E28-49A9-9A21-72394EBDBA0F}">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9AD6B-DF41-4E2F-B518-9734E9A87559}">
  <sheetPr codeName="Plan7">
    <tabColor rgb="FFFFFF00"/>
    <pageSetUpPr fitToPage="1"/>
  </sheetPr>
  <dimension ref="A1:AE60"/>
  <sheetViews>
    <sheetView showGridLines="0" topLeftCell="I1" zoomScaleNormal="100" zoomScaleSheetLayoutView="100" zoomScalePageLayoutView="70" workbookViewId="0">
      <selection activeCell="N24" sqref="N24"/>
    </sheetView>
  </sheetViews>
  <sheetFormatPr defaultColWidth="0" defaultRowHeight="12.75" customHeight="1" zeroHeight="1" x14ac:dyDescent="0.25"/>
  <cols>
    <col min="1" max="1" width="30.26953125" style="42" hidden="1" customWidth="1"/>
    <col min="2" max="3" width="9.1796875" style="42" hidden="1" customWidth="1"/>
    <col min="4" max="4" width="23.54296875" style="42" hidden="1" customWidth="1"/>
    <col min="5" max="8" width="9.1796875" style="42" hidden="1" customWidth="1"/>
    <col min="9" max="14" width="10.7265625" style="42" customWidth="1"/>
    <col min="15" max="15" width="12.81640625" style="42" customWidth="1"/>
    <col min="16" max="18" width="10.7265625" style="42" customWidth="1"/>
    <col min="19" max="19" width="3.7265625" style="42" customWidth="1"/>
    <col min="20" max="20" width="29.54296875" style="42" customWidth="1"/>
    <col min="21" max="21" width="13.7265625" style="42" customWidth="1"/>
    <col min="22" max="16384" width="9.1796875" style="42" hidden="1"/>
  </cols>
  <sheetData>
    <row r="1" spans="1:29" ht="15" customHeight="1" x14ac:dyDescent="0.35">
      <c r="E1" s="43" t="s">
        <v>25</v>
      </c>
      <c r="F1" s="43" t="s">
        <v>26</v>
      </c>
      <c r="G1" s="43" t="s">
        <v>27</v>
      </c>
      <c r="N1" s="46" t="str">
        <f ca="1">"Quadro de Composição do BDI "&amp;MID(CELL("nome.arquivo",N1),5+FIND("BDI (",CELL("nome.arquivo",N1)),1)</f>
        <v>Quadro de Composição do BDI 3</v>
      </c>
      <c r="Q1"/>
      <c r="R1"/>
    </row>
    <row r="2" spans="1:29" ht="13" x14ac:dyDescent="0.3">
      <c r="A2" s="42" t="s">
        <v>28</v>
      </c>
      <c r="B2" s="44" t="s">
        <v>29</v>
      </c>
      <c r="C2" s="42" t="str">
        <f t="shared" ref="C2:C49" si="0">CONCATENATE(A2,"-",B2)</f>
        <v>Construção e Reforma de Edifícios-AC</v>
      </c>
      <c r="E2" s="45">
        <v>0.03</v>
      </c>
      <c r="F2" s="45">
        <v>0.04</v>
      </c>
      <c r="G2" s="45">
        <v>5.5E-2</v>
      </c>
      <c r="Q2"/>
      <c r="R2"/>
    </row>
    <row r="3" spans="1:29" ht="13" x14ac:dyDescent="0.3">
      <c r="A3" s="42" t="str">
        <f>A2</f>
        <v>Construção e Reforma de Edifícios</v>
      </c>
      <c r="B3" s="44" t="s">
        <v>30</v>
      </c>
      <c r="C3" s="42" t="str">
        <f t="shared" si="0"/>
        <v>Construção e Reforma de Edifícios-SG</v>
      </c>
      <c r="E3" s="45">
        <v>8.0000000000000002E-3</v>
      </c>
      <c r="F3" s="45">
        <v>8.0000000000000002E-3</v>
      </c>
      <c r="G3" s="45">
        <v>0.01</v>
      </c>
    </row>
    <row r="4" spans="1:29" ht="13" x14ac:dyDescent="0.3">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4">
      <c r="A5" s="42" t="str">
        <f>A4</f>
        <v>Construção e Reforma de Edifícios</v>
      </c>
      <c r="B5" s="44" t="s">
        <v>32</v>
      </c>
      <c r="C5" s="42" t="str">
        <f t="shared" si="0"/>
        <v>Construção e Reforma de Edifícios-DF</v>
      </c>
      <c r="E5" s="45">
        <v>5.8999999999999999E-3</v>
      </c>
      <c r="F5" s="45">
        <v>1.23E-2</v>
      </c>
      <c r="G5" s="45">
        <v>1.3899999999999999E-2</v>
      </c>
      <c r="I5" s="290">
        <f>DADOS!A29</f>
        <v>0</v>
      </c>
      <c r="J5" s="291"/>
      <c r="K5" s="292" t="str">
        <f>DADOS!A32</f>
        <v>Prefeitura Municipal de Concórdia</v>
      </c>
      <c r="L5" s="293"/>
      <c r="M5" s="293"/>
      <c r="N5" s="293"/>
      <c r="O5" s="293"/>
      <c r="P5" s="293"/>
      <c r="Q5" s="293"/>
      <c r="R5" s="291"/>
      <c r="S5" s="47"/>
    </row>
    <row r="6" spans="1:29" ht="6" customHeight="1" x14ac:dyDescent="0.3">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3">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3">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4" t="str">
        <f>DADOS!P29</f>
        <v>Construção de Praça no Bairro das Nações</v>
      </c>
      <c r="J8" s="294"/>
      <c r="K8" s="294"/>
      <c r="L8" s="294"/>
      <c r="M8" s="294"/>
      <c r="N8" s="294"/>
      <c r="O8" s="294"/>
      <c r="P8" s="294"/>
      <c r="Q8" s="294"/>
      <c r="R8" s="294"/>
    </row>
    <row r="9" spans="1:29" ht="6" customHeight="1" x14ac:dyDescent="0.3">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ht="13" x14ac:dyDescent="0.3">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ht="13" x14ac:dyDescent="0.3">
      <c r="A11" s="42" t="s">
        <v>34</v>
      </c>
      <c r="B11" s="44" t="s">
        <v>32</v>
      </c>
      <c r="C11" s="42" t="str">
        <f t="shared" si="0"/>
        <v>Construção de Praças Urbanas, Rodovias, Ferrovias e recapeamento e pavimentação de vias urbanas-DF</v>
      </c>
      <c r="E11" s="45">
        <v>1.0200000000000001E-2</v>
      </c>
      <c r="F11" s="45">
        <v>1.11E-2</v>
      </c>
      <c r="G11" s="45">
        <v>1.21E-2</v>
      </c>
      <c r="I11" s="285" t="s">
        <v>34</v>
      </c>
      <c r="J11" s="286"/>
      <c r="K11" s="286"/>
      <c r="L11" s="286"/>
      <c r="M11" s="286"/>
      <c r="N11" s="286"/>
      <c r="O11" s="286"/>
      <c r="P11" s="287"/>
      <c r="Q11" s="288" t="str">
        <f>DADOS!$C$38</f>
        <v>Não</v>
      </c>
      <c r="R11" s="289"/>
    </row>
    <row r="12" spans="1:29" ht="13" x14ac:dyDescent="0.3">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3">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3" t="s">
        <v>36</v>
      </c>
      <c r="J13" s="283"/>
      <c r="K13" s="283"/>
      <c r="L13" s="283"/>
      <c r="M13" s="283"/>
      <c r="N13" s="283"/>
      <c r="O13" s="283"/>
      <c r="P13" s="283"/>
      <c r="Q13" s="280">
        <v>1</v>
      </c>
      <c r="R13" s="280"/>
    </row>
    <row r="14" spans="1:29" ht="15" customHeight="1" x14ac:dyDescent="0.3">
      <c r="A14" s="42" t="s">
        <v>37</v>
      </c>
      <c r="B14" s="44" t="s">
        <v>29</v>
      </c>
      <c r="C14" s="42" t="str">
        <f t="shared" si="0"/>
        <v>Construção de Redes de Abastecimento de Água, Coleta de Esgoto-AC</v>
      </c>
      <c r="E14" s="45">
        <v>3.4300000000000004E-2</v>
      </c>
      <c r="F14" s="45">
        <v>4.9299999999999997E-2</v>
      </c>
      <c r="G14" s="45">
        <v>6.7099999999999993E-2</v>
      </c>
      <c r="I14" s="281" t="s">
        <v>38</v>
      </c>
      <c r="J14" s="281"/>
      <c r="K14" s="281"/>
      <c r="L14" s="281"/>
      <c r="M14" s="281"/>
      <c r="N14" s="281"/>
      <c r="O14" s="281"/>
      <c r="P14" s="281"/>
      <c r="Q14" s="280">
        <v>0.02</v>
      </c>
      <c r="R14" s="280"/>
    </row>
    <row r="15" spans="1:29" ht="13" x14ac:dyDescent="0.3">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3">
      <c r="B16" s="44"/>
      <c r="E16" s="45"/>
      <c r="F16" s="45"/>
      <c r="G16" s="45"/>
      <c r="I16" s="282" t="s">
        <v>39</v>
      </c>
      <c r="J16" s="282"/>
      <c r="K16" s="282"/>
      <c r="L16" s="282"/>
      <c r="M16" s="282" t="s">
        <v>40</v>
      </c>
      <c r="N16" s="284" t="s">
        <v>41</v>
      </c>
      <c r="O16" s="284" t="s">
        <v>42</v>
      </c>
      <c r="P16" s="282" t="s">
        <v>43</v>
      </c>
      <c r="Q16" s="282" t="s">
        <v>44</v>
      </c>
      <c r="R16" s="299" t="s">
        <v>45</v>
      </c>
      <c r="T16" s="295" t="str">
        <f>IF(V27,"Para BDI fora do intervalo estatístico, deve ser apresentado Relatório Técnico Circunstanciado justificando a adoção do percentual de cada parcela do BDI.","")</f>
        <v/>
      </c>
      <c r="U16" s="295"/>
      <c r="V16" s="93"/>
      <c r="W16" s="93"/>
      <c r="X16" s="93"/>
      <c r="Y16" s="93"/>
      <c r="Z16" s="93"/>
      <c r="AA16" s="93"/>
      <c r="AB16" s="93"/>
      <c r="AC16" s="93"/>
    </row>
    <row r="17" spans="1:31" ht="15.75" customHeight="1" x14ac:dyDescent="0.3">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2"/>
      <c r="J17" s="282"/>
      <c r="K17" s="282"/>
      <c r="L17" s="282"/>
      <c r="M17" s="282"/>
      <c r="N17" s="284"/>
      <c r="O17" s="284"/>
      <c r="P17" s="282"/>
      <c r="Q17" s="282"/>
      <c r="R17" s="299"/>
      <c r="T17" s="295"/>
      <c r="U17" s="295"/>
      <c r="V17" s="93"/>
      <c r="W17" s="93"/>
      <c r="X17" s="93"/>
      <c r="Y17" s="93"/>
      <c r="Z17" s="93"/>
      <c r="AA17" s="93"/>
      <c r="AB17" s="93"/>
      <c r="AC17" s="93"/>
    </row>
    <row r="18" spans="1:31" ht="26.25" customHeight="1" x14ac:dyDescent="0.3">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7" t="str">
        <f>IF($I$11=$A$59,"Encargos Sociais incidentes sobre a mão de obra","Administração Central")</f>
        <v>Administração Central</v>
      </c>
      <c r="J18" s="297"/>
      <c r="K18" s="297"/>
      <c r="L18" s="297"/>
      <c r="M18" s="50" t="str">
        <f>IF($I$11=$A$59,"K1","AC")</f>
        <v>AC</v>
      </c>
      <c r="N18" s="51">
        <v>0.04</v>
      </c>
      <c r="O18" s="52" t="s">
        <v>46</v>
      </c>
      <c r="P18" s="53">
        <f>VLOOKUP(CONCATENATE(I$11,"-",M18),$C$2:$G$49,3,FALSE)</f>
        <v>3.7999999999999999E-2</v>
      </c>
      <c r="Q18" s="53">
        <f>VLOOKUP(CONCATENATE(I$11,"-",M18),$C$2:$G$49,4,FALSE)</f>
        <v>4.0099999999999997E-2</v>
      </c>
      <c r="R18" s="53">
        <f>VLOOKUP(CONCATENATE(I$11,"-",M18),$C$2:$G$49,5,FALSE)</f>
        <v>4.6699999999999998E-2</v>
      </c>
      <c r="T18" s="295"/>
      <c r="U18" s="295"/>
      <c r="V18" s="93"/>
      <c r="W18" s="93"/>
      <c r="X18" s="93"/>
      <c r="Y18" s="93"/>
      <c r="Z18" s="93"/>
      <c r="AA18" s="93"/>
      <c r="AB18" s="93"/>
      <c r="AC18" s="93"/>
    </row>
    <row r="19" spans="1:31" ht="26.25" customHeight="1" x14ac:dyDescent="0.3">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7" t="str">
        <f>IF($I$11=$A$59,"Administração Central da empresa ou consultoria - overhead","Seguro e Garantia")</f>
        <v>Seguro e Garantia</v>
      </c>
      <c r="J19" s="297"/>
      <c r="K19" s="297"/>
      <c r="L19" s="297"/>
      <c r="M19" s="50" t="str">
        <f>IF($I$11=$A$59,"K2","SG")</f>
        <v>SG</v>
      </c>
      <c r="N19" s="51">
        <v>8.0000000000000002E-3</v>
      </c>
      <c r="O19" s="52" t="s">
        <v>46</v>
      </c>
      <c r="P19" s="53">
        <f>VLOOKUP(CONCATENATE(I$11,"-",M19),$C$2:$G$49,3,FALSE)</f>
        <v>3.2000000000000002E-3</v>
      </c>
      <c r="Q19" s="53">
        <f>VLOOKUP(CONCATENATE(I$11,"-",M19),$C$2:$G$49,4,FALSE)</f>
        <v>4.0000000000000001E-3</v>
      </c>
      <c r="R19" s="53">
        <f>VLOOKUP(CONCATENATE(I$11,"-",M19),$C$2:$G$49,5,FALSE)</f>
        <v>7.4000000000000003E-3</v>
      </c>
      <c r="T19" s="295"/>
      <c r="U19" s="295"/>
      <c r="V19" s="93"/>
      <c r="W19" s="93"/>
      <c r="X19" s="93"/>
      <c r="Y19" s="93"/>
      <c r="Z19" s="93"/>
      <c r="AA19" s="93"/>
      <c r="AB19" s="93"/>
      <c r="AC19" s="93"/>
    </row>
    <row r="20" spans="1:31" ht="26.25" customHeight="1" x14ac:dyDescent="0.3">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7" t="str">
        <f>IF($I$11=$A$59,"","Risco")</f>
        <v>Risco</v>
      </c>
      <c r="J20" s="297"/>
      <c r="K20" s="297"/>
      <c r="L20" s="297"/>
      <c r="M20" s="50" t="str">
        <f>IF($I$11=$A$59,"","R")</f>
        <v>R</v>
      </c>
      <c r="N20" s="51">
        <v>1.2699999999999999E-2</v>
      </c>
      <c r="O20" s="52" t="s">
        <v>46</v>
      </c>
      <c r="P20" s="53">
        <f>VLOOKUP(CONCATENATE(I$11,"-",M20),$C$2:$G$49,3,FALSE)</f>
        <v>5.0000000000000001E-3</v>
      </c>
      <c r="Q20" s="53">
        <f>VLOOKUP(CONCATENATE(I$11,"-",M20),$C$2:$G$49,4,FALSE)</f>
        <v>5.6000000000000008E-3</v>
      </c>
      <c r="R20" s="53">
        <f>VLOOKUP(CONCATENATE(I$11,"-",M20),$C$2:$G$49,5,FALSE)</f>
        <v>9.7000000000000003E-3</v>
      </c>
      <c r="T20" s="295"/>
      <c r="U20" s="295"/>
      <c r="V20" s="93"/>
      <c r="W20" s="93"/>
      <c r="X20" s="93"/>
      <c r="Y20" s="93"/>
      <c r="Z20" s="93"/>
      <c r="AA20" s="93"/>
      <c r="AB20" s="93"/>
      <c r="AC20" s="93"/>
    </row>
    <row r="21" spans="1:31" ht="26.25" customHeight="1" x14ac:dyDescent="0.3">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7" t="str">
        <f>IF($I$11=$A$59,"","Despesas Financeiras")</f>
        <v>Despesas Financeiras</v>
      </c>
      <c r="J21" s="297"/>
      <c r="K21" s="297"/>
      <c r="L21" s="297"/>
      <c r="M21" s="50" t="str">
        <f>IF($I$11=$A$59,"","DF")</f>
        <v>DF</v>
      </c>
      <c r="N21" s="51">
        <v>1.23E-2</v>
      </c>
      <c r="O21" s="52" t="s">
        <v>46</v>
      </c>
      <c r="P21" s="53">
        <f>VLOOKUP(CONCATENATE(I$11,"-",M21),$C$2:$G$49,3,FALSE)</f>
        <v>1.0200000000000001E-2</v>
      </c>
      <c r="Q21" s="53">
        <f>VLOOKUP(CONCATENATE(I$11,"-",M21),$C$2:$G$49,4,FALSE)</f>
        <v>1.11E-2</v>
      </c>
      <c r="R21" s="53">
        <f>VLOOKUP(CONCATENATE(I$11,"-",M21),$C$2:$G$49,5,FALSE)</f>
        <v>1.21E-2</v>
      </c>
      <c r="T21" s="295"/>
      <c r="U21" s="295"/>
    </row>
    <row r="22" spans="1:31" ht="26.25" customHeight="1" x14ac:dyDescent="0.3">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7" t="str">
        <f>IF($I$11=$A$59,"Margem bruta da empresa de consultoria","Lucro")</f>
        <v>Lucro</v>
      </c>
      <c r="J22" s="297"/>
      <c r="K22" s="297"/>
      <c r="L22" s="297"/>
      <c r="M22" s="50" t="str">
        <f>IF($I$11=$A$59,"K3","L")</f>
        <v>L</v>
      </c>
      <c r="N22" s="51">
        <v>7.3999999999999996E-2</v>
      </c>
      <c r="O22" s="52" t="s">
        <v>46</v>
      </c>
      <c r="P22" s="53">
        <f>VLOOKUP(CONCATENATE(I$11,"-",M22),$C$2:$G$49,3,FALSE)</f>
        <v>6.6400000000000001E-2</v>
      </c>
      <c r="Q22" s="53">
        <f>VLOOKUP(CONCATENATE(I$11,"-",M22),$C$2:$G$49,4,FALSE)</f>
        <v>7.2999999999999995E-2</v>
      </c>
      <c r="R22" s="53">
        <f>VLOOKUP(CONCATENATE(I$11,"-",M22),$C$2:$G$49,5,FALSE)</f>
        <v>8.6899999999999991E-2</v>
      </c>
      <c r="T22" s="295"/>
      <c r="U22" s="295"/>
    </row>
    <row r="23" spans="1:31" ht="26.25" customHeight="1" x14ac:dyDescent="0.3">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8" t="s">
        <v>48</v>
      </c>
      <c r="J23" s="298"/>
      <c r="K23" s="298"/>
      <c r="L23" s="298"/>
      <c r="M23" s="50" t="s">
        <v>49</v>
      </c>
      <c r="N23" s="51">
        <v>3.6499999999999998E-2</v>
      </c>
      <c r="O23" s="52" t="s">
        <v>46</v>
      </c>
      <c r="P23" s="53">
        <v>3.6499999999999998E-2</v>
      </c>
      <c r="Q23" s="53">
        <v>3.6499999999999998E-2</v>
      </c>
      <c r="R23" s="53">
        <v>3.6499999999999998E-2</v>
      </c>
      <c r="T23" s="295"/>
      <c r="U23" s="295"/>
    </row>
    <row r="24" spans="1:31" ht="26.25" customHeight="1" x14ac:dyDescent="0.3">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7" t="s">
        <v>50</v>
      </c>
      <c r="J24" s="297"/>
      <c r="K24" s="297"/>
      <c r="L24" s="297"/>
      <c r="M24" s="50" t="s">
        <v>51</v>
      </c>
      <c r="N24" s="53">
        <f>IF($I$11&lt;&gt;$A$58,Q14*Q13,0)</f>
        <v>0.02</v>
      </c>
      <c r="O24" s="52" t="s">
        <v>46</v>
      </c>
      <c r="P24" s="53">
        <v>0</v>
      </c>
      <c r="Q24" s="53">
        <v>2.5000000000000001E-2</v>
      </c>
      <c r="R24" s="53">
        <v>0.05</v>
      </c>
      <c r="T24" s="295"/>
      <c r="U24" s="295"/>
    </row>
    <row r="25" spans="1:31" ht="26.25" customHeight="1" x14ac:dyDescent="0.3">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7" t="s">
        <v>116</v>
      </c>
      <c r="J25" s="297"/>
      <c r="K25" s="297"/>
      <c r="L25" s="297"/>
      <c r="M25" s="50" t="s">
        <v>52</v>
      </c>
      <c r="N25" s="53">
        <f>IF(AND($I$11&lt;&gt;$A$58,Q11="Sim"),4.5%,0%)</f>
        <v>0</v>
      </c>
      <c r="O25" s="52" t="str">
        <f>IF(AND(N25&gt;=P25, N25&lt;=R25), "OK", "Não OK")</f>
        <v>OK</v>
      </c>
      <c r="P25" s="54">
        <v>0</v>
      </c>
      <c r="Q25" s="54">
        <v>4.4999999999999998E-2</v>
      </c>
      <c r="R25" s="54">
        <v>4.4999999999999998E-2</v>
      </c>
    </row>
    <row r="26" spans="1:31" ht="30.75" customHeight="1" x14ac:dyDescent="0.3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7" t="s">
        <v>53</v>
      </c>
      <c r="J26" s="297"/>
      <c r="K26" s="297"/>
      <c r="L26" s="297"/>
      <c r="M26" s="55" t="s">
        <v>33</v>
      </c>
      <c r="N26" s="53">
        <f>IF($I$11=$A$58,0,ROUND((((1+N18+N19+N20)*(1+N21)*(1+N22)/(1-(N23+N24)))-1),4))</f>
        <v>0.2223</v>
      </c>
      <c r="O26" s="91" t="str">
        <f>IF(OR($I$11=$A$59,$I$11=$A$58,AND(N26&gt;=P26, N26&lt;=R26)), "OK", "FORA DO INTERVALO")</f>
        <v>OK</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 customHeight="1" x14ac:dyDescent="0.35">
      <c r="A27" s="42" t="s">
        <v>54</v>
      </c>
      <c r="B27" s="44" t="s">
        <v>29</v>
      </c>
      <c r="C27" s="42" t="str">
        <f t="shared" si="0"/>
        <v>Obras Portuárias, Marítimas e Fluviais-AC</v>
      </c>
      <c r="E27" s="45">
        <v>0.04</v>
      </c>
      <c r="F27" s="45">
        <v>5.5199999999999999E-2</v>
      </c>
      <c r="G27" s="45">
        <v>7.85E-2</v>
      </c>
      <c r="I27" s="308" t="s">
        <v>55</v>
      </c>
      <c r="J27" s="308"/>
      <c r="K27" s="308"/>
      <c r="L27" s="308"/>
      <c r="M27" s="56" t="s">
        <v>56</v>
      </c>
      <c r="N27" s="57">
        <f>IF($I$11=$A$58,0,ROUND((((1+N18+N19+N20)*(1+N21)*(1+N22)/(1-(N23+N24+N25)))-1),4))</f>
        <v>0.2223</v>
      </c>
      <c r="O27" s="95" t="str">
        <f>IF(Q11&lt;&gt;"Sim","",O26)</f>
        <v/>
      </c>
      <c r="P27" s="309"/>
      <c r="Q27" s="309"/>
      <c r="R27" s="309"/>
      <c r="T27" s="92"/>
      <c r="V27" s="96" t="b">
        <f>AND(COUNTA(N18:N23)=6,O26&lt;&gt;"ok",NOT(V29))</f>
        <v>0</v>
      </c>
      <c r="W27" s="42" t="s">
        <v>118</v>
      </c>
    </row>
    <row r="28" spans="1:31" ht="7.5" customHeight="1" x14ac:dyDescent="0.3">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3">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7" t="s">
        <v>117</v>
      </c>
      <c r="K29" s="307"/>
      <c r="L29" s="307"/>
      <c r="M29" s="307"/>
      <c r="N29" s="307"/>
      <c r="O29" s="307"/>
      <c r="P29" s="307"/>
      <c r="Q29" s="307"/>
      <c r="R29" s="307"/>
      <c r="V29" s="96" t="b">
        <v>0</v>
      </c>
      <c r="W29" s="42" t="s">
        <v>119</v>
      </c>
    </row>
    <row r="30" spans="1:31" ht="7.5" customHeight="1" x14ac:dyDescent="0.3">
      <c r="B30" s="44"/>
      <c r="E30" s="45"/>
      <c r="F30" s="45"/>
      <c r="G30" s="45"/>
      <c r="V30" s="96"/>
    </row>
    <row r="31" spans="1:31" ht="18.75" customHeight="1" x14ac:dyDescent="0.3">
      <c r="B31" s="44"/>
      <c r="E31" s="45"/>
      <c r="F31" s="45"/>
      <c r="G31" s="45"/>
      <c r="I31" s="310" t="s">
        <v>61</v>
      </c>
      <c r="J31" s="310"/>
      <c r="K31" s="310"/>
      <c r="L31" s="310"/>
      <c r="M31" s="310"/>
      <c r="N31" s="310"/>
      <c r="O31" s="310"/>
      <c r="P31" s="310"/>
      <c r="Q31" s="310"/>
      <c r="R31" s="310"/>
    </row>
    <row r="32" spans="1:31" ht="30" customHeight="1" x14ac:dyDescent="0.3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5" t="str">
        <f>IF(Q11="Sim","BDI.DES =","BDI.PAD =")</f>
        <v>BDI.PAD =</v>
      </c>
      <c r="M32" s="303" t="str">
        <f>IF($I$11=$A$59,"(1+K1+K2)*(1+K3)","(1+AC + S + R + G)*(1 + DF)*(1+L)")</f>
        <v>(1+AC + S + R + G)*(1 + DF)*(1+L)</v>
      </c>
      <c r="N32" s="303"/>
      <c r="O32" s="303"/>
      <c r="P32" s="301" t="s">
        <v>108</v>
      </c>
      <c r="Q32" s="85"/>
      <c r="R32" s="85"/>
    </row>
    <row r="33" spans="1:18" ht="27" customHeight="1" x14ac:dyDescent="0.3">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5"/>
      <c r="M33" s="304" t="str">
        <f>IF(Q11="Sim","(1-CP-ISS-CRPB)","(1-CP-ISS)")</f>
        <v>(1-CP-ISS)</v>
      </c>
      <c r="N33" s="304"/>
      <c r="O33" s="304"/>
      <c r="P33" s="302"/>
      <c r="Q33" s="85"/>
      <c r="R33" s="85"/>
    </row>
    <row r="34" spans="1:18" ht="7.5" customHeight="1" x14ac:dyDescent="0.3">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3">
      <c r="B35" s="49"/>
      <c r="E35" s="45"/>
      <c r="F35" s="45"/>
      <c r="G35" s="45"/>
      <c r="I35" s="300"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2%.</v>
      </c>
      <c r="J35" s="300"/>
      <c r="K35" s="300"/>
      <c r="L35" s="300"/>
      <c r="M35" s="300"/>
      <c r="N35" s="300"/>
      <c r="O35" s="300"/>
      <c r="P35" s="300"/>
      <c r="Q35" s="300"/>
      <c r="R35" s="300"/>
    </row>
    <row r="36" spans="1:18" ht="11.25" customHeight="1" x14ac:dyDescent="0.3">
      <c r="B36" s="49"/>
      <c r="E36" s="45"/>
      <c r="F36" s="45"/>
      <c r="G36" s="45"/>
    </row>
    <row r="37" spans="1:18" ht="52.5" customHeight="1" x14ac:dyDescent="0.3">
      <c r="B37" s="49"/>
      <c r="E37" s="45"/>
      <c r="F37" s="45"/>
      <c r="G37" s="45"/>
      <c r="I37" s="30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00"/>
      <c r="K37" s="300"/>
      <c r="L37" s="300"/>
      <c r="M37" s="300"/>
      <c r="N37" s="300"/>
      <c r="O37" s="300"/>
      <c r="P37" s="300"/>
      <c r="Q37" s="300"/>
      <c r="R37" s="300"/>
    </row>
    <row r="38" spans="1:18" ht="18" customHeight="1" x14ac:dyDescent="0.3">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ht="13" x14ac:dyDescent="0.3">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3">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2"/>
      <c r="J40" s="313"/>
      <c r="K40" s="313"/>
      <c r="L40" s="313"/>
      <c r="M40" s="313"/>
      <c r="N40" s="313"/>
      <c r="O40" s="313"/>
      <c r="P40" s="313"/>
      <c r="Q40" s="313"/>
      <c r="R40" s="314"/>
    </row>
    <row r="41" spans="1:18" ht="16.5" customHeight="1" x14ac:dyDescent="0.3">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ht="13" x14ac:dyDescent="0.3">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6" t="str">
        <f>PO!K36</f>
        <v>Concórdia/SC</v>
      </c>
      <c r="J42" s="296"/>
      <c r="K42" s="296"/>
      <c r="L42" s="296"/>
      <c r="O42" s="311">
        <f ca="1">PO!K39</f>
        <v>46220</v>
      </c>
      <c r="P42" s="311"/>
      <c r="Q42" s="311"/>
      <c r="R42" s="311"/>
    </row>
    <row r="43" spans="1:18" ht="15" customHeight="1" x14ac:dyDescent="0.3">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9" t="s">
        <v>120</v>
      </c>
      <c r="J43" s="279"/>
      <c r="K43" s="279"/>
      <c r="L43" s="279"/>
      <c r="N43" s="58"/>
      <c r="O43" s="122" t="s">
        <v>121</v>
      </c>
      <c r="P43" s="123"/>
      <c r="Q43" s="123"/>
      <c r="R43" s="123"/>
    </row>
    <row r="44" spans="1:18" ht="13" x14ac:dyDescent="0.3">
      <c r="A44" s="42" t="s">
        <v>59</v>
      </c>
      <c r="B44" s="44" t="s">
        <v>104</v>
      </c>
      <c r="C44" s="42" t="str">
        <f t="shared" si="0"/>
        <v>Estudos e Projetos, Planos e Gerenciamento e outros correlatos-K1</v>
      </c>
      <c r="E44" s="45" t="s">
        <v>46</v>
      </c>
      <c r="F44" s="45" t="s">
        <v>46</v>
      </c>
      <c r="G44" s="45" t="s">
        <v>46</v>
      </c>
    </row>
    <row r="45" spans="1:18" ht="30" customHeight="1" x14ac:dyDescent="0.3">
      <c r="A45" s="42" t="str">
        <f>A44</f>
        <v>Estudos e Projetos, Planos e Gerenciamento e outros correlatos</v>
      </c>
      <c r="B45" s="44" t="s">
        <v>105</v>
      </c>
      <c r="C45" s="42" t="str">
        <f t="shared" si="0"/>
        <v>Estudos e Projetos, Planos e Gerenciamento e outros correlatos-K2</v>
      </c>
      <c r="E45" s="45" t="s">
        <v>46</v>
      </c>
      <c r="F45" s="45">
        <v>0.2</v>
      </c>
      <c r="G45" s="45" t="s">
        <v>46</v>
      </c>
      <c r="I45" s="278"/>
      <c r="J45" s="278"/>
      <c r="K45" s="278"/>
      <c r="L45" s="278"/>
      <c r="M45" s="59"/>
      <c r="N45" s="59"/>
      <c r="O45" s="278"/>
      <c r="P45" s="278"/>
      <c r="Q45" s="278"/>
      <c r="R45" s="278"/>
    </row>
    <row r="46" spans="1:18" ht="13" x14ac:dyDescent="0.3">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5" t="s">
        <v>57</v>
      </c>
      <c r="J46" s="315"/>
      <c r="K46" s="315"/>
      <c r="L46" s="315"/>
      <c r="O46" s="315" t="s">
        <v>58</v>
      </c>
      <c r="P46" s="315"/>
      <c r="Q46" s="315"/>
      <c r="R46" s="315"/>
    </row>
    <row r="47" spans="1:18" ht="14" x14ac:dyDescent="0.3">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6">
        <f>DADOS!B54</f>
        <v>0</v>
      </c>
      <c r="K47" s="306"/>
      <c r="L47" s="306"/>
      <c r="M47" s="59"/>
      <c r="N47" s="59"/>
      <c r="O47" s="21" t="s">
        <v>140</v>
      </c>
      <c r="P47" s="277"/>
      <c r="Q47" s="277"/>
      <c r="R47" s="277"/>
    </row>
    <row r="48" spans="1:18" ht="14" x14ac:dyDescent="0.3">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6">
        <f>DADOS!B55</f>
        <v>0</v>
      </c>
      <c r="K48" s="306"/>
      <c r="L48" s="306"/>
      <c r="M48" s="59"/>
      <c r="N48" s="59"/>
      <c r="O48" s="21" t="s">
        <v>60</v>
      </c>
      <c r="P48" s="277"/>
      <c r="Q48" s="277"/>
      <c r="R48" s="277"/>
    </row>
    <row r="49" spans="1:18" ht="14" x14ac:dyDescent="0.3">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6">
        <f>DADOS!B56</f>
        <v>0</v>
      </c>
      <c r="K49" s="306"/>
      <c r="L49" s="306"/>
      <c r="M49" s="59"/>
      <c r="N49" s="59"/>
      <c r="O49" s="59"/>
      <c r="P49" s="59"/>
      <c r="Q49" s="59"/>
      <c r="R49" s="59"/>
    </row>
    <row r="50" spans="1:18" ht="13" x14ac:dyDescent="0.25">
      <c r="I50" s="21" t="str">
        <f>DADOS!A57</f>
        <v>CNPJ:</v>
      </c>
      <c r="J50" s="306">
        <f>DADOS!B57</f>
        <v>0</v>
      </c>
      <c r="K50" s="306"/>
      <c r="L50" s="306"/>
    </row>
    <row r="51" spans="1:18" ht="12.5" x14ac:dyDescent="0.25"/>
    <row r="52" spans="1:18" ht="12.5" hidden="1" x14ac:dyDescent="0.25">
      <c r="A52" s="42" t="s">
        <v>28</v>
      </c>
    </row>
    <row r="53" spans="1:18" ht="12.5" hidden="1" x14ac:dyDescent="0.25">
      <c r="A53" s="42" t="s">
        <v>34</v>
      </c>
    </row>
    <row r="54" spans="1:18" ht="12.5" hidden="1" x14ac:dyDescent="0.25">
      <c r="A54" s="42" t="s">
        <v>37</v>
      </c>
    </row>
    <row r="55" spans="1:18" ht="12.5" hidden="1" x14ac:dyDescent="0.25">
      <c r="A55" s="42" t="s">
        <v>47</v>
      </c>
    </row>
    <row r="56" spans="1:18" ht="12.5" hidden="1" x14ac:dyDescent="0.25">
      <c r="A56" s="42" t="s">
        <v>54</v>
      </c>
    </row>
    <row r="57" spans="1:18" ht="12.5" hidden="1" x14ac:dyDescent="0.25">
      <c r="A57" s="42" t="s">
        <v>137</v>
      </c>
    </row>
    <row r="58" spans="1:18" ht="12.5" hidden="1" x14ac:dyDescent="0.25">
      <c r="A58" s="42" t="s">
        <v>138</v>
      </c>
    </row>
    <row r="59" spans="1:18" ht="12.5" hidden="1" x14ac:dyDescent="0.25">
      <c r="A59" s="42" t="s">
        <v>59</v>
      </c>
    </row>
    <row r="60" spans="1:18" ht="14" hidden="1" x14ac:dyDescent="0.3">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157" priority="3" stopIfTrue="1">
      <formula>$O$42=""</formula>
    </cfRule>
  </conditionalFormatting>
  <conditionalFormatting sqref="O18:O27">
    <cfRule type="expression" dxfId="156" priority="8" stopIfTrue="1">
      <formula>AND(O18&lt;&gt;"OK",O18&lt;&gt;"-",O18&lt;&gt;"")</formula>
    </cfRule>
    <cfRule type="cellIs" dxfId="155" priority="9" stopIfTrue="1" operator="equal">
      <formula>"OK"</formula>
    </cfRule>
  </conditionalFormatting>
  <conditionalFormatting sqref="I26:N26">
    <cfRule type="expression" dxfId="154" priority="7" stopIfTrue="1">
      <formula>$Q$11="Não"</formula>
    </cfRule>
  </conditionalFormatting>
  <conditionalFormatting sqref="I27:N27">
    <cfRule type="expression" dxfId="153" priority="6" stopIfTrue="1">
      <formula>$Q$11="sim"</formula>
    </cfRule>
  </conditionalFormatting>
  <conditionalFormatting sqref="P27:R27">
    <cfRule type="expression" dxfId="152" priority="5" stopIfTrue="1">
      <formula>$Q$11="sim"</formula>
    </cfRule>
  </conditionalFormatting>
  <conditionalFormatting sqref="P47:R48">
    <cfRule type="expression" dxfId="151" priority="4" stopIfTrue="1">
      <formula>P47=""</formula>
    </cfRule>
  </conditionalFormatting>
  <conditionalFormatting sqref="I29:R29">
    <cfRule type="expression" dxfId="150" priority="2" stopIfTrue="1">
      <formula>AND(NOT($V$27),NOT($V$29))</formula>
    </cfRule>
  </conditionalFormatting>
  <conditionalFormatting sqref="P18:R26">
    <cfRule type="expression" dxfId="149" priority="1" stopIfTrue="1">
      <formula>$I$11=$A$58</formula>
    </cfRule>
  </conditionalFormatting>
  <dataValidations count="6">
    <dataValidation type="decimal" allowBlank="1" showInputMessage="1" showErrorMessage="1" errorTitle="Erro de valores" error="Digite um valor entre 0% e 100%" sqref="N18:N23" xr:uid="{BE7BC7E3-85EB-4F47-B2B6-B1B4818CDFF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477D1A89-C287-44B0-B278-3C0D28B7B896}">
      <formula1>0</formula1>
    </dataValidation>
    <dataValidation type="decimal" allowBlank="1" showInputMessage="1" showErrorMessage="1" errorTitle="Valor não permitido" error="Digite um percentual entre 0% e 100%." promptTitle="Valores admissíveis:" prompt="Insira valores entre 0 e 100%." sqref="Q13:R13" xr:uid="{157BDA15-AACE-47CA-930F-B87A0B83C6B7}">
      <formula1>0</formula1>
      <formula2>1</formula2>
    </dataValidation>
    <dataValidation type="decimal" allowBlank="1" showInputMessage="1" showErrorMessage="1" errorTitle="Erro de valores" error="Digite um valor maior do que 0." sqref="N24" xr:uid="{86281D01-2320-48C2-BB8E-5A918626D8C5}">
      <formula1>0</formula1>
      <formula2>1</formula2>
    </dataValidation>
    <dataValidation operator="greaterThanOrEqual" allowBlank="1" showInputMessage="1" showErrorMessage="1" errorTitle="Erro de valores" error="Digite um valor igual a 0% ou 2%." sqref="N25" xr:uid="{179A2765-20DF-45C7-A069-585EE6BA043A}"/>
    <dataValidation type="list" allowBlank="1" showInputMessage="1" showErrorMessage="1" sqref="I11:P11" xr:uid="{9BDF4414-F30B-44A1-B44F-831FB958D85C}">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40"/>
  <sheetViews>
    <sheetView showGridLines="0" tabSelected="1" zoomScaleNormal="100" zoomScaleSheetLayoutView="100" workbookViewId="0">
      <pane ySplit="12" topLeftCell="A13" activePane="bottomLeft" state="frozen"/>
      <selection pane="bottomLeft" activeCell="Y13" sqref="Y13:Y24"/>
    </sheetView>
  </sheetViews>
  <sheetFormatPr defaultRowHeight="12.5" x14ac:dyDescent="0.25"/>
  <cols>
    <col min="1" max="2" width="6.7265625" hidden="1" customWidth="1"/>
    <col min="3" max="7" width="5.7265625" hidden="1" customWidth="1"/>
    <col min="8" max="9" width="6.7265625" hidden="1" customWidth="1"/>
    <col min="10" max="10" width="8.7265625" customWidth="1"/>
    <col min="11" max="11" width="12.7265625" customWidth="1"/>
    <col min="12" max="13" width="15.7265625" customWidth="1"/>
    <col min="14" max="14" width="105.6328125" customWidth="1"/>
    <col min="15" max="15" width="10.7265625" customWidth="1"/>
    <col min="16" max="17" width="15.7265625" customWidth="1"/>
    <col min="18" max="18" width="10.7265625" hidden="1" customWidth="1"/>
    <col min="19" max="19" width="15.7265625" hidden="1" customWidth="1"/>
    <col min="20" max="21" width="15.7265625" customWidth="1"/>
    <col min="22" max="22" width="9.1796875" hidden="1" customWidth="1"/>
    <col min="23" max="23" width="15.7265625" hidden="1" customWidth="1"/>
    <col min="24" max="24" width="20.7265625" hidden="1" customWidth="1"/>
    <col min="25" max="25" width="15.7265625" customWidth="1"/>
  </cols>
  <sheetData>
    <row r="1" spans="1:27" ht="13" customHeight="1" x14ac:dyDescent="0.25">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3">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6" t="s">
        <v>181</v>
      </c>
      <c r="X2" s="316"/>
      <c r="Y2" s="1"/>
      <c r="Z2" s="1"/>
      <c r="AA2" s="1"/>
    </row>
    <row r="3" spans="1:27" ht="12.75" customHeight="1" x14ac:dyDescent="0.25">
      <c r="A3" s="1"/>
      <c r="B3" s="1"/>
      <c r="F3" s="2"/>
      <c r="G3" s="1"/>
      <c r="H3" s="1"/>
      <c r="I3" s="1"/>
      <c r="J3" s="1"/>
      <c r="K3" s="1"/>
      <c r="L3" s="1"/>
      <c r="M3" s="1"/>
      <c r="N3" s="16"/>
      <c r="O3" s="1"/>
      <c r="P3" s="1"/>
      <c r="Q3" s="1"/>
      <c r="R3" s="1"/>
      <c r="S3" s="1"/>
      <c r="T3" s="1"/>
      <c r="U3" s="1"/>
      <c r="V3" s="1"/>
      <c r="W3" s="178" t="s">
        <v>148</v>
      </c>
      <c r="X3" s="181" t="b">
        <v>1</v>
      </c>
      <c r="Y3" s="1"/>
      <c r="Z3" s="1"/>
      <c r="AA3" s="1"/>
    </row>
    <row r="4" spans="1:27" ht="25" customHeight="1" x14ac:dyDescent="0.25">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5" customHeight="1" x14ac:dyDescent="0.3">
      <c r="A5" s="4">
        <f>MAX($A$12:$A$25)</f>
        <v>1</v>
      </c>
      <c r="B5" s="1"/>
      <c r="F5" s="2"/>
      <c r="G5" s="1"/>
      <c r="H5" s="1"/>
      <c r="I5" s="1"/>
      <c r="J5" s="1"/>
      <c r="K5" s="1"/>
      <c r="L5" s="1"/>
      <c r="M5" s="1"/>
      <c r="N5" s="1"/>
      <c r="O5" s="1"/>
      <c r="P5" s="1"/>
      <c r="Q5" s="1"/>
      <c r="R5" s="1"/>
      <c r="S5" s="1"/>
      <c r="T5" s="1"/>
      <c r="U5" s="101" t="str">
        <f ca="1">IF(COUNTIF($U$12:OFFSET($U$25,-1,0),"DESCRIÇÃO")+COUNTIF($U$12:OFFSET($U$25,-1,0),"UNIDADE")+COUNTIF($U$12:OFFSET($U$25,-1,0),"SEM VALOR")&gt;0,"NÃO OK","OK")</f>
        <v>NÃO OK</v>
      </c>
      <c r="V5" s="179" t="s">
        <v>106</v>
      </c>
      <c r="W5" s="178" t="s">
        <v>183</v>
      </c>
      <c r="X5" s="181" t="b">
        <v>1</v>
      </c>
      <c r="Y5" s="1"/>
      <c r="Z5" s="1"/>
      <c r="AA5" s="1"/>
    </row>
    <row r="6" spans="1:27" ht="25" customHeight="1" x14ac:dyDescent="0.25">
      <c r="A6" s="1"/>
      <c r="B6" s="1"/>
      <c r="F6" s="2"/>
      <c r="G6" s="1"/>
      <c r="H6" s="1"/>
      <c r="I6" s="1"/>
      <c r="J6" s="1"/>
      <c r="K6" s="1"/>
      <c r="L6" s="1"/>
      <c r="M6" s="1"/>
      <c r="N6" s="1"/>
      <c r="O6" s="1"/>
      <c r="P6" s="1"/>
      <c r="Q6" s="1"/>
      <c r="R6" s="1"/>
      <c r="S6" s="1"/>
      <c r="T6" s="1"/>
      <c r="U6" s="1"/>
      <c r="V6" s="1"/>
      <c r="W6" s="178" t="s">
        <v>184</v>
      </c>
      <c r="X6" s="181" t="b">
        <v>1</v>
      </c>
      <c r="Y6" s="1"/>
      <c r="Z6" s="1"/>
      <c r="AA6" s="1"/>
    </row>
    <row r="7" spans="1:27" ht="25" customHeight="1" x14ac:dyDescent="0.25">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5">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5">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5">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t="13" hidden="1" x14ac:dyDescent="0.3">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IF(OR($A11="S",$A11=0),0,MATCH(0,OFFSET($B11,1,$A11,ROW($A$25)-ROW($A11)),0))</f>
        <v>0</v>
      </c>
      <c r="I11">
        <f ca="1">IF(OR($A11="S",$A11=0),0,MATCH(OFFSET($B11,0,$A11)+1,OFFSET($B11,1,$A11,ROW($A$25)-ROW($A11)),0))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0.2109</v>
      </c>
      <c r="AA11" s="1"/>
    </row>
    <row r="12" spans="1:27" ht="13" x14ac:dyDescent="0.3">
      <c r="A12">
        <v>0</v>
      </c>
      <c r="B12">
        <f ca="1">COUNTA(OFFSET(B12,1,0):B$25)</f>
        <v>12</v>
      </c>
      <c r="J12" s="64" t="str">
        <f>IF(OR(TipoOrçamento="LICITADO",TipoOrçamento="REPROGRAMADOAC"),"CTEF","LOTE")</f>
        <v>CTEF</v>
      </c>
      <c r="K12" s="139">
        <v>0</v>
      </c>
      <c r="L12" s="6"/>
      <c r="M12" s="6"/>
      <c r="N12" s="73">
        <f>IF(TipoOrçamento="LICITADO",DADOS!O43,DADOS!G38)</f>
        <v>0</v>
      </c>
      <c r="O12" s="6"/>
      <c r="P12" s="7"/>
      <c r="Q12" s="7"/>
      <c r="R12" s="8"/>
      <c r="S12" s="7"/>
      <c r="T12" s="82">
        <f ca="1">SUMIF(OFFSET($J12,1,0,ROW(T25)-ROW(T12)-1),"Serviço",OFFSET(T12,1,0,ROW(T25)-ROW(T12)-1))</f>
        <v>0</v>
      </c>
      <c r="U12" s="9" t="str">
        <f>IF($N12=0,"DESCRIÇÃO","")</f>
        <v>DESCRIÇÃO</v>
      </c>
      <c r="V12" s="1">
        <v>0</v>
      </c>
      <c r="W12" s="1"/>
      <c r="X12" s="1"/>
      <c r="Y12" s="7"/>
      <c r="Z12" s="114"/>
      <c r="AA12" s="1"/>
    </row>
    <row r="13" spans="1:27" ht="13" x14ac:dyDescent="0.3">
      <c r="A13">
        <f t="shared" ref="A13:A24" si="0">CHOOSE(1+LOG(1+2*(J13="Meta")+4*(J13="Nível 2")+8*(J13="Nível 3")+16*(J13="Nível 4")+32*(J13="Serviço"),2),0,1,2,3,4,"S")</f>
        <v>1</v>
      </c>
      <c r="B13">
        <f t="shared" ref="B13:B24" ca="1" si="1">IF(OR(A13="S",A13=0),0,IF(ISERROR(I13),H13,SMALL(H13:I13,1)))</f>
        <v>3</v>
      </c>
      <c r="C13">
        <f t="shared" ref="C13:C24" ca="1" si="2">IF($A13=1,OFFSET(C13,-1,0)+1,OFFSET(C13,-1,0))</f>
        <v>1</v>
      </c>
      <c r="D13">
        <f t="shared" ref="D13:D24" ca="1" si="3">IF($A13=1,0,IF($A13=2,OFFSET(D13,-1,0)+1,OFFSET(D13,-1,0)))</f>
        <v>0</v>
      </c>
      <c r="E13">
        <f t="shared" ref="E13:E24" ca="1" si="4">IF(AND($A13&lt;=2,$A13&lt;&gt;0),0,IF($A13=3,OFFSET(E13,-1,0)+1,OFFSET(E13,-1,0)))</f>
        <v>0</v>
      </c>
      <c r="F13">
        <f t="shared" ref="F13:F24" ca="1" si="5">IF(AND($A13&lt;=3,$A13&lt;&gt;0),0,IF($A13=4,OFFSET(F13,-1,0)+1,OFFSET(F13,-1,0)))</f>
        <v>0</v>
      </c>
      <c r="G13">
        <f t="shared" ref="G13:G24" ca="1" si="6">IF(AND($A13&lt;=4,$A13&lt;&gt;0),0,IF($A13="S",OFFSET(G13,-1,0)+1,OFFSET(G13,-1,0)))</f>
        <v>0</v>
      </c>
      <c r="H13">
        <f t="shared" ref="H13:H24" ca="1" si="7">IF(OR($A13="S",$A13=0),0,MATCH(0,OFFSET($B13,1,$A13,ROW($A$25)-ROW($A13)),0))</f>
        <v>12</v>
      </c>
      <c r="I13">
        <f t="shared" ref="I13:I24" ca="1" si="8">IF(OR($A13="S",$A13=0),0,MATCH(OFFSET($B13,0,$A13)+1,OFFSET($B13,1,$A13,ROW($A$25)-ROW($A13)),0))</f>
        <v>3</v>
      </c>
      <c r="J13" s="354" t="s">
        <v>99</v>
      </c>
      <c r="K13" s="138" t="str">
        <f t="shared" ref="K13:K24" ca="1" si="9">IF($A13=0,"-",CONCATENATE(C13&amp;".",IF(AND($A$5&gt;=2,$A13&gt;=2),D13&amp;".",""),IF(AND($A$5&gt;=3,$A13&gt;=3),E13&amp;".",""),IF(AND($A$5&gt;=4,$A13&gt;=4),F13&amp;".",""),IF($A13="S",G13&amp;".","")))</f>
        <v>1.</v>
      </c>
      <c r="L13" s="356"/>
      <c r="M13" s="356"/>
      <c r="N13" s="357" t="s">
        <v>236</v>
      </c>
      <c r="O13" s="358" t="s">
        <v>106</v>
      </c>
      <c r="P13" s="359">
        <v>0</v>
      </c>
      <c r="Q13" s="195"/>
      <c r="R13" s="198" t="s">
        <v>7</v>
      </c>
      <c r="S13" s="103">
        <f t="shared" ref="S13:S24" si="10">IF($A13="S",IF($Q$10="Preço Unitário (R$)",PO.CustoUnitario,ROUND(PO.CustoUnitario*(1+$Z13),15-13*$X$6)),0)</f>
        <v>0</v>
      </c>
      <c r="T13" s="83">
        <f t="shared" ref="T13:T24" ca="1" si="11">IF($A13="S",VTOTAL1,IF($A13=0,0,ROUND(SomaAgrup,15-13*$X$7)))</f>
        <v>0</v>
      </c>
      <c r="U13" s="9" t="str">
        <f t="shared" ref="U13:U24" ca="1" si="12">IF($J13="","",IF($N13="","DESCRIÇÃO",IF(AND($J13="Serviço",$O13=""),"UNIDADE",IF($T13&lt;=0,"SEM VALOR",IF(AND($Y13&lt;&gt;"",$Q13&gt;$Y13),"ACIMA REF.","")))))</f>
        <v>SEM VALOR</v>
      </c>
      <c r="V13" s="1">
        <f ca="1">IF(OR($A13=0,$A13="S",$A13&gt;CFF!$A$9),"",MAX(V$12:OFFSET(V13,-1,0))+1)</f>
        <v>1</v>
      </c>
      <c r="W13" s="4" t="b">
        <f t="shared" ref="W13:W24" si="13">IF(AND($J13="Serviço",$M13&lt;&gt;""),IF($L13="",$M13,CONCATENATE($L13,"-",$M13)))</f>
        <v>0</v>
      </c>
      <c r="X13" s="1" t="str">
        <f t="shared" ref="X13:X24" ca="1" si="14">IF(AND(Fonte&lt;&gt;"",Código&lt;&gt;""),MATCH(Fonte&amp;" "&amp;IF(Fonte="sinapi",SUBSTITUTE(SUBSTITUTE(Código,"/00","/"),"/0","/"),Código),INDIRECT("'[Referência "&amp;_xlnm.Database&amp;".xls]Banco'!$a:$a"),0),"X")</f>
        <v>X</v>
      </c>
      <c r="Y13" s="103">
        <v>0</v>
      </c>
      <c r="Z13" s="113">
        <f ca="1">ROUND(IF(ISNUMBER(R13),R13,IF(LEFT(R13,3)="BDI",HLOOKUP(R13,DADOS!$T$37:$X$38,2,FALSE),0)),15-11*$X$5)</f>
        <v>0.2109</v>
      </c>
      <c r="AA13" s="1"/>
    </row>
    <row r="14" spans="1:27" ht="13" x14ac:dyDescent="0.3">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55" t="s">
        <v>103</v>
      </c>
      <c r="K14" s="138" t="str">
        <f t="shared" ca="1" si="9"/>
        <v>1.1.</v>
      </c>
      <c r="L14" s="356" t="s">
        <v>232</v>
      </c>
      <c r="M14" s="356" t="s">
        <v>237</v>
      </c>
      <c r="N14" s="357" t="s">
        <v>252</v>
      </c>
      <c r="O14" s="358" t="s">
        <v>260</v>
      </c>
      <c r="P14" s="359">
        <v>1000</v>
      </c>
      <c r="Q14" s="195"/>
      <c r="R14" s="198" t="s">
        <v>7</v>
      </c>
      <c r="S14" s="103">
        <f t="shared" si="10"/>
        <v>0</v>
      </c>
      <c r="T14" s="83">
        <f t="shared" si="11"/>
        <v>0</v>
      </c>
      <c r="U14" s="9" t="str">
        <f t="shared" si="12"/>
        <v>SEM VALOR</v>
      </c>
      <c r="V14" s="1" t="str">
        <f ca="1">IF(OR($A14=0,$A14="S",$A14&gt;CFF!$A$9),"",MAX(V$12:OFFSET(V14,-1,0))+1)</f>
        <v/>
      </c>
      <c r="W14" s="4" t="str">
        <f t="shared" si="13"/>
        <v>COMPOSIÇÃO-COMP-01</v>
      </c>
      <c r="X14" s="1">
        <f t="shared" ca="1" si="14"/>
        <v>7</v>
      </c>
      <c r="Y14" s="103">
        <v>180.34</v>
      </c>
      <c r="Z14" s="113">
        <f ca="1">ROUND(IF(ISNUMBER(R14),R14,IF(LEFT(R14,3)="BDI",HLOOKUP(R14,DADOS!$T$37:$X$38,2,FALSE),0)),15-11*$X$5)</f>
        <v>0.2109</v>
      </c>
      <c r="AA14" s="1"/>
    </row>
    <row r="15" spans="1:27" ht="13" x14ac:dyDescent="0.3">
      <c r="A15" t="str">
        <f t="shared" si="0"/>
        <v>S</v>
      </c>
      <c r="B15">
        <f t="shared" si="1"/>
        <v>0</v>
      </c>
      <c r="C15">
        <f t="shared" ca="1" si="2"/>
        <v>1</v>
      </c>
      <c r="D15">
        <f t="shared" ca="1" si="3"/>
        <v>0</v>
      </c>
      <c r="E15">
        <f t="shared" ca="1" si="4"/>
        <v>0</v>
      </c>
      <c r="F15">
        <f t="shared" ca="1" si="5"/>
        <v>0</v>
      </c>
      <c r="G15">
        <f t="shared" ca="1" si="6"/>
        <v>2</v>
      </c>
      <c r="H15">
        <f t="shared" ca="1" si="7"/>
        <v>0</v>
      </c>
      <c r="I15">
        <f t="shared" ca="1" si="8"/>
        <v>0</v>
      </c>
      <c r="J15" s="355" t="s">
        <v>103</v>
      </c>
      <c r="K15" s="138" t="str">
        <f t="shared" ca="1" si="9"/>
        <v>1.2.</v>
      </c>
      <c r="L15" s="356" t="s">
        <v>232</v>
      </c>
      <c r="M15" s="356" t="s">
        <v>238</v>
      </c>
      <c r="N15" s="357" t="s">
        <v>253</v>
      </c>
      <c r="O15" s="358" t="s">
        <v>260</v>
      </c>
      <c r="P15" s="359">
        <v>5000</v>
      </c>
      <c r="Q15" s="195"/>
      <c r="R15" s="198" t="s">
        <v>7</v>
      </c>
      <c r="S15" s="103">
        <f t="shared" si="10"/>
        <v>0</v>
      </c>
      <c r="T15" s="83">
        <f t="shared" si="11"/>
        <v>0</v>
      </c>
      <c r="U15" s="9" t="str">
        <f t="shared" si="12"/>
        <v>SEM VALOR</v>
      </c>
      <c r="V15" s="1" t="str">
        <f ca="1">IF(OR($A15=0,$A15="S",$A15&gt;CFF!$A$9),"",MAX(V$12:OFFSET(V15,-1,0))+1)</f>
        <v/>
      </c>
      <c r="W15" s="4" t="str">
        <f t="shared" si="13"/>
        <v>COMPOSIÇÃO-COMP-15</v>
      </c>
      <c r="X15" s="1">
        <f t="shared" ca="1" si="14"/>
        <v>21</v>
      </c>
      <c r="Y15" s="103">
        <v>184.03</v>
      </c>
      <c r="Z15" s="113">
        <f ca="1">ROUND(IF(ISNUMBER(R15),R15,IF(LEFT(R15,3)="BDI",HLOOKUP(R15,DADOS!$T$37:$X$38,2,FALSE),0)),15-11*$X$5)</f>
        <v>0.2109</v>
      </c>
      <c r="AA15" s="1"/>
    </row>
    <row r="16" spans="1:27" ht="13" x14ac:dyDescent="0.3">
      <c r="A16">
        <f t="shared" ref="A16" si="15">CHOOSE(1+LOG(1+2*(J16="Meta")+4*(J16="Nível 2")+8*(J16="Nível 3")+16*(J16="Nível 4")+32*(J16="Serviço"),2),0,1,2,3,4,"S")</f>
        <v>1</v>
      </c>
      <c r="B16">
        <f t="shared" ref="B16" ca="1" si="16">IF(OR(A16="S",A16=0),0,IF(ISERROR(I16),H16,SMALL(H16:I16,1)))</f>
        <v>4</v>
      </c>
      <c r="C16">
        <f t="shared" ref="C16" ca="1" si="17">IF($A16=1,OFFSET(C16,-1,0)+1,OFFSET(C16,-1,0))</f>
        <v>2</v>
      </c>
      <c r="D16">
        <f t="shared" ref="D16" ca="1" si="18">IF($A16=1,0,IF($A16=2,OFFSET(D16,-1,0)+1,OFFSET(D16,-1,0)))</f>
        <v>0</v>
      </c>
      <c r="E16">
        <f t="shared" ref="E16" ca="1" si="19">IF(AND($A16&lt;=2,$A16&lt;&gt;0),0,IF($A16=3,OFFSET(E16,-1,0)+1,OFFSET(E16,-1,0)))</f>
        <v>0</v>
      </c>
      <c r="F16">
        <f t="shared" ref="F16" ca="1" si="20">IF(AND($A16&lt;=3,$A16&lt;&gt;0),0,IF($A16=4,OFFSET(F16,-1,0)+1,OFFSET(F16,-1,0)))</f>
        <v>0</v>
      </c>
      <c r="G16">
        <f t="shared" ref="G16" ca="1" si="21">IF(AND($A16&lt;=4,$A16&lt;&gt;0),0,IF($A16="S",OFFSET(G16,-1,0)+1,OFFSET(G16,-1,0)))</f>
        <v>0</v>
      </c>
      <c r="H16">
        <f t="shared" ca="1" si="7"/>
        <v>9</v>
      </c>
      <c r="I16">
        <f t="shared" ca="1" si="8"/>
        <v>4</v>
      </c>
      <c r="J16" s="355" t="s">
        <v>99</v>
      </c>
      <c r="K16" s="138" t="str">
        <f t="shared" ref="K16" ca="1" si="22">IF($A16=0,"-",CONCATENATE(C16&amp;".",IF(AND($A$5&gt;=2,$A16&gt;=2),D16&amp;".",""),IF(AND($A$5&gt;=3,$A16&gt;=3),E16&amp;".",""),IF(AND($A$5&gt;=4,$A16&gt;=4),F16&amp;".",""),IF($A16="S",G16&amp;".","")))</f>
        <v>2.</v>
      </c>
      <c r="L16" s="356"/>
      <c r="M16" s="356"/>
      <c r="N16" s="357" t="s">
        <v>239</v>
      </c>
      <c r="O16" s="358" t="s">
        <v>106</v>
      </c>
      <c r="P16" s="359">
        <v>0</v>
      </c>
      <c r="Q16" s="195"/>
      <c r="R16" s="198" t="s">
        <v>7</v>
      </c>
      <c r="S16" s="103">
        <f t="shared" ref="S16:S20" si="23">IF($A16="S",IF($Q$10="Preço Unitário (R$)",PO.CustoUnitario,ROUND(PO.CustoUnitario*(1+$Z16),15-13*$X$6)),0)</f>
        <v>0</v>
      </c>
      <c r="T16" s="83">
        <f t="shared" ref="T16:T20" ca="1" si="24">IF($A16="S",VTOTAL1,IF($A16=0,0,ROUND(SomaAgrup,15-13*$X$7)))</f>
        <v>0</v>
      </c>
      <c r="U16" s="9" t="str">
        <f t="shared" ref="U16" ca="1" si="25">IF($J16="","",IF($N16="","DESCRIÇÃO",IF(AND($J16="Serviço",$O16=""),"UNIDADE",IF($T16&lt;=0,"SEM VALOR",IF(AND($Y16&lt;&gt;"",$Q16&gt;$Y16),"ACIMA REF.","")))))</f>
        <v>SEM VALOR</v>
      </c>
      <c r="V16" s="1">
        <f ca="1">IF(OR($A16=0,$A16="S",$A16&gt;CFF!$A$9),"",MAX(V$12:OFFSET(V16,-1,0))+1)</f>
        <v>2</v>
      </c>
      <c r="W16" s="4" t="b">
        <f t="shared" ref="W16" si="26">IF(AND($J16="Serviço",$M16&lt;&gt;""),IF($L16="",$M16,CONCATENATE($L16,"-",$M16)))</f>
        <v>0</v>
      </c>
      <c r="X16" s="1" t="str">
        <f t="shared" ref="X16:X20" ca="1" si="27">IF(AND(Fonte&lt;&gt;"",Código&lt;&gt;""),MATCH(Fonte&amp;" "&amp;IF(Fonte="sinapi",SUBSTITUTE(SUBSTITUTE(Código,"/00","/"),"/0","/"),Código),INDIRECT("'[Referência "&amp;_xlnm.Database&amp;".xls]Banco'!$a:$a"),0),"X")</f>
        <v>X</v>
      </c>
      <c r="Y16" s="103">
        <v>0</v>
      </c>
      <c r="Z16" s="113">
        <f ca="1">ROUND(IF(ISNUMBER(R16),R16,IF(LEFT(R16,3)="BDI",HLOOKUP(R16,DADOS!$T$37:$X$38,2,FALSE),0)),15-11*$X$5)</f>
        <v>0.2109</v>
      </c>
      <c r="AA16" s="1"/>
    </row>
    <row r="17" spans="1:27" ht="13" x14ac:dyDescent="0.3">
      <c r="A17" t="str">
        <f t="shared" ref="A17:A19" si="28">CHOOSE(1+LOG(1+2*(J17="Meta")+4*(J17="Nível 2")+8*(J17="Nível 3")+16*(J17="Nível 4")+32*(J17="Serviço"),2),0,1,2,3,4,"S")</f>
        <v>S</v>
      </c>
      <c r="B17">
        <f t="shared" ref="B17:B19" si="29">IF(OR(A17="S",A17=0),0,IF(ISERROR(I17),H17,SMALL(H17:I17,1)))</f>
        <v>0</v>
      </c>
      <c r="C17">
        <f t="shared" ref="C17:C19" ca="1" si="30">IF($A17=1,OFFSET(C17,-1,0)+1,OFFSET(C17,-1,0))</f>
        <v>2</v>
      </c>
      <c r="D17">
        <f t="shared" ref="D17:D19" ca="1" si="31">IF($A17=1,0,IF($A17=2,OFFSET(D17,-1,0)+1,OFFSET(D17,-1,0)))</f>
        <v>0</v>
      </c>
      <c r="E17">
        <f t="shared" ref="E17:E19" ca="1" si="32">IF(AND($A17&lt;=2,$A17&lt;&gt;0),0,IF($A17=3,OFFSET(E17,-1,0)+1,OFFSET(E17,-1,0)))</f>
        <v>0</v>
      </c>
      <c r="F17">
        <f t="shared" ref="F17:F19" ca="1" si="33">IF(AND($A17&lt;=3,$A17&lt;&gt;0),0,IF($A17=4,OFFSET(F17,-1,0)+1,OFFSET(F17,-1,0)))</f>
        <v>0</v>
      </c>
      <c r="G17">
        <f t="shared" ref="G17:G19" ca="1" si="34">IF(AND($A17&lt;=4,$A17&lt;&gt;0),0,IF($A17="S",OFFSET(G17,-1,0)+1,OFFSET(G17,-1,0)))</f>
        <v>1</v>
      </c>
      <c r="H17">
        <f t="shared" ca="1" si="7"/>
        <v>0</v>
      </c>
      <c r="I17">
        <f t="shared" ca="1" si="8"/>
        <v>0</v>
      </c>
      <c r="J17" s="355" t="s">
        <v>103</v>
      </c>
      <c r="K17" s="138" t="str">
        <f t="shared" ref="K17:K19" ca="1" si="35">IF($A17=0,"-",CONCATENATE(C17&amp;".",IF(AND($A$5&gt;=2,$A17&gt;=2),D17&amp;".",""),IF(AND($A$5&gt;=3,$A17&gt;=3),E17&amp;".",""),IF(AND($A$5&gt;=4,$A17&gt;=4),F17&amp;".",""),IF($A17="S",G17&amp;".","")))</f>
        <v>2.1.</v>
      </c>
      <c r="L17" s="356" t="s">
        <v>232</v>
      </c>
      <c r="M17" s="356" t="s">
        <v>240</v>
      </c>
      <c r="N17" s="357" t="s">
        <v>254</v>
      </c>
      <c r="O17" s="358" t="s">
        <v>260</v>
      </c>
      <c r="P17" s="359">
        <v>7000</v>
      </c>
      <c r="Q17" s="195"/>
      <c r="R17" s="198" t="s">
        <v>7</v>
      </c>
      <c r="S17" s="103">
        <f>IF($A17="S",IF($Q$10="Preço Unitário (R$)",PO.CustoUnitario,ROUND(PO.CustoUnitario*(1+$Z17),15-13*$X$6)),0)</f>
        <v>0</v>
      </c>
      <c r="T17" s="83">
        <f>IF($A17="S",VTOTAL1,IF($A17=0,0,ROUND(SomaAgrup,15-13*$X$7)))</f>
        <v>0</v>
      </c>
      <c r="U17" s="9" t="str">
        <f t="shared" ref="U17:U19" si="36">IF($J17="","",IF($N17="","DESCRIÇÃO",IF(AND($J17="Serviço",$O17=""),"UNIDADE",IF($T17&lt;=0,"SEM VALOR",IF(AND($Y17&lt;&gt;"",$Q17&gt;$Y17),"ACIMA REF.","")))))</f>
        <v>SEM VALOR</v>
      </c>
      <c r="V17" s="1" t="str">
        <f ca="1">IF(OR($A17=0,$A17="S",$A17&gt;CFF!$A$9),"",MAX(V$12:OFFSET(V17,-1,0))+1)</f>
        <v/>
      </c>
      <c r="W17" s="4" t="str">
        <f t="shared" ref="W17:W19" si="37">IF(AND($J17="Serviço",$M17&lt;&gt;""),IF($L17="",$M17,CONCATENATE($L17,"-",$M17)))</f>
        <v>COMPOSIÇÃO-COMP-16</v>
      </c>
      <c r="X17" s="1">
        <f ca="1">IF(AND(Fonte&lt;&gt;"",Código&lt;&gt;""),MATCH(Fonte&amp;" "&amp;IF(Fonte="sinapi",SUBSTITUTE(SUBSTITUTE(Código,"/00","/"),"/0","/"),Código),INDIRECT("'[Referência "&amp;_xlnm.Database&amp;".xls]Banco'!$a:$a"),0),"X")</f>
        <v>22</v>
      </c>
      <c r="Y17" s="103">
        <v>193.74</v>
      </c>
      <c r="Z17" s="113">
        <f ca="1">ROUND(IF(ISNUMBER(R17),R17,IF(LEFT(R17,3)="BDI",HLOOKUP(R17,DADOS!$T$37:$X$38,2,FALSE),0)),15-11*$X$5)</f>
        <v>0.2109</v>
      </c>
      <c r="AA17" s="1"/>
    </row>
    <row r="18" spans="1:27" ht="25" x14ac:dyDescent="0.3">
      <c r="A18" t="str">
        <f t="shared" si="28"/>
        <v>S</v>
      </c>
      <c r="B18">
        <f t="shared" si="29"/>
        <v>0</v>
      </c>
      <c r="C18">
        <f t="shared" ca="1" si="30"/>
        <v>2</v>
      </c>
      <c r="D18">
        <f t="shared" ca="1" si="31"/>
        <v>0</v>
      </c>
      <c r="E18">
        <f t="shared" ca="1" si="32"/>
        <v>0</v>
      </c>
      <c r="F18">
        <f t="shared" ca="1" si="33"/>
        <v>0</v>
      </c>
      <c r="G18">
        <f t="shared" ca="1" si="34"/>
        <v>2</v>
      </c>
      <c r="H18">
        <f t="shared" ca="1" si="7"/>
        <v>0</v>
      </c>
      <c r="I18">
        <f t="shared" ca="1" si="8"/>
        <v>0</v>
      </c>
      <c r="J18" s="355" t="s">
        <v>103</v>
      </c>
      <c r="K18" s="138" t="str">
        <f t="shared" ca="1" si="35"/>
        <v>2.2.</v>
      </c>
      <c r="L18" s="356" t="s">
        <v>232</v>
      </c>
      <c r="M18" s="356" t="s">
        <v>241</v>
      </c>
      <c r="N18" s="357" t="s">
        <v>255</v>
      </c>
      <c r="O18" s="358" t="s">
        <v>260</v>
      </c>
      <c r="P18" s="359">
        <v>3000</v>
      </c>
      <c r="Q18" s="195"/>
      <c r="R18" s="198" t="s">
        <v>7</v>
      </c>
      <c r="S18" s="103">
        <f>IF($A18="S",IF($Q$10="Preço Unitário (R$)",PO.CustoUnitario,ROUND(PO.CustoUnitario*(1+$Z18),15-13*$X$6)),0)</f>
        <v>0</v>
      </c>
      <c r="T18" s="83">
        <f>IF($A18="S",VTOTAL1,IF($A18=0,0,ROUND(SomaAgrup,15-13*$X$7)))</f>
        <v>0</v>
      </c>
      <c r="U18" s="9" t="str">
        <f t="shared" si="36"/>
        <v>SEM VALOR</v>
      </c>
      <c r="V18" s="1" t="str">
        <f ca="1">IF(OR($A18=0,$A18="S",$A18&gt;CFF!$A$9),"",MAX(V$12:OFFSET(V18,-1,0))+1)</f>
        <v/>
      </c>
      <c r="W18" s="4" t="str">
        <f t="shared" si="37"/>
        <v>COMPOSIÇÃO-COMP-17</v>
      </c>
      <c r="X18" s="1">
        <f ca="1">IF(AND(Fonte&lt;&gt;"",Código&lt;&gt;""),MATCH(Fonte&amp;" "&amp;IF(Fonte="sinapi",SUBSTITUTE(SUBSTITUTE(Código,"/00","/"),"/0","/"),Código),INDIRECT("'[Referência "&amp;_xlnm.Database&amp;".xls]Banco'!$a:$a"),0),"X")</f>
        <v>23</v>
      </c>
      <c r="Y18" s="103">
        <v>196.94</v>
      </c>
      <c r="Z18" s="113">
        <f ca="1">ROUND(IF(ISNUMBER(R18),R18,IF(LEFT(R18,3)="BDI",HLOOKUP(R18,DADOS!$T$37:$X$38,2,FALSE),0)),15-11*$X$5)</f>
        <v>0.2109</v>
      </c>
      <c r="AA18" s="1"/>
    </row>
    <row r="19" spans="1:27" ht="13" x14ac:dyDescent="0.3">
      <c r="A19" t="str">
        <f t="shared" si="28"/>
        <v>S</v>
      </c>
      <c r="B19">
        <f t="shared" si="29"/>
        <v>0</v>
      </c>
      <c r="C19">
        <f t="shared" ca="1" si="30"/>
        <v>2</v>
      </c>
      <c r="D19">
        <f t="shared" ca="1" si="31"/>
        <v>0</v>
      </c>
      <c r="E19">
        <f t="shared" ca="1" si="32"/>
        <v>0</v>
      </c>
      <c r="F19">
        <f t="shared" ca="1" si="33"/>
        <v>0</v>
      </c>
      <c r="G19">
        <f t="shared" ca="1" si="34"/>
        <v>3</v>
      </c>
      <c r="H19">
        <f t="shared" ca="1" si="7"/>
        <v>0</v>
      </c>
      <c r="I19">
        <f t="shared" ca="1" si="8"/>
        <v>0</v>
      </c>
      <c r="J19" s="355" t="s">
        <v>103</v>
      </c>
      <c r="K19" s="138" t="str">
        <f t="shared" ca="1" si="35"/>
        <v>2.3.</v>
      </c>
      <c r="L19" s="356" t="s">
        <v>232</v>
      </c>
      <c r="M19" s="356" t="s">
        <v>242</v>
      </c>
      <c r="N19" s="357" t="s">
        <v>256</v>
      </c>
      <c r="O19" s="358" t="s">
        <v>260</v>
      </c>
      <c r="P19" s="359">
        <v>2000</v>
      </c>
      <c r="Q19" s="195"/>
      <c r="R19" s="198" t="s">
        <v>7</v>
      </c>
      <c r="S19" s="103">
        <f>IF($A19="S",IF($Q$10="Preço Unitário (R$)",PO.CustoUnitario,ROUND(PO.CustoUnitario*(1+$Z19),15-13*$X$6)),0)</f>
        <v>0</v>
      </c>
      <c r="T19" s="83">
        <f>IF($A19="S",VTOTAL1,IF($A19=0,0,ROUND(SomaAgrup,15-13*$X$7)))</f>
        <v>0</v>
      </c>
      <c r="U19" s="9" t="str">
        <f t="shared" si="36"/>
        <v>SEM VALOR</v>
      </c>
      <c r="V19" s="1" t="str">
        <f ca="1">IF(OR($A19=0,$A19="S",$A19&gt;CFF!$A$9),"",MAX(V$12:OFFSET(V19,-1,0))+1)</f>
        <v/>
      </c>
      <c r="W19" s="4" t="str">
        <f t="shared" si="37"/>
        <v>COMPOSIÇÃO-COMP-18</v>
      </c>
      <c r="X19" s="1">
        <f ca="1">IF(AND(Fonte&lt;&gt;"",Código&lt;&gt;""),MATCH(Fonte&amp;" "&amp;IF(Fonte="sinapi",SUBSTITUTE(SUBSTITUTE(Código,"/00","/"),"/0","/"),Código),INDIRECT("'[Referência "&amp;_xlnm.Database&amp;".xls]Banco'!$a:$a"),0),"X")</f>
        <v>24</v>
      </c>
      <c r="Y19" s="103">
        <v>180.27</v>
      </c>
      <c r="Z19" s="113">
        <f ca="1">ROUND(IF(ISNUMBER(R19),R19,IF(LEFT(R19,3)="BDI",HLOOKUP(R19,DADOS!$T$37:$X$38,2,FALSE),0)),15-11*$X$5)</f>
        <v>0.2109</v>
      </c>
      <c r="AA19" s="1"/>
    </row>
    <row r="20" spans="1:27" ht="13" x14ac:dyDescent="0.3">
      <c r="A20">
        <f>CHOOSE(1+LOG(1+2*(J20="Meta")+4*(J20="Nível 2")+8*(J20="Nível 3")+16*(J20="Nível 4")+32*(J20="Serviço"),2),0,1,2,3,4,"S")</f>
        <v>1</v>
      </c>
      <c r="B20">
        <f ca="1">IF(OR(A20="S",A20=0),0,IF(ISERROR(I20),H20,SMALL(H20:I20,1)))</f>
        <v>2</v>
      </c>
      <c r="C20">
        <f ca="1">IF($A20=1,OFFSET(C20,-1,0)+1,OFFSET(C20,-1,0))</f>
        <v>3</v>
      </c>
      <c r="D20">
        <f ca="1">IF($A20=1,0,IF($A20=2,OFFSET(D20,-1,0)+1,OFFSET(D20,-1,0)))</f>
        <v>0</v>
      </c>
      <c r="E20">
        <f ca="1">IF(AND($A20&lt;=2,$A20&lt;&gt;0),0,IF($A20=3,OFFSET(E20,-1,0)+1,OFFSET(E20,-1,0)))</f>
        <v>0</v>
      </c>
      <c r="F20">
        <f ca="1">IF(AND($A20&lt;=3,$A20&lt;&gt;0),0,IF($A20=4,OFFSET(F20,-1,0)+1,OFFSET(F20,-1,0)))</f>
        <v>0</v>
      </c>
      <c r="G20">
        <f ca="1">IF(AND($A20&lt;=4,$A20&lt;&gt;0),0,IF($A20="S",OFFSET(G20,-1,0)+1,OFFSET(G20,-1,0)))</f>
        <v>0</v>
      </c>
      <c r="H20">
        <f t="shared" ca="1" si="7"/>
        <v>5</v>
      </c>
      <c r="I20">
        <f t="shared" ca="1" si="8"/>
        <v>2</v>
      </c>
      <c r="J20" s="355" t="s">
        <v>99</v>
      </c>
      <c r="K20" s="138" t="str">
        <f ca="1">IF($A20=0,"-",CONCATENATE(C20&amp;".",IF(AND($A$5&gt;=2,$A20&gt;=2),D20&amp;".",""),IF(AND($A$5&gt;=3,$A20&gt;=3),E20&amp;".",""),IF(AND($A$5&gt;=4,$A20&gt;=4),F20&amp;".",""),IF($A20="S",G20&amp;".","")))</f>
        <v>3.</v>
      </c>
      <c r="L20" s="356"/>
      <c r="M20" s="356"/>
      <c r="N20" s="357" t="s">
        <v>243</v>
      </c>
      <c r="O20" s="358" t="s">
        <v>106</v>
      </c>
      <c r="P20" s="359">
        <v>0</v>
      </c>
      <c r="Q20" s="195"/>
      <c r="R20" s="198" t="s">
        <v>7</v>
      </c>
      <c r="S20" s="103">
        <f t="shared" si="23"/>
        <v>0</v>
      </c>
      <c r="T20" s="83">
        <f t="shared" ca="1" si="24"/>
        <v>0</v>
      </c>
      <c r="U20" s="9" t="str">
        <f ca="1">IF($J20="","",IF($N20="","DESCRIÇÃO",IF(AND($J20="Serviço",$O20=""),"UNIDADE",IF($T20&lt;=0,"SEM VALOR",IF(AND($Y20&lt;&gt;"",$Q20&gt;$Y20),"ACIMA REF.","")))))</f>
        <v>SEM VALOR</v>
      </c>
      <c r="V20" s="1">
        <f ca="1">IF(OR($A20=0,$A20="S",$A20&gt;CFF!$A$9),"",MAX(V$12:OFFSET(V20,-1,0))+1)</f>
        <v>3</v>
      </c>
      <c r="W20" s="4" t="b">
        <f>IF(AND($J20="Serviço",$M20&lt;&gt;""),IF($L20="",$M20,CONCATENATE($L20,"-",$M20)))</f>
        <v>0</v>
      </c>
      <c r="X20" s="1" t="str">
        <f t="shared" ca="1" si="27"/>
        <v>X</v>
      </c>
      <c r="Y20" s="103">
        <v>0</v>
      </c>
      <c r="Z20" s="113">
        <f ca="1">ROUND(IF(ISNUMBER(R20),R20,IF(LEFT(R20,3)="BDI",HLOOKUP(R20,DADOS!$T$37:$X$38,2,FALSE),0)),15-11*$X$5)</f>
        <v>0.2109</v>
      </c>
      <c r="AA20" s="1"/>
    </row>
    <row r="21" spans="1:27" ht="25" x14ac:dyDescent="0.3">
      <c r="A21" t="str">
        <f>CHOOSE(1+LOG(1+2*(J21="Meta")+4*(J21="Nível 2")+8*(J21="Nível 3")+16*(J21="Nível 4")+32*(J21="Serviço"),2),0,1,2,3,4,"S")</f>
        <v>S</v>
      </c>
      <c r="B21">
        <f>IF(OR(A21="S",A21=0),0,IF(ISERROR(I21),H21,SMALL(H21:I21,1)))</f>
        <v>0</v>
      </c>
      <c r="C21">
        <f ca="1">IF($A21=1,OFFSET(C21,-1,0)+1,OFFSET(C21,-1,0))</f>
        <v>3</v>
      </c>
      <c r="D21">
        <f ca="1">IF($A21=1,0,IF($A21=2,OFFSET(D21,-1,0)+1,OFFSET(D21,-1,0)))</f>
        <v>0</v>
      </c>
      <c r="E21">
        <f ca="1">IF(AND($A21&lt;=2,$A21&lt;&gt;0),0,IF($A21=3,OFFSET(E21,-1,0)+1,OFFSET(E21,-1,0)))</f>
        <v>0</v>
      </c>
      <c r="F21">
        <f ca="1">IF(AND($A21&lt;=3,$A21&lt;&gt;0),0,IF($A21=4,OFFSET(F21,-1,0)+1,OFFSET(F21,-1,0)))</f>
        <v>0</v>
      </c>
      <c r="G21">
        <f ca="1">IF(AND($A21&lt;=4,$A21&lt;&gt;0),0,IF($A21="S",OFFSET(G21,-1,0)+1,OFFSET(G21,-1,0)))</f>
        <v>1</v>
      </c>
      <c r="H21">
        <f t="shared" ca="1" si="7"/>
        <v>0</v>
      </c>
      <c r="I21">
        <f t="shared" ca="1" si="8"/>
        <v>0</v>
      </c>
      <c r="J21" s="355" t="s">
        <v>103</v>
      </c>
      <c r="K21" s="138" t="str">
        <f ca="1">IF($A21=0,"-",CONCATENATE(C21&amp;".",IF(AND($A$5&gt;=2,$A21&gt;=2),D21&amp;".",""),IF(AND($A$5&gt;=3,$A21&gt;=3),E21&amp;".",""),IF(AND($A$5&gt;=4,$A21&gt;=4),F21&amp;".",""),IF($A21="S",G21&amp;".","")))</f>
        <v>3.1.</v>
      </c>
      <c r="L21" s="356" t="s">
        <v>244</v>
      </c>
      <c r="M21" s="356" t="s">
        <v>245</v>
      </c>
      <c r="N21" s="357" t="s">
        <v>257</v>
      </c>
      <c r="O21" s="358" t="s">
        <v>261</v>
      </c>
      <c r="P21" s="359">
        <v>17000</v>
      </c>
      <c r="Q21" s="195"/>
      <c r="R21" s="198" t="s">
        <v>7</v>
      </c>
      <c r="S21" s="103">
        <f>IF($A21="S",IF($Q$10="Preço Unitário (R$)",PO.CustoUnitario,ROUND(PO.CustoUnitario*(1+$Z21),15-13*$X$6)),0)</f>
        <v>0</v>
      </c>
      <c r="T21" s="83">
        <f>IF($A21="S",VTOTAL1,IF($A21=0,0,ROUND(SomaAgrup,15-13*$X$7)))</f>
        <v>0</v>
      </c>
      <c r="U21" s="9" t="str">
        <f>IF($J21="","",IF($N21="","DESCRIÇÃO",IF(AND($J21="Serviço",$O21=""),"UNIDADE",IF($T21&lt;=0,"SEM VALOR",IF(AND($Y21&lt;&gt;"",$Q21&gt;$Y21),"ACIMA REF.","")))))</f>
        <v>SEM VALOR</v>
      </c>
      <c r="V21" s="1" t="str">
        <f ca="1">IF(OR($A21=0,$A21="S",$A21&gt;CFF!$A$9),"",MAX(V$12:OFFSET(V21,-1,0))+1)</f>
        <v/>
      </c>
      <c r="W21" s="4" t="str">
        <f>IF(AND($J21="Serviço",$M21&lt;&gt;""),IF($L21="",$M21,CONCATENATE($L21,"-",$M21)))</f>
        <v>SINAPI-95875</v>
      </c>
      <c r="X21" s="1">
        <f ca="1">IF(AND(Fonte&lt;&gt;"",Código&lt;&gt;""),MATCH(Fonte&amp;" "&amp;IF(Fonte="sinapi",SUBSTITUTE(SUBSTITUTE(Código,"/00","/"),"/0","/"),Código),INDIRECT("'[Referência "&amp;_xlnm.Database&amp;".xls]Banco'!$a:$a"),0),"X")</f>
        <v>22567</v>
      </c>
      <c r="Y21" s="103">
        <v>3.52</v>
      </c>
      <c r="Z21" s="113">
        <f ca="1">ROUND(IF(ISNUMBER(R21),R21,IF(LEFT(R21,3)="BDI",HLOOKUP(R21,DADOS!$T$37:$X$38,2,FALSE),0)),15-11*$X$5)</f>
        <v>0.2109</v>
      </c>
      <c r="AA21" s="1"/>
    </row>
    <row r="22" spans="1:27" ht="13" x14ac:dyDescent="0.3">
      <c r="A22">
        <f t="shared" si="0"/>
        <v>1</v>
      </c>
      <c r="B22">
        <f t="shared" ca="1" si="1"/>
        <v>3</v>
      </c>
      <c r="C22">
        <f t="shared" ca="1" si="2"/>
        <v>4</v>
      </c>
      <c r="D22">
        <f t="shared" ca="1" si="3"/>
        <v>0</v>
      </c>
      <c r="E22">
        <f t="shared" ca="1" si="4"/>
        <v>0</v>
      </c>
      <c r="F22">
        <f t="shared" ca="1" si="5"/>
        <v>0</v>
      </c>
      <c r="G22">
        <f t="shared" ca="1" si="6"/>
        <v>0</v>
      </c>
      <c r="H22">
        <f t="shared" ca="1" si="7"/>
        <v>3</v>
      </c>
      <c r="I22" t="e">
        <f t="shared" ca="1" si="8"/>
        <v>#N/A</v>
      </c>
      <c r="J22" s="355" t="s">
        <v>99</v>
      </c>
      <c r="K22" s="138" t="str">
        <f t="shared" ca="1" si="9"/>
        <v>4.</v>
      </c>
      <c r="L22" s="356"/>
      <c r="M22" s="356"/>
      <c r="N22" s="357" t="s">
        <v>248</v>
      </c>
      <c r="O22" s="358" t="s">
        <v>106</v>
      </c>
      <c r="P22" s="359">
        <v>0</v>
      </c>
      <c r="Q22" s="195"/>
      <c r="R22" s="198" t="s">
        <v>7</v>
      </c>
      <c r="S22" s="103">
        <f t="shared" si="10"/>
        <v>0</v>
      </c>
      <c r="T22" s="83">
        <f t="shared" ca="1" si="11"/>
        <v>0</v>
      </c>
      <c r="U22" s="9" t="str">
        <f t="shared" ca="1" si="12"/>
        <v>SEM VALOR</v>
      </c>
      <c r="V22" s="1">
        <f ca="1">IF(OR($A22=0,$A22="S",$A22&gt;CFF!$A$9),"",MAX(V$12:OFFSET(V22,-1,0))+1)</f>
        <v>4</v>
      </c>
      <c r="W22" s="4" t="b">
        <f t="shared" si="13"/>
        <v>0</v>
      </c>
      <c r="X22" s="1" t="str">
        <f t="shared" ca="1" si="14"/>
        <v>X</v>
      </c>
      <c r="Y22" s="103">
        <v>0</v>
      </c>
      <c r="Z22" s="113">
        <f ca="1">ROUND(IF(ISNUMBER(R22),R22,IF(LEFT(R22,3)="BDI",HLOOKUP(R22,DADOS!$T$37:$X$38,2,FALSE),0)),15-11*$X$5)</f>
        <v>0.2109</v>
      </c>
      <c r="AA22" s="1"/>
    </row>
    <row r="23" spans="1:27" ht="25" x14ac:dyDescent="0.3">
      <c r="A23" t="str">
        <f t="shared" si="0"/>
        <v>S</v>
      </c>
      <c r="B23">
        <f t="shared" si="1"/>
        <v>0</v>
      </c>
      <c r="C23">
        <f t="shared" ca="1" si="2"/>
        <v>4</v>
      </c>
      <c r="D23">
        <f t="shared" ca="1" si="3"/>
        <v>0</v>
      </c>
      <c r="E23">
        <f t="shared" ca="1" si="4"/>
        <v>0</v>
      </c>
      <c r="F23">
        <f t="shared" ca="1" si="5"/>
        <v>0</v>
      </c>
      <c r="G23">
        <f t="shared" ca="1" si="6"/>
        <v>1</v>
      </c>
      <c r="H23">
        <f t="shared" ca="1" si="7"/>
        <v>0</v>
      </c>
      <c r="I23">
        <f t="shared" ca="1" si="8"/>
        <v>0</v>
      </c>
      <c r="J23" s="355" t="s">
        <v>103</v>
      </c>
      <c r="K23" s="138" t="str">
        <f t="shared" ca="1" si="9"/>
        <v>4.1.</v>
      </c>
      <c r="L23" s="356" t="s">
        <v>244</v>
      </c>
      <c r="M23" s="356" t="s">
        <v>246</v>
      </c>
      <c r="N23" s="357" t="s">
        <v>258</v>
      </c>
      <c r="O23" s="358" t="s">
        <v>262</v>
      </c>
      <c r="P23" s="359">
        <v>500</v>
      </c>
      <c r="Q23" s="195"/>
      <c r="R23" s="198" t="s">
        <v>7</v>
      </c>
      <c r="S23" s="103">
        <f t="shared" si="10"/>
        <v>0</v>
      </c>
      <c r="T23" s="83">
        <f t="shared" si="11"/>
        <v>0</v>
      </c>
      <c r="U23" s="9" t="str">
        <f t="shared" si="12"/>
        <v>SEM VALOR</v>
      </c>
      <c r="V23" s="1" t="str">
        <f ca="1">IF(OR($A23=0,$A23="S",$A23&gt;CFF!$A$9),"",MAX(V$12:OFFSET(V23,-1,0))+1)</f>
        <v/>
      </c>
      <c r="W23" s="4" t="str">
        <f t="shared" si="13"/>
        <v>SINAPI-96400</v>
      </c>
      <c r="X23" s="1">
        <f t="shared" ca="1" si="14"/>
        <v>15242</v>
      </c>
      <c r="Y23" s="103">
        <v>214.23</v>
      </c>
      <c r="Z23" s="113">
        <f ca="1">ROUND(IF(ISNUMBER(R23),R23,IF(LEFT(R23,3)="BDI",HLOOKUP(R23,DADOS!$T$37:$X$38,2,FALSE),0)),15-11*$X$5)</f>
        <v>0.2109</v>
      </c>
      <c r="AA23" s="1"/>
    </row>
    <row r="24" spans="1:27" ht="25" x14ac:dyDescent="0.3">
      <c r="A24" t="str">
        <f t="shared" si="0"/>
        <v>S</v>
      </c>
      <c r="B24">
        <f t="shared" si="1"/>
        <v>0</v>
      </c>
      <c r="C24">
        <f t="shared" ca="1" si="2"/>
        <v>4</v>
      </c>
      <c r="D24">
        <f t="shared" ca="1" si="3"/>
        <v>0</v>
      </c>
      <c r="E24">
        <f t="shared" ca="1" si="4"/>
        <v>0</v>
      </c>
      <c r="F24">
        <f t="shared" ca="1" si="5"/>
        <v>0</v>
      </c>
      <c r="G24">
        <f t="shared" ca="1" si="6"/>
        <v>2</v>
      </c>
      <c r="H24">
        <f t="shared" ca="1" si="7"/>
        <v>0</v>
      </c>
      <c r="I24">
        <f t="shared" ca="1" si="8"/>
        <v>0</v>
      </c>
      <c r="J24" s="355" t="s">
        <v>103</v>
      </c>
      <c r="K24" s="138" t="str">
        <f t="shared" ca="1" si="9"/>
        <v>4.2.</v>
      </c>
      <c r="L24" s="356" t="s">
        <v>244</v>
      </c>
      <c r="M24" s="356" t="s">
        <v>247</v>
      </c>
      <c r="N24" s="357" t="s">
        <v>259</v>
      </c>
      <c r="O24" s="358" t="s">
        <v>262</v>
      </c>
      <c r="P24" s="359">
        <v>500</v>
      </c>
      <c r="Q24" s="195"/>
      <c r="R24" s="198" t="s">
        <v>7</v>
      </c>
      <c r="S24" s="103">
        <f t="shared" si="10"/>
        <v>0</v>
      </c>
      <c r="T24" s="83">
        <f t="shared" si="11"/>
        <v>0</v>
      </c>
      <c r="U24" s="9" t="str">
        <f t="shared" si="12"/>
        <v>SEM VALOR</v>
      </c>
      <c r="V24" s="1" t="str">
        <f ca="1">IF(OR($A24=0,$A24="S",$A24&gt;CFF!$A$9),"",MAX(V$12:OFFSET(V24,-1,0))+1)</f>
        <v/>
      </c>
      <c r="W24" s="4" t="str">
        <f t="shared" si="13"/>
        <v>SINAPI-96396</v>
      </c>
      <c r="X24" s="1">
        <f t="shared" ca="1" si="14"/>
        <v>15236</v>
      </c>
      <c r="Y24" s="103">
        <v>237.86</v>
      </c>
      <c r="Z24" s="113">
        <f ca="1">ROUND(IF(ISNUMBER(R24),R24,IF(LEFT(R24,3)="BDI",HLOOKUP(R24,DADOS!$T$37:$X$38,2,FALSE),0)),15-11*$X$5)</f>
        <v>0.2109</v>
      </c>
      <c r="AA24" s="1"/>
    </row>
    <row r="25" spans="1:27" x14ac:dyDescent="0.25">
      <c r="A25">
        <v>-1</v>
      </c>
      <c r="C25">
        <v>0</v>
      </c>
      <c r="D25">
        <v>0</v>
      </c>
      <c r="E25">
        <v>0</v>
      </c>
      <c r="F25">
        <v>0</v>
      </c>
      <c r="G25">
        <v>0</v>
      </c>
      <c r="J25" s="69"/>
      <c r="K25" s="69"/>
      <c r="L25" s="69"/>
      <c r="M25" s="69"/>
      <c r="N25" s="69"/>
      <c r="O25" s="69"/>
      <c r="P25" s="69"/>
      <c r="Q25" s="69"/>
      <c r="R25" s="69"/>
      <c r="S25" s="69"/>
      <c r="T25" s="69"/>
      <c r="U25" s="1"/>
      <c r="V25" s="1"/>
      <c r="W25" s="1"/>
      <c r="X25" s="1"/>
      <c r="Y25" s="1"/>
      <c r="Z25" s="1"/>
      <c r="AA25" s="1"/>
    </row>
    <row r="26" spans="1:27" ht="14" x14ac:dyDescent="0.3">
      <c r="A26" s="1"/>
      <c r="B26" s="1"/>
      <c r="C26" s="1"/>
      <c r="D26" s="1"/>
      <c r="E26" s="1"/>
      <c r="F26" s="1"/>
      <c r="G26" s="1"/>
      <c r="H26" s="1"/>
      <c r="I26" s="1"/>
      <c r="J26" s="1"/>
      <c r="K26" s="70" t="s">
        <v>62</v>
      </c>
      <c r="L26" s="1"/>
      <c r="M26" s="326" t="s">
        <v>141</v>
      </c>
      <c r="N26" s="327"/>
      <c r="O26" s="327"/>
      <c r="P26" s="327"/>
      <c r="Q26" s="327"/>
      <c r="R26" s="327"/>
      <c r="S26" s="327"/>
      <c r="T26" s="328"/>
      <c r="U26" s="1"/>
      <c r="V26" s="1"/>
      <c r="W26" s="1"/>
      <c r="X26" s="1"/>
      <c r="Y26" s="1"/>
      <c r="Z26" s="1"/>
      <c r="AA26" s="1"/>
    </row>
    <row r="27" spans="1:27" x14ac:dyDescent="0.25">
      <c r="A27" s="1"/>
      <c r="B27" s="1"/>
      <c r="C27" s="1"/>
      <c r="D27" s="1"/>
      <c r="E27" s="1"/>
      <c r="F27" s="1"/>
      <c r="G27" s="1"/>
      <c r="H27" s="1"/>
      <c r="I27" s="1"/>
      <c r="J27" s="1"/>
      <c r="K27" s="1"/>
      <c r="L27" s="1"/>
      <c r="M27" s="1"/>
      <c r="N27" s="1"/>
      <c r="O27" s="1"/>
      <c r="P27" s="1"/>
      <c r="Q27" s="1"/>
      <c r="R27" s="1"/>
      <c r="S27" s="1"/>
      <c r="T27" s="1"/>
      <c r="U27" s="1"/>
      <c r="V27" s="1"/>
      <c r="W27" s="1"/>
      <c r="X27" s="1"/>
      <c r="Y27" s="1"/>
      <c r="Z27" s="1"/>
      <c r="AA27" s="1"/>
    </row>
    <row r="28" spans="1:27" ht="14" x14ac:dyDescent="0.25">
      <c r="A28" s="1"/>
      <c r="B28" s="1"/>
      <c r="C28" s="1"/>
      <c r="D28" s="1"/>
      <c r="E28" s="1"/>
      <c r="F28" s="1"/>
      <c r="G28" s="1"/>
      <c r="H28" s="1"/>
      <c r="I28" s="1"/>
      <c r="J28" s="1"/>
      <c r="K28" s="76" t="s">
        <v>21</v>
      </c>
      <c r="L28" s="1"/>
      <c r="M28" s="1"/>
      <c r="N28" s="1"/>
      <c r="O28" s="1"/>
      <c r="P28" s="1"/>
      <c r="Q28" s="1"/>
      <c r="R28" s="1"/>
      <c r="S28" s="1"/>
      <c r="T28" s="75"/>
      <c r="U28" s="1"/>
      <c r="V28" s="1"/>
      <c r="W28" s="1"/>
      <c r="X28" s="1"/>
      <c r="Y28" s="1"/>
      <c r="Z28" s="1"/>
      <c r="AA28" s="1"/>
    </row>
    <row r="29" spans="1:27" ht="12.75" customHeight="1" x14ac:dyDescent="0.25">
      <c r="A29" s="1"/>
      <c r="B29" s="1"/>
      <c r="C29" s="1"/>
      <c r="D29" s="1"/>
      <c r="E29" s="1"/>
      <c r="F29" s="1"/>
      <c r="G29" s="1"/>
      <c r="H29" s="1"/>
      <c r="I29" s="1"/>
      <c r="J29" s="1"/>
      <c r="K29" s="320"/>
      <c r="L29" s="321"/>
      <c r="M29" s="321"/>
      <c r="N29" s="321"/>
      <c r="O29" s="321"/>
      <c r="P29" s="321"/>
      <c r="Q29" s="321"/>
      <c r="R29" s="321"/>
      <c r="S29" s="321"/>
      <c r="T29" s="322"/>
      <c r="U29" s="1"/>
      <c r="V29" s="1"/>
      <c r="W29" s="1"/>
      <c r="X29" s="1"/>
      <c r="Y29" s="1"/>
      <c r="Z29" s="1"/>
      <c r="AA29" s="1"/>
    </row>
    <row r="30" spans="1:27" x14ac:dyDescent="0.25">
      <c r="A30" s="1"/>
      <c r="B30" s="1"/>
      <c r="C30" s="1"/>
      <c r="D30" s="1"/>
      <c r="E30" s="1"/>
      <c r="F30" s="1"/>
      <c r="G30" s="1"/>
      <c r="H30" s="1"/>
      <c r="I30" s="1"/>
      <c r="J30" s="1"/>
      <c r="K30" s="320"/>
      <c r="L30" s="321"/>
      <c r="M30" s="321"/>
      <c r="N30" s="321"/>
      <c r="O30" s="321"/>
      <c r="P30" s="321"/>
      <c r="Q30" s="321"/>
      <c r="R30" s="321"/>
      <c r="S30" s="321"/>
      <c r="T30" s="322"/>
      <c r="U30" s="1"/>
      <c r="V30" s="1"/>
      <c r="W30" s="1"/>
      <c r="X30" s="1"/>
      <c r="Y30" s="1"/>
      <c r="Z30" s="1"/>
      <c r="AA30" s="1"/>
    </row>
    <row r="31" spans="1:27" x14ac:dyDescent="0.25">
      <c r="A31" s="1"/>
      <c r="B31" s="1"/>
      <c r="C31" s="1"/>
      <c r="D31" s="1"/>
      <c r="E31" s="1"/>
      <c r="F31" s="1"/>
      <c r="G31" s="1"/>
      <c r="H31" s="1"/>
      <c r="I31" s="1"/>
      <c r="J31" s="1"/>
      <c r="K31" s="323"/>
      <c r="L31" s="324"/>
      <c r="M31" s="324"/>
      <c r="N31" s="324"/>
      <c r="O31" s="324"/>
      <c r="P31" s="324"/>
      <c r="Q31" s="324"/>
      <c r="R31" s="324"/>
      <c r="S31" s="324"/>
      <c r="T31" s="325"/>
      <c r="U31" s="1"/>
      <c r="V31" s="1"/>
      <c r="W31" s="1"/>
      <c r="X31" s="1"/>
      <c r="Y31" s="1"/>
      <c r="Z31" s="1"/>
      <c r="AA31" s="1"/>
    </row>
    <row r="32" spans="1:27" ht="14" x14ac:dyDescent="0.3">
      <c r="A32" s="1"/>
      <c r="B32" s="1"/>
      <c r="C32" s="1"/>
      <c r="D32" s="1"/>
      <c r="E32" s="1"/>
      <c r="F32" s="1"/>
      <c r="G32" s="1"/>
      <c r="H32" s="1"/>
      <c r="I32" s="1"/>
      <c r="J32" s="1"/>
      <c r="K32" s="180"/>
      <c r="L32" s="180"/>
      <c r="M32" s="180"/>
      <c r="N32" s="180"/>
      <c r="O32" s="180"/>
      <c r="P32" s="180"/>
      <c r="Q32" s="180"/>
      <c r="R32" s="180"/>
      <c r="S32" s="180"/>
      <c r="T32" s="180"/>
      <c r="U32" s="1"/>
      <c r="V32" s="1"/>
      <c r="W32" s="1"/>
      <c r="X32" s="1"/>
      <c r="Y32" s="1"/>
      <c r="Z32" s="1"/>
      <c r="AA32" s="1"/>
    </row>
    <row r="33" spans="1:27" ht="14" x14ac:dyDescent="0.3">
      <c r="A33" s="1"/>
      <c r="B33" s="1"/>
      <c r="C33" s="1"/>
      <c r="D33" s="1"/>
      <c r="E33" s="1"/>
      <c r="F33" s="1"/>
      <c r="G33" s="1"/>
      <c r="H33" s="1"/>
      <c r="I33" s="1"/>
      <c r="J33" s="1"/>
      <c r="K33" s="31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33" s="318"/>
      <c r="M33" s="318"/>
      <c r="N33" s="318"/>
      <c r="O33" s="318"/>
      <c r="P33" s="318"/>
      <c r="Q33" s="318"/>
      <c r="R33" s="318"/>
      <c r="S33" s="318"/>
      <c r="T33" s="319"/>
      <c r="U33" s="1"/>
      <c r="V33" s="1"/>
      <c r="W33" s="1"/>
      <c r="X33" s="1"/>
      <c r="Y33" s="1"/>
      <c r="Z33" s="1"/>
      <c r="AA33" s="1"/>
    </row>
    <row r="34" spans="1:27"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row>
    <row r="35" spans="1:27" ht="21"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row>
    <row r="36" spans="1:27" x14ac:dyDescent="0.25">
      <c r="A36" s="1"/>
      <c r="B36" s="1"/>
      <c r="C36" s="1"/>
      <c r="D36" s="1"/>
      <c r="E36" s="1"/>
      <c r="F36" s="1"/>
      <c r="G36" s="1"/>
      <c r="H36" s="1"/>
      <c r="I36" s="1"/>
      <c r="J36" s="1"/>
      <c r="K36" s="330" t="str">
        <f>Import.Município</f>
        <v>Concórdia/SC</v>
      </c>
      <c r="L36" s="330"/>
      <c r="M36" s="330"/>
      <c r="N36" s="1"/>
      <c r="O36" s="1"/>
      <c r="P36" s="1"/>
      <c r="Q36" s="1"/>
      <c r="R36" s="1"/>
      <c r="S36" s="1"/>
      <c r="T36" s="1"/>
      <c r="U36" s="1"/>
      <c r="V36" s="1"/>
      <c r="W36" s="1"/>
      <c r="X36" s="1"/>
      <c r="Y36" s="1"/>
      <c r="Z36" s="1"/>
      <c r="AA36" s="1"/>
    </row>
    <row r="37" spans="1:27" ht="13" x14ac:dyDescent="0.3">
      <c r="A37" s="1"/>
      <c r="B37" s="1"/>
      <c r="C37" s="1"/>
      <c r="D37" s="1"/>
      <c r="E37" s="1"/>
      <c r="F37" s="1"/>
      <c r="G37" s="1"/>
      <c r="H37" s="1"/>
      <c r="I37" s="1"/>
      <c r="J37" s="1"/>
      <c r="K37" s="97" t="s">
        <v>120</v>
      </c>
      <c r="L37" s="1"/>
      <c r="M37" s="1"/>
      <c r="N37" s="1"/>
      <c r="O37" s="1"/>
      <c r="P37" s="1"/>
      <c r="Q37" s="1"/>
      <c r="R37" s="1"/>
      <c r="S37" s="1"/>
      <c r="T37" s="1"/>
      <c r="U37" s="1"/>
      <c r="V37" s="1"/>
      <c r="W37" s="1"/>
      <c r="X37" s="1"/>
      <c r="Y37" s="1"/>
      <c r="Z37" s="1"/>
      <c r="AA37" s="1"/>
    </row>
    <row r="38" spans="1:27"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x14ac:dyDescent="0.25">
      <c r="A39" s="1"/>
      <c r="B39" s="1"/>
      <c r="C39" s="1"/>
      <c r="D39" s="1"/>
      <c r="E39" s="1"/>
      <c r="F39" s="1"/>
      <c r="G39" s="1"/>
      <c r="H39" s="1"/>
      <c r="I39" s="1"/>
      <c r="J39" s="1"/>
      <c r="K39" s="329">
        <f ca="1">TODAY()</f>
        <v>46220</v>
      </c>
      <c r="L39" s="329"/>
      <c r="M39" s="329"/>
      <c r="N39" s="1"/>
      <c r="O39" s="1"/>
      <c r="P39" s="1"/>
      <c r="Q39" s="1"/>
      <c r="R39" s="1"/>
      <c r="S39" s="1"/>
      <c r="T39" s="1"/>
      <c r="U39" s="1"/>
      <c r="V39" s="1"/>
      <c r="W39" s="1"/>
      <c r="X39" s="1"/>
      <c r="Y39" s="1"/>
      <c r="Z39" s="1"/>
      <c r="AA39" s="1"/>
    </row>
    <row r="40" spans="1:27" ht="13" x14ac:dyDescent="0.3">
      <c r="A40" s="1"/>
      <c r="B40" s="1"/>
      <c r="C40" s="1"/>
      <c r="D40" s="1"/>
      <c r="E40" s="1"/>
      <c r="F40" s="1"/>
      <c r="G40" s="1"/>
      <c r="H40" s="1"/>
      <c r="I40" s="1"/>
      <c r="J40" s="1"/>
      <c r="K40" s="119" t="s">
        <v>121</v>
      </c>
      <c r="L40" s="69"/>
      <c r="M40" s="69"/>
      <c r="N40" s="1"/>
      <c r="O40" s="1"/>
      <c r="P40" s="1"/>
      <c r="Q40" s="1"/>
      <c r="R40" s="1"/>
      <c r="S40" s="1"/>
      <c r="T40" s="1"/>
      <c r="U40" s="1"/>
      <c r="V40" s="1"/>
      <c r="W40" s="1"/>
      <c r="X40" s="1"/>
      <c r="Y40" s="1"/>
      <c r="Z40" s="1"/>
      <c r="AA40" s="1"/>
    </row>
  </sheetData>
  <sheetProtection algorithmName="SHA-512" hashValue="x2zDCVg3Hui7h4DN7msLTSIsqnC1VXzPUO2Seytpz3S3MHNr9F3kT1kcLGmuf7NQpR/HL0I8Ba5h6sFQlGVc+g==" saltValue="hp2J9qh219/svliwq7qkJA==" spinCount="100000" sheet="1" objects="1" scenarios="1"/>
  <mergeCells count="6">
    <mergeCell ref="W2:X2"/>
    <mergeCell ref="K33:T33"/>
    <mergeCell ref="K29:T31"/>
    <mergeCell ref="M26:T26"/>
    <mergeCell ref="K39:M39"/>
    <mergeCell ref="K36:M36"/>
  </mergeCells>
  <phoneticPr fontId="25" type="noConversion"/>
  <conditionalFormatting sqref="O12:R12 L12:M12">
    <cfRule type="expression" dxfId="148" priority="2013" stopIfTrue="1">
      <formula>$J12=$C$2</formula>
    </cfRule>
    <cfRule type="expression" dxfId="147" priority="2014" stopIfTrue="1">
      <formula>UPPER(LEFT($J12,5))="NÍVEL"</formula>
    </cfRule>
    <cfRule type="expression" dxfId="146" priority="2015" stopIfTrue="1">
      <formula>$J12=$C$8</formula>
    </cfRule>
  </conditionalFormatting>
  <conditionalFormatting sqref="Y12:Z12 S12:T12 K12">
    <cfRule type="expression" dxfId="145" priority="2016" stopIfTrue="1">
      <formula>$J12=$C$2</formula>
    </cfRule>
    <cfRule type="expression" dxfId="144" priority="2017" stopIfTrue="1">
      <formula>UPPER(LEFT($J12,5))="NÍVEL"</formula>
    </cfRule>
  </conditionalFormatting>
  <conditionalFormatting sqref="K11 K13:K24">
    <cfRule type="expression" dxfId="143" priority="2029" stopIfTrue="1">
      <formula>$J11=$C$2</formula>
    </cfRule>
    <cfRule type="expression" dxfId="142" priority="2030" stopIfTrue="1">
      <formula>AND($J11&lt;&gt;"",$J11&lt;&gt;"Serviço")</formula>
    </cfRule>
    <cfRule type="expression" dxfId="141" priority="2031" stopIfTrue="1">
      <formula>$J11=""</formula>
    </cfRule>
  </conditionalFormatting>
  <conditionalFormatting sqref="P11 P13:P24">
    <cfRule type="expression" dxfId="140" priority="356" stopIfTrue="1">
      <formula>$J11=$C$2</formula>
    </cfRule>
    <cfRule type="expression" dxfId="139" priority="2035" stopIfTrue="1">
      <formula>AND($J11&lt;&gt;"Serviço")</formula>
    </cfRule>
    <cfRule type="expression" dxfId="138" priority="2036" stopIfTrue="1">
      <formula>CELL("proteger",P11)</formula>
    </cfRule>
  </conditionalFormatting>
  <conditionalFormatting sqref="Q11:R11 Q13:R24">
    <cfRule type="expression" dxfId="137" priority="2037" stopIfTrue="1">
      <formula>$J11=$C$2</formula>
    </cfRule>
    <cfRule type="expression" dxfId="136" priority="2038" stopIfTrue="1">
      <formula>$J11&lt;&gt;"Serviço"</formula>
    </cfRule>
    <cfRule type="expression" dxfId="135" priority="2039" stopIfTrue="1">
      <formula>CELL("proteger",Q11)</formula>
    </cfRule>
  </conditionalFormatting>
  <conditionalFormatting sqref="S11:T11 Y11:Z11 S13:T24 Y13:Z24">
    <cfRule type="expression" dxfId="134" priority="2040" stopIfTrue="1">
      <formula>$J11=$C$2</formula>
    </cfRule>
    <cfRule type="expression" dxfId="133" priority="2041" stopIfTrue="1">
      <formula>$J11&lt;&gt;"Serviço"</formula>
    </cfRule>
  </conditionalFormatting>
  <conditionalFormatting sqref="L11:M11 L13:M24">
    <cfRule type="expression" dxfId="132" priority="2061" stopIfTrue="1">
      <formula>$J11=$C$2</formula>
    </cfRule>
    <cfRule type="expression" dxfId="131" priority="2062" stopIfTrue="1">
      <formula>$J11&lt;&gt;"Serviço"</formula>
    </cfRule>
    <cfRule type="expression" dxfId="130" priority="2063" stopIfTrue="1">
      <formula>OR(CELL("proteger",L11),$J11="",TipoOrçamento="Licitado")</formula>
    </cfRule>
  </conditionalFormatting>
  <conditionalFormatting sqref="K26:T26">
    <cfRule type="expression" dxfId="129" priority="2042" stopIfTrue="1">
      <formula>OR(Tipo.Orçamento="LICITADO",Tipo.Orçamento="REPROGRAMADOAC")</formula>
    </cfRule>
    <cfRule type="expression" dxfId="128" priority="2043" stopIfTrue="1">
      <formula>$M$26=""</formula>
    </cfRule>
  </conditionalFormatting>
  <conditionalFormatting sqref="J11 J13:J15 J17:J19 J22:J24">
    <cfRule type="expression" dxfId="127" priority="2070" stopIfTrue="1">
      <formula>TipoOrçamento="Licitado"</formula>
    </cfRule>
  </conditionalFormatting>
  <conditionalFormatting sqref="O11 O13:O24">
    <cfRule type="expression" dxfId="126" priority="376" stopIfTrue="1">
      <formula>$J11=$C$2</formula>
    </cfRule>
    <cfRule type="expression" dxfId="125" priority="377" stopIfTrue="1">
      <formula>AND($J11&lt;&gt;"Serviço")</formula>
    </cfRule>
    <cfRule type="expression" dxfId="124" priority="378" stopIfTrue="1">
      <formula>CELL("proteger",O11)</formula>
    </cfRule>
  </conditionalFormatting>
  <conditionalFormatting sqref="N11 N14:N24">
    <cfRule type="expression" dxfId="123" priority="379" stopIfTrue="1">
      <formula>$J11=$C$2</formula>
    </cfRule>
    <cfRule type="expression" dxfId="122" priority="380" stopIfTrue="1">
      <formula>$J11&lt;&gt;"Serviço"</formula>
    </cfRule>
    <cfRule type="expression" dxfId="121" priority="381" stopIfTrue="1">
      <formula>CELL("proteger",N11)</formula>
    </cfRule>
  </conditionalFormatting>
  <conditionalFormatting sqref="N13">
    <cfRule type="expression" dxfId="120" priority="245" stopIfTrue="1">
      <formula>$J13=$C$2</formula>
    </cfRule>
    <cfRule type="expression" dxfId="119" priority="246" stopIfTrue="1">
      <formula>$J13&lt;&gt;"Serviço"</formula>
    </cfRule>
    <cfRule type="expression" dxfId="118" priority="247" stopIfTrue="1">
      <formula>CELL("proteger",N13)</formula>
    </cfRule>
  </conditionalFormatting>
  <conditionalFormatting sqref="J20">
    <cfRule type="expression" dxfId="117" priority="202" stopIfTrue="1">
      <formula>TipoOrçamento="Licitado"</formula>
    </cfRule>
  </conditionalFormatting>
  <conditionalFormatting sqref="J16">
    <cfRule type="expression" dxfId="116" priority="75" stopIfTrue="1">
      <formula>TipoOrçamento="Licitado"</formula>
    </cfRule>
  </conditionalFormatting>
  <conditionalFormatting sqref="J21">
    <cfRule type="expression" dxfId="115" priority="1" stopIfTrue="1">
      <formula>TipoOrçamento="Licitado"</formula>
    </cfRule>
  </conditionalFormatting>
  <dataValidations count="3">
    <dataValidation type="decimal" operator="greaterThan" allowBlank="1" showInputMessage="1" showErrorMessage="1" error="Apenas números decimais maiores que zero." sqref="Q11 Q13:Q24"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24"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24" xr:uid="{00000000-0002-0000-02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36 K39" unlocked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31"/>
  <sheetViews>
    <sheetView showGridLines="0" zoomScale="85" zoomScaleNormal="85" zoomScaleSheetLayoutView="100" workbookViewId="0">
      <pane xSplit="5" ySplit="10" topLeftCell="F11" activePane="bottomRight" state="frozen"/>
      <selection pane="topRight"/>
      <selection pane="bottomLeft"/>
      <selection pane="bottomRight" activeCell="K23" sqref="K23"/>
    </sheetView>
  </sheetViews>
  <sheetFormatPr defaultRowHeight="12.5" x14ac:dyDescent="0.25"/>
  <cols>
    <col min="1" max="1" width="12.7265625" customWidth="1"/>
    <col min="2" max="2" width="10.7265625" customWidth="1"/>
    <col min="3" max="3" width="60.54296875" customWidth="1"/>
    <col min="4" max="4" width="7.7265625" customWidth="1"/>
    <col min="5" max="5" width="12.7265625" customWidth="1"/>
    <col min="6" max="15" width="11.7265625" customWidth="1"/>
    <col min="16" max="16" width="0.81640625" customWidth="1"/>
    <col min="21" max="21" width="11.7265625" hidden="1" customWidth="1"/>
  </cols>
  <sheetData>
    <row r="1" spans="1:21" s="1" customFormat="1" ht="17.25" customHeight="1" x14ac:dyDescent="0.35">
      <c r="E1" s="71" t="s">
        <v>63</v>
      </c>
      <c r="F1" s="28" t="s">
        <v>64</v>
      </c>
      <c r="K1" s="14"/>
      <c r="O1"/>
    </row>
    <row r="2" spans="1:21" s="1" customFormat="1" ht="15.5" x14ac:dyDescent="0.35">
      <c r="D2" s="3"/>
      <c r="E2" s="71"/>
      <c r="F2" s="28"/>
      <c r="K2" s="15"/>
      <c r="O2"/>
    </row>
    <row r="3" spans="1:21" s="1" customFormat="1" x14ac:dyDescent="0.25"/>
    <row r="4" spans="1:21" s="1" customFormat="1" ht="40" customHeight="1" x14ac:dyDescent="0.25"/>
    <row r="5" spans="1:21" s="1" customFormat="1" ht="40" customHeight="1" x14ac:dyDescent="0.25"/>
    <row r="6" spans="1:21" s="1" customFormat="1" ht="20.25" customHeight="1" x14ac:dyDescent="0.25"/>
    <row r="7" spans="1:21" s="1" customFormat="1" ht="12.75" hidden="1" customHeight="1" x14ac:dyDescent="0.25">
      <c r="E7" s="191">
        <f ca="1">OFFSET(PO!$P$12,ROW($E7)-ROW(E$12),0)</f>
        <v>0</v>
      </c>
    </row>
    <row r="8" spans="1:21" s="1" customFormat="1" ht="10" customHeight="1" x14ac:dyDescent="0.25"/>
    <row r="9" spans="1:21" s="1" customFormat="1" ht="60" customHeight="1" x14ac:dyDescent="0.25">
      <c r="B9" s="13"/>
      <c r="C9" s="10"/>
      <c r="D9" s="4"/>
      <c r="E9" s="124" t="s">
        <v>46</v>
      </c>
      <c r="F9" s="361" t="s">
        <v>235</v>
      </c>
      <c r="G9" s="361"/>
      <c r="H9" s="361"/>
      <c r="I9" s="361"/>
      <c r="J9" s="361"/>
      <c r="K9" s="361"/>
      <c r="L9" s="361"/>
      <c r="M9" s="361"/>
      <c r="N9" s="361"/>
      <c r="O9" s="361"/>
      <c r="U9" s="104"/>
    </row>
    <row r="10" spans="1:21" s="11" customFormat="1" ht="30" customHeight="1" x14ac:dyDescent="0.25">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5">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ht="13" x14ac:dyDescent="0.25">
      <c r="A12" s="64" t="str">
        <f>PO!J12</f>
        <v>CTEF</v>
      </c>
      <c r="B12" s="64"/>
      <c r="C12" s="64">
        <f>PO!N12</f>
        <v>0</v>
      </c>
      <c r="D12" s="64"/>
      <c r="E12" s="183"/>
      <c r="F12" s="184"/>
      <c r="G12" s="184"/>
      <c r="H12" s="184"/>
      <c r="I12" s="184"/>
      <c r="J12" s="184"/>
      <c r="K12" s="184"/>
      <c r="L12" s="184"/>
      <c r="M12" s="184"/>
      <c r="N12" s="184"/>
      <c r="O12" s="184"/>
      <c r="U12" s="184"/>
    </row>
    <row r="13" spans="1:21" s="1" customFormat="1" ht="13" x14ac:dyDescent="0.25">
      <c r="A13" s="108" t="str">
        <f ca="1">OFFSET(PO!J$12,ROW(A13)-ROW($A$12),0)</f>
        <v>Meta</v>
      </c>
      <c r="B13" s="112" t="str">
        <f ca="1">IF($A13=0,"",OFFSET(PO!K$12,ROW(B13)-ROW(B$12),0))</f>
        <v>1.</v>
      </c>
      <c r="C13" s="109" t="str">
        <f ca="1">IF(OFFSET(PO!N$12,ROW(C13)-ROW(C$12),0)=0,"",OFFSET(PO!N$12,ROW(C13)-ROW(C$12),0))</f>
        <v>TAPA BURACO</v>
      </c>
      <c r="D13" s="111" t="str">
        <f ca="1">IF(OFFSET(PO!O$12,ROW(D13)-ROW(D$12),0)=0,"",OFFSET(PO!O$12,ROW(D13)-ROW(D$12),0))</f>
        <v/>
      </c>
      <c r="E13" s="140">
        <f ca="1">IF($A13&lt;&gt;"Serviço",0,ROUND(SUMIF($F$9:$P$9,"&lt;&gt;",$F13:$P13),15-13*PO!$X$3))</f>
        <v>0</v>
      </c>
      <c r="F13" s="360">
        <f ca="1">OFFSET(PO!$P$12,ROW($E13)-ROW(F$12),0)</f>
        <v>0</v>
      </c>
      <c r="G13" s="360"/>
      <c r="H13" s="360"/>
      <c r="I13" s="360"/>
      <c r="J13" s="360"/>
      <c r="K13" s="360"/>
      <c r="L13" s="360"/>
      <c r="M13" s="360"/>
      <c r="N13" s="360"/>
      <c r="O13" s="360"/>
      <c r="U13" s="182"/>
    </row>
    <row r="14" spans="1:21" s="1" customFormat="1" ht="25" x14ac:dyDescent="0.25">
      <c r="A14" s="110" t="str">
        <f ca="1">OFFSET(PO!J$12,ROW(A14)-ROW($A$12),0)</f>
        <v>Serviço</v>
      </c>
      <c r="B14" s="112" t="str">
        <f ca="1">IF($A14=0,"",OFFSET(PO!K$12,ROW(B14)-ROW(B$12),0))</f>
        <v>1.1.</v>
      </c>
      <c r="C14" s="109" t="str">
        <f ca="1">IF(OFFSET(PO!N$12,ROW(C14)-ROW(C$12),0)=0,"",OFFSET(PO!N$12,ROW(C14)-ROW(C$12),0))</f>
        <v>TAPA BURACO COM PINTURA DE LIGAÇÃO - DEMOLIÇÃO COM SERRA DE CORTA PISO E  PLACA VIBRATÓRIA</v>
      </c>
      <c r="D14" s="111" t="str">
        <f ca="1">IF(OFFSET(PO!O$12,ROW(D14)-ROW(D$12),0)=0,"",OFFSET(PO!O$12,ROW(D14)-ROW(D$12),0))</f>
        <v>M²</v>
      </c>
      <c r="E14" s="140">
        <f ca="1">IF($A14&lt;&gt;"Serviço",0,ROUND(SUMIF($F$9:$P$9,"&lt;&gt;",$F14:$P14),15-13*PO!$X$3))</f>
        <v>1000</v>
      </c>
      <c r="F14" s="360">
        <f ca="1">OFFSET(PO!$P$12,ROW($E14)-ROW(F$12),0)</f>
        <v>1000</v>
      </c>
      <c r="G14" s="360"/>
      <c r="H14" s="360"/>
      <c r="I14" s="360"/>
      <c r="J14" s="360"/>
      <c r="K14" s="360"/>
      <c r="L14" s="360"/>
      <c r="M14" s="360"/>
      <c r="N14" s="360"/>
      <c r="O14" s="360"/>
      <c r="U14" s="182"/>
    </row>
    <row r="15" spans="1:21" s="1" customFormat="1" ht="25" x14ac:dyDescent="0.25">
      <c r="A15" s="110" t="str">
        <f ca="1">OFFSET(PO!J$12,ROW(A15)-ROW($A$12),0)</f>
        <v>Serviço</v>
      </c>
      <c r="B15" s="112" t="str">
        <f ca="1">IF($A15=0,"",OFFSET(PO!K$12,ROW(B15)-ROW(B$12),0))</f>
        <v>1.2.</v>
      </c>
      <c r="C15" s="109" t="str">
        <f ca="1">IF(OFFSET(PO!N$12,ROW(C15)-ROW(C$12),0)=0,"",OFFSET(PO!N$12,ROW(C15)-ROW(C$12),0))</f>
        <v>TAPA BURACO COM PINTURA DE LIGAÇÃO - DEMOLIÇÃO COM SERRA DE CORTA PISO E  ROLO COMPACTADOR</v>
      </c>
      <c r="D15" s="111" t="str">
        <f ca="1">IF(OFFSET(PO!O$12,ROW(D15)-ROW(D$12),0)=0,"",OFFSET(PO!O$12,ROW(D15)-ROW(D$12),0))</f>
        <v>M²</v>
      </c>
      <c r="E15" s="140">
        <f ca="1">IF($A15&lt;&gt;"Serviço",0,ROUND(SUMIF($F$9:$P$9,"&lt;&gt;",$F15:$P15),15-13*PO!$X$3))</f>
        <v>5000</v>
      </c>
      <c r="F15" s="360">
        <f ca="1">OFFSET(PO!$P$12,ROW($E15)-ROW(F$12),0)</f>
        <v>5000</v>
      </c>
      <c r="G15" s="360"/>
      <c r="H15" s="360"/>
      <c r="I15" s="360"/>
      <c r="J15" s="360"/>
      <c r="K15" s="360"/>
      <c r="L15" s="360"/>
      <c r="M15" s="360"/>
      <c r="N15" s="360"/>
      <c r="O15" s="360"/>
      <c r="U15" s="182"/>
    </row>
    <row r="16" spans="1:21" s="1" customFormat="1" ht="13" x14ac:dyDescent="0.25">
      <c r="A16" s="110" t="str">
        <f ca="1">OFFSET(PO!J$12,ROW(A16)-ROW($A$12),0)</f>
        <v>Meta</v>
      </c>
      <c r="B16" s="112" t="str">
        <f ca="1">IF($A16=0,"",OFFSET(PO!K$12,ROW(B16)-ROW(B$12),0))</f>
        <v>2.</v>
      </c>
      <c r="C16" s="109" t="str">
        <f ca="1">IF(OFFSET(PO!N$12,ROW(C16)-ROW(C$12),0)=0,"",OFFSET(PO!N$12,ROW(C16)-ROW(C$12),0))</f>
        <v>RECAPEAMENTO</v>
      </c>
      <c r="D16" s="111" t="str">
        <f ca="1">IF(OFFSET(PO!O$12,ROW(D16)-ROW(D$12),0)=0,"",OFFSET(PO!O$12,ROW(D16)-ROW(D$12),0))</f>
        <v/>
      </c>
      <c r="E16" s="140">
        <f ca="1">IF($A16&lt;&gt;"Serviço",0,ROUND(SUMIF($F$9:$P$9,"&lt;&gt;",$F16:$P16),15-13*PO!$X$3))</f>
        <v>0</v>
      </c>
      <c r="F16" s="360">
        <f ca="1">OFFSET(PO!$P$12,ROW($E16)-ROW(F$12),0)</f>
        <v>0</v>
      </c>
      <c r="G16" s="360"/>
      <c r="H16" s="360"/>
      <c r="I16" s="360"/>
      <c r="J16" s="360"/>
      <c r="K16" s="360"/>
      <c r="L16" s="360"/>
      <c r="M16" s="360"/>
      <c r="N16" s="360"/>
      <c r="O16" s="360"/>
      <c r="U16" s="182"/>
    </row>
    <row r="17" spans="1:21" s="1" customFormat="1" ht="25" x14ac:dyDescent="0.25">
      <c r="A17" s="110" t="str">
        <f ca="1">OFFSET(PO!J$12,ROW(A17)-ROW($A$12),0)</f>
        <v>Serviço</v>
      </c>
      <c r="B17" s="112" t="str">
        <f ca="1">IF($A17=0,"",OFFSET(PO!K$12,ROW(B17)-ROW(B$12),0))</f>
        <v>2.1.</v>
      </c>
      <c r="C17" s="109" t="str">
        <f ca="1">IF(OFFSET(PO!N$12,ROW(C17)-ROW(C$12),0)=0,"",OFFSET(PO!N$12,ROW(C17)-ROW(C$12),0))</f>
        <v>RECAPEAMENTO ASFÁLTICO - FRESADO - COM PINTURA DE LIGAÇÃO E ROLO COMPACTADOR</v>
      </c>
      <c r="D17" s="111" t="str">
        <f ca="1">IF(OFFSET(PO!O$12,ROW(D17)-ROW(D$12),0)=0,"",OFFSET(PO!O$12,ROW(D17)-ROW(D$12),0))</f>
        <v>M²</v>
      </c>
      <c r="E17" s="140">
        <f ca="1">IF($A17&lt;&gt;"Serviço",0,ROUND(SUMIF($F$9:$P$9,"&lt;&gt;",$F17:$P17),15-13*PO!$X$3))</f>
        <v>7000</v>
      </c>
      <c r="F17" s="360">
        <f ca="1">OFFSET(PO!$P$12,ROW($E17)-ROW(F$12),0)</f>
        <v>7000</v>
      </c>
      <c r="G17" s="360"/>
      <c r="H17" s="360"/>
      <c r="I17" s="360"/>
      <c r="J17" s="360"/>
      <c r="K17" s="360"/>
      <c r="L17" s="360"/>
      <c r="M17" s="360"/>
      <c r="N17" s="360"/>
      <c r="O17" s="360"/>
      <c r="U17" s="182"/>
    </row>
    <row r="18" spans="1:21" s="1" customFormat="1" ht="37.5" x14ac:dyDescent="0.25">
      <c r="A18" s="110" t="str">
        <f ca="1">OFFSET(PO!J$12,ROW(A18)-ROW($A$12),0)</f>
        <v>Serviço</v>
      </c>
      <c r="B18" s="112" t="str">
        <f ca="1">IF($A18=0,"",OFFSET(PO!K$12,ROW(B18)-ROW(B$12),0))</f>
        <v>2.2.</v>
      </c>
      <c r="C18" s="109" t="str">
        <f ca="1">IF(OFFSET(PO!N$12,ROW(C18)-ROW(C$12),0)=0,"",OFFSET(PO!N$12,ROW(C18)-ROW(C$12),0))</f>
        <v>RECAPEAMENTO DE PAVIMETAÇÃO ASFÁLTICA - FRESADO - COM PINTURA DE LIGAÇÃO - APLICAÇÃO COM VIBROACABADORA - COMPACTAÇÃO COM ROLO</v>
      </c>
      <c r="D18" s="111" t="str">
        <f ca="1">IF(OFFSET(PO!O$12,ROW(D18)-ROW(D$12),0)=0,"",OFFSET(PO!O$12,ROW(D18)-ROW(D$12),0))</f>
        <v>M²</v>
      </c>
      <c r="E18" s="140">
        <f ca="1">IF($A18&lt;&gt;"Serviço",0,ROUND(SUMIF($F$9:$P$9,"&lt;&gt;",$F18:$P18),15-13*PO!$X$3))</f>
        <v>3000</v>
      </c>
      <c r="F18" s="360">
        <f ca="1">OFFSET(PO!$P$12,ROW($E18)-ROW(F$12),0)</f>
        <v>3000</v>
      </c>
      <c r="G18" s="360"/>
      <c r="H18" s="360"/>
      <c r="I18" s="360"/>
      <c r="J18" s="360"/>
      <c r="K18" s="360"/>
      <c r="L18" s="360"/>
      <c r="M18" s="360"/>
      <c r="N18" s="360"/>
      <c r="O18" s="360"/>
      <c r="U18" s="182"/>
    </row>
    <row r="19" spans="1:21" s="1" customFormat="1" ht="25" x14ac:dyDescent="0.25">
      <c r="A19" s="110" t="str">
        <f ca="1">OFFSET(PO!J$12,ROW(A19)-ROW($A$12),0)</f>
        <v>Serviço</v>
      </c>
      <c r="B19" s="112" t="str">
        <f ca="1">IF($A19=0,"",OFFSET(PO!K$12,ROW(B19)-ROW(B$12),0))</f>
        <v>2.3.</v>
      </c>
      <c r="C19" s="109" t="str">
        <f ca="1">IF(OFFSET(PO!N$12,ROW(C19)-ROW(C$12),0)=0,"",OFFSET(PO!N$12,ROW(C19)-ROW(C$12),0))</f>
        <v>RECAPEAMENTO DE PAVIMENTAÇÃO ASFÁLICA - COM PINTURA DE LIGAÇÃO - COMPACTAÇÃO COM ROLO</v>
      </c>
      <c r="D19" s="111" t="str">
        <f ca="1">IF(OFFSET(PO!O$12,ROW(D19)-ROW(D$12),0)=0,"",OFFSET(PO!O$12,ROW(D19)-ROW(D$12),0))</f>
        <v>M²</v>
      </c>
      <c r="E19" s="140">
        <f ca="1">IF($A19&lt;&gt;"Serviço",0,ROUND(SUMIF($F$9:$P$9,"&lt;&gt;",$F19:$P19),15-13*PO!$X$3))</f>
        <v>2000</v>
      </c>
      <c r="F19" s="360">
        <f ca="1">OFFSET(PO!$P$12,ROW($E19)-ROW(F$12),0)</f>
        <v>2000</v>
      </c>
      <c r="G19" s="360"/>
      <c r="H19" s="360"/>
      <c r="I19" s="360"/>
      <c r="J19" s="360"/>
      <c r="K19" s="360"/>
      <c r="L19" s="360"/>
      <c r="M19" s="360"/>
      <c r="N19" s="360"/>
      <c r="O19" s="360"/>
      <c r="U19" s="182"/>
    </row>
    <row r="20" spans="1:21" s="1" customFormat="1" ht="13" x14ac:dyDescent="0.25">
      <c r="A20" s="110" t="str">
        <f ca="1">OFFSET(PO!J$12,ROW(A20)-ROW($A$12),0)</f>
        <v>Meta</v>
      </c>
      <c r="B20" s="112" t="str">
        <f ca="1">IF($A20=0,"",OFFSET(PO!K$12,ROW(B20)-ROW(B$12),0))</f>
        <v>3.</v>
      </c>
      <c r="C20" s="109" t="str">
        <f ca="1">IF(OFFSET(PO!N$12,ROW(C20)-ROW(C$12),0)=0,"",OFFSET(PO!N$12,ROW(C20)-ROW(C$12),0))</f>
        <v>TRANSPORTES</v>
      </c>
      <c r="D20" s="111" t="str">
        <f ca="1">IF(OFFSET(PO!O$12,ROW(D20)-ROW(D$12),0)=0,"",OFFSET(PO!O$12,ROW(D20)-ROW(D$12),0))</f>
        <v/>
      </c>
      <c r="E20" s="140">
        <f ca="1">IF($A20&lt;&gt;"Serviço",0,ROUND(SUMIF($F$9:$P$9,"&lt;&gt;",$F20:$P20),15-13*PO!$X$3))</f>
        <v>0</v>
      </c>
      <c r="F20" s="360">
        <f ca="1">OFFSET(PO!$P$12,ROW($E20)-ROW(F$12),0)</f>
        <v>0</v>
      </c>
      <c r="G20" s="360"/>
      <c r="H20" s="360"/>
      <c r="I20" s="360"/>
      <c r="J20" s="360"/>
      <c r="K20" s="360"/>
      <c r="L20" s="360"/>
      <c r="M20" s="360"/>
      <c r="N20" s="360"/>
      <c r="O20" s="360"/>
      <c r="U20" s="182"/>
    </row>
    <row r="21" spans="1:21" s="1" customFormat="1" ht="37.5" x14ac:dyDescent="0.25">
      <c r="A21" s="110" t="str">
        <f ca="1">OFFSET(PO!J$12,ROW(A21)-ROW($A$12),0)</f>
        <v>Serviço</v>
      </c>
      <c r="B21" s="112" t="str">
        <f ca="1">IF($A21=0,"",OFFSET(PO!K$12,ROW(B21)-ROW(B$12),0))</f>
        <v>3.1.</v>
      </c>
      <c r="C21" s="109" t="str">
        <f ca="1">IF(OFFSET(PO!N$12,ROW(C21)-ROW(C$12),0)=0,"",OFFSET(PO!N$12,ROW(C21)-ROW(C$12),0))</f>
        <v>TRANSPORTE COM CAMINHÃO BASCULANTE DE 10 M³, EM VIA URBANA PAVIMENTADA, DMT ATÉ 30 KM (UNIDADE: M3XKM). AF_02/2026</v>
      </c>
      <c r="D21" s="111" t="str">
        <f ca="1">IF(OFFSET(PO!O$12,ROW(D21)-ROW(D$12),0)=0,"",OFFSET(PO!O$12,ROW(D21)-ROW(D$12),0))</f>
        <v>M3XKM</v>
      </c>
      <c r="E21" s="140">
        <f ca="1">IF($A21&lt;&gt;"Serviço",0,ROUND(SUMIF($F$9:$P$9,"&lt;&gt;",$F21:$P21),15-13*PO!$X$3))</f>
        <v>17000</v>
      </c>
      <c r="F21" s="360">
        <f ca="1">OFFSET(PO!$P$12,ROW($E21)-ROW(F$12),0)</f>
        <v>17000</v>
      </c>
      <c r="G21" s="360"/>
      <c r="H21" s="360"/>
      <c r="I21" s="360"/>
      <c r="J21" s="360"/>
      <c r="K21" s="360"/>
      <c r="L21" s="360"/>
      <c r="M21" s="360"/>
      <c r="N21" s="360"/>
      <c r="O21" s="360"/>
      <c r="U21" s="182"/>
    </row>
    <row r="22" spans="1:21" s="1" customFormat="1" ht="13" x14ac:dyDescent="0.25">
      <c r="A22" s="110" t="str">
        <f ca="1">OFFSET(PO!J$12,ROW(A22)-ROW($A$12),0)</f>
        <v>Meta</v>
      </c>
      <c r="B22" s="112" t="str">
        <f ca="1">IF($A22=0,"",OFFSET(PO!K$12,ROW(B22)-ROW(B$12),0))</f>
        <v>4.</v>
      </c>
      <c r="C22" s="109" t="str">
        <f ca="1">IF(OFFSET(PO!N$12,ROW(C22)-ROW(C$12),0)=0,"",OFFSET(PO!N$12,ROW(C22)-ROW(C$12),0))</f>
        <v>BASE E SUB-BASE</v>
      </c>
      <c r="D22" s="111" t="str">
        <f ca="1">IF(OFFSET(PO!O$12,ROW(D22)-ROW(D$12),0)=0,"",OFFSET(PO!O$12,ROW(D22)-ROW(D$12),0))</f>
        <v/>
      </c>
      <c r="E22" s="140">
        <f ca="1">IF($A22&lt;&gt;"Serviço",0,ROUND(SUMIF($F$9:$P$9,"&lt;&gt;",$F22:$P22),15-13*PO!$X$3))</f>
        <v>0</v>
      </c>
      <c r="F22" s="360">
        <f ca="1">OFFSET(PO!$P$12,ROW($E22)-ROW(F$12),0)</f>
        <v>0</v>
      </c>
      <c r="G22" s="360"/>
      <c r="H22" s="360"/>
      <c r="I22" s="360"/>
      <c r="J22" s="360"/>
      <c r="K22" s="360"/>
      <c r="L22" s="360"/>
      <c r="M22" s="360"/>
      <c r="N22" s="360"/>
      <c r="O22" s="360"/>
      <c r="U22" s="182"/>
    </row>
    <row r="23" spans="1:21" s="1" customFormat="1" ht="37.5" x14ac:dyDescent="0.25">
      <c r="A23" s="110" t="str">
        <f ca="1">OFFSET(PO!J$12,ROW(A23)-ROW($A$12),0)</f>
        <v>Serviço</v>
      </c>
      <c r="B23" s="112" t="str">
        <f ca="1">IF($A23=0,"",OFFSET(PO!K$12,ROW(B23)-ROW(B$12),0))</f>
        <v>4.1.</v>
      </c>
      <c r="C23" s="109" t="str">
        <f ca="1">IF(OFFSET(PO!N$12,ROW(C23)-ROW(C$12),0)=0,"",OFFSET(PO!N$12,ROW(C23)-ROW(C$12),0))</f>
        <v>CONSTRUÇÃO DE BASE E SUB-BASE PARA PAVIMENTAÇÃO DE MACADAME SECO, COM ESPESSURA DE 15 CM - EXCLUSIVE CARGA E TRANSPORTE. AF_09/2024</v>
      </c>
      <c r="D23" s="111" t="str">
        <f ca="1">IF(OFFSET(PO!O$12,ROW(D23)-ROW(D$12),0)=0,"",OFFSET(PO!O$12,ROW(D23)-ROW(D$12),0))</f>
        <v>M3</v>
      </c>
      <c r="E23" s="140">
        <f ca="1">IF($A23&lt;&gt;"Serviço",0,ROUND(SUMIF($F$9:$P$9,"&lt;&gt;",$F23:$P23),15-13*PO!$X$3))</f>
        <v>500</v>
      </c>
      <c r="F23" s="360">
        <f ca="1">OFFSET(PO!$P$12,ROW($E23)-ROW(F$12),0)</f>
        <v>500</v>
      </c>
      <c r="G23" s="360"/>
      <c r="H23" s="360"/>
      <c r="I23" s="360"/>
      <c r="J23" s="360"/>
      <c r="K23" s="360"/>
      <c r="L23" s="360"/>
      <c r="M23" s="360"/>
      <c r="N23" s="360"/>
      <c r="O23" s="360"/>
      <c r="U23" s="182"/>
    </row>
    <row r="24" spans="1:21" s="1" customFormat="1" ht="37.5" x14ac:dyDescent="0.25">
      <c r="A24" s="110" t="str">
        <f ca="1">OFFSET(PO!J$12,ROW(A24)-ROW($A$12),0)</f>
        <v>Serviço</v>
      </c>
      <c r="B24" s="112" t="str">
        <f ca="1">IF($A24=0,"",OFFSET(PO!K$12,ROW(B24)-ROW(B$12),0))</f>
        <v>4.2.</v>
      </c>
      <c r="C24" s="109" t="str">
        <f ca="1">IF(OFFSET(PO!N$12,ROW(C24)-ROW(C$12),0)=0,"",OFFSET(PO!N$12,ROW(C24)-ROW(C$12),0))</f>
        <v>CONSTRUÇÃO DE BASE E SUB-BASE PARA PAVIMENTAÇÃO DE BRITA GRADUADA SIMPLES, COM ESPESSURA DE 15 CM - EXCLUSIVE CARGA E TRANSPORTE. AF_09/2024</v>
      </c>
      <c r="D24" s="111" t="str">
        <f ca="1">IF(OFFSET(PO!O$12,ROW(D24)-ROW(D$12),0)=0,"",OFFSET(PO!O$12,ROW(D24)-ROW(D$12),0))</f>
        <v>M3</v>
      </c>
      <c r="E24" s="140">
        <f ca="1">IF($A24&lt;&gt;"Serviço",0,ROUND(SUMIF($F$9:$P$9,"&lt;&gt;",$F24:$P24),15-13*PO!$X$3))</f>
        <v>500</v>
      </c>
      <c r="F24" s="360">
        <f ca="1">OFFSET(PO!$P$12,ROW($E24)-ROW(F$12),0)</f>
        <v>500</v>
      </c>
      <c r="G24" s="360"/>
      <c r="H24" s="360"/>
      <c r="I24" s="360"/>
      <c r="J24" s="360"/>
      <c r="K24" s="360"/>
      <c r="L24" s="360"/>
      <c r="M24" s="360"/>
      <c r="N24" s="360"/>
      <c r="O24" s="360"/>
      <c r="U24" s="182"/>
    </row>
    <row r="25" spans="1:21" s="1" customFormat="1" x14ac:dyDescent="0.25">
      <c r="A25" s="69"/>
      <c r="B25" s="69"/>
      <c r="C25" s="69"/>
      <c r="D25" s="69"/>
      <c r="E25" s="69"/>
      <c r="F25" s="69"/>
      <c r="G25" s="69"/>
      <c r="H25" s="69"/>
      <c r="I25" s="69"/>
      <c r="J25" s="69"/>
      <c r="K25" s="69"/>
      <c r="L25" s="69"/>
      <c r="M25" s="69"/>
      <c r="N25" s="69"/>
      <c r="O25" s="69"/>
      <c r="U25" s="69"/>
    </row>
    <row r="26" spans="1:21" s="1" customFormat="1" x14ac:dyDescent="0.25">
      <c r="B26" s="4"/>
      <c r="C26" s="10"/>
      <c r="D26" s="4"/>
      <c r="E26" s="12"/>
      <c r="F26" s="12"/>
      <c r="G26" s="12"/>
      <c r="H26" s="12"/>
      <c r="I26" s="12"/>
      <c r="J26" s="12"/>
      <c r="K26" s="12"/>
      <c r="L26" s="12"/>
      <c r="M26" s="12"/>
      <c r="N26" s="12"/>
      <c r="O26" s="12"/>
      <c r="U26" s="12"/>
    </row>
    <row r="27" spans="1:21" s="1" customFormat="1" x14ac:dyDescent="0.25">
      <c r="B27" s="331" t="str">
        <f>PO!$K$36</f>
        <v>Concórdia/SC</v>
      </c>
      <c r="C27" s="331"/>
      <c r="D27" s="4"/>
      <c r="E27" s="12"/>
      <c r="F27" s="12"/>
      <c r="G27" s="12"/>
      <c r="H27" s="12"/>
      <c r="I27" s="12"/>
      <c r="J27" s="12"/>
      <c r="K27" s="12"/>
      <c r="L27" s="12"/>
      <c r="M27" s="12"/>
      <c r="N27" s="12"/>
      <c r="O27" s="12"/>
      <c r="U27" s="12"/>
    </row>
    <row r="28" spans="1:21" s="1" customFormat="1" ht="13" x14ac:dyDescent="0.3">
      <c r="B28" s="98" t="s">
        <v>120</v>
      </c>
      <c r="C28" s="10"/>
      <c r="D28" s="4"/>
      <c r="E28" s="12"/>
      <c r="F28" s="12"/>
      <c r="G28" s="12"/>
      <c r="H28" s="12"/>
      <c r="I28" s="12"/>
      <c r="J28" s="12"/>
      <c r="K28" s="12"/>
      <c r="L28" s="12"/>
      <c r="M28" s="12"/>
      <c r="N28" s="12"/>
      <c r="O28" s="12"/>
      <c r="U28" s="12"/>
    </row>
    <row r="29" spans="1:21" s="1" customFormat="1" x14ac:dyDescent="0.25">
      <c r="B29" s="10"/>
      <c r="C29" s="10"/>
      <c r="D29" s="4"/>
      <c r="E29" s="12"/>
      <c r="F29" s="12"/>
      <c r="G29" s="12"/>
      <c r="H29" s="12"/>
      <c r="I29" s="12"/>
      <c r="J29" s="12"/>
      <c r="K29" s="12"/>
      <c r="L29" s="12"/>
      <c r="M29" s="12"/>
      <c r="N29" s="12"/>
      <c r="O29" s="12"/>
      <c r="U29" s="12"/>
    </row>
    <row r="30" spans="1:21" s="1" customFormat="1" x14ac:dyDescent="0.25">
      <c r="B30" s="332">
        <f ca="1">PO!$K$39</f>
        <v>46220</v>
      </c>
      <c r="C30" s="332"/>
      <c r="D30" s="4"/>
      <c r="E30" s="12"/>
      <c r="F30" s="12"/>
      <c r="G30" s="12"/>
      <c r="H30" s="12"/>
      <c r="I30" s="12"/>
      <c r="J30" s="12"/>
      <c r="K30" s="12"/>
      <c r="L30" s="12"/>
      <c r="M30" s="12"/>
      <c r="N30" s="12"/>
      <c r="O30" s="12"/>
      <c r="U30" s="12"/>
    </row>
    <row r="31" spans="1:21" s="1" customFormat="1" ht="13" x14ac:dyDescent="0.3">
      <c r="B31" s="120" t="s">
        <v>121</v>
      </c>
      <c r="C31" s="121"/>
      <c r="D31" s="4"/>
      <c r="E31" s="12"/>
      <c r="F31" s="12"/>
      <c r="G31" s="12"/>
      <c r="H31" s="12"/>
      <c r="I31" s="12"/>
      <c r="J31" s="12"/>
      <c r="K31" s="12"/>
      <c r="L31" s="12"/>
      <c r="M31" s="12"/>
      <c r="N31" s="12"/>
      <c r="O31" s="12"/>
      <c r="U31" s="12"/>
    </row>
  </sheetData>
  <sheetProtection algorithmName="SHA-512" hashValue="7jtCiYQf4yOl9CDXGpNwTOZQmx8gHi7kWP5oXdl4gW76+QkT2X4ZMXjt6nivlMgPdkymN4Uio35sCqD5KfFFxQ==" saltValue="nN4f7VSXLCEVWsaqMQhKkg==" spinCount="100000" sheet="1" objects="1" scenarios="1"/>
  <mergeCells count="2">
    <mergeCell ref="B27:C27"/>
    <mergeCell ref="B30:C30"/>
  </mergeCells>
  <phoneticPr fontId="25" type="noConversion"/>
  <conditionalFormatting sqref="D11:E11 D13:E15 D17:E19 D21:E24">
    <cfRule type="expression" dxfId="114" priority="1216" stopIfTrue="1">
      <formula>$A11="Meta"</formula>
    </cfRule>
    <cfRule type="expression" dxfId="113" priority="1217" stopIfTrue="1">
      <formula>$A11&lt;&gt;"Serviço"</formula>
    </cfRule>
  </conditionalFormatting>
  <conditionalFormatting sqref="C11 C13:C15 C17:C19 C21:C24">
    <cfRule type="expression" dxfId="112" priority="1218" stopIfTrue="1">
      <formula>$A11="Meta"</formula>
    </cfRule>
    <cfRule type="expression" dxfId="111" priority="1219" stopIfTrue="1">
      <formula>$A11&lt;&gt;"Serviço"</formula>
    </cfRule>
  </conditionalFormatting>
  <conditionalFormatting sqref="A11:B11 A13:B15 A17:B19 A21:B24">
    <cfRule type="expression" dxfId="110" priority="1220" stopIfTrue="1">
      <formula>$A11="Meta"</formula>
    </cfRule>
    <cfRule type="expression" dxfId="109" priority="1221" stopIfTrue="1">
      <formula>LEFT($A11,5)="Nível"</formula>
    </cfRule>
    <cfRule type="expression" dxfId="108" priority="1222" stopIfTrue="1">
      <formula>$A11=0</formula>
    </cfRule>
  </conditionalFormatting>
  <conditionalFormatting sqref="U11 U13:U24 F13:O24">
    <cfRule type="expression" dxfId="107" priority="1232" stopIfTrue="1">
      <formula>$A11="Meta"</formula>
    </cfRule>
    <cfRule type="expression" dxfId="106" priority="1233" stopIfTrue="1">
      <formula>OR(F$9=0,$A11&lt;&gt;"Serviço")</formula>
    </cfRule>
    <cfRule type="expression" dxfId="105" priority="1234" stopIfTrue="1">
      <formula>TipoOrçamento="Licitado"</formula>
    </cfRule>
  </conditionalFormatting>
  <conditionalFormatting sqref="U9">
    <cfRule type="expression" dxfId="104" priority="654" stopIfTrue="1">
      <formula>AND(T9=0,U9=0)</formula>
    </cfRule>
    <cfRule type="expression" dxfId="103" priority="655" stopIfTrue="1">
      <formula>TipoOrçamento="Licitado"</formula>
    </cfRule>
  </conditionalFormatting>
  <conditionalFormatting sqref="F11:O11">
    <cfRule type="expression" dxfId="102" priority="614" stopIfTrue="1">
      <formula>$A11="Meta"</formula>
    </cfRule>
    <cfRule type="expression" dxfId="101" priority="615" stopIfTrue="1">
      <formula>OR(F$9=0,$A11&lt;&gt;"Serviço")</formula>
    </cfRule>
    <cfRule type="expression" dxfId="100" priority="616" stopIfTrue="1">
      <formula>TipoOrçamento="Licitado"</formula>
    </cfRule>
  </conditionalFormatting>
  <conditionalFormatting sqref="F9:O9">
    <cfRule type="expression" dxfId="99" priority="612" stopIfTrue="1">
      <formula>AND(E9=0,F9=0)</formula>
    </cfRule>
    <cfRule type="expression" dxfId="98" priority="613" stopIfTrue="1">
      <formula>TipoOrçamento="Licitado"</formula>
    </cfRule>
  </conditionalFormatting>
  <conditionalFormatting sqref="D20:E20">
    <cfRule type="expression" dxfId="97" priority="491" stopIfTrue="1">
      <formula>$A20="Meta"</formula>
    </cfRule>
    <cfRule type="expression" dxfId="96" priority="492" stopIfTrue="1">
      <formula>$A20&lt;&gt;"Serviço"</formula>
    </cfRule>
  </conditionalFormatting>
  <conditionalFormatting sqref="C20">
    <cfRule type="expression" dxfId="95" priority="493" stopIfTrue="1">
      <formula>$A20="Meta"</formula>
    </cfRule>
    <cfRule type="expression" dxfId="94" priority="494" stopIfTrue="1">
      <formula>$A20&lt;&gt;"Serviço"</formula>
    </cfRule>
  </conditionalFormatting>
  <conditionalFormatting sqref="A20:B20">
    <cfRule type="expression" dxfId="93" priority="495" stopIfTrue="1">
      <formula>$A20="Meta"</formula>
    </cfRule>
    <cfRule type="expression" dxfId="92" priority="496" stopIfTrue="1">
      <formula>LEFT($A20,5)="Nível"</formula>
    </cfRule>
    <cfRule type="expression" dxfId="91" priority="497" stopIfTrue="1">
      <formula>$A20=0</formula>
    </cfRule>
  </conditionalFormatting>
  <conditionalFormatting sqref="D16:E16">
    <cfRule type="expression" dxfId="90" priority="259" stopIfTrue="1">
      <formula>$A16="Meta"</formula>
    </cfRule>
    <cfRule type="expression" dxfId="89" priority="260" stopIfTrue="1">
      <formula>$A16&lt;&gt;"Serviço"</formula>
    </cfRule>
  </conditionalFormatting>
  <conditionalFormatting sqref="C16">
    <cfRule type="expression" dxfId="88" priority="261" stopIfTrue="1">
      <formula>$A16="Meta"</formula>
    </cfRule>
    <cfRule type="expression" dxfId="87" priority="262" stopIfTrue="1">
      <formula>$A16&lt;&gt;"Serviço"</formula>
    </cfRule>
  </conditionalFormatting>
  <conditionalFormatting sqref="A16:B16">
    <cfRule type="expression" dxfId="86" priority="263" stopIfTrue="1">
      <formula>$A16="Meta"</formula>
    </cfRule>
    <cfRule type="expression" dxfId="85" priority="264" stopIfTrue="1">
      <formula>LEFT($A16,5)="Nível"</formula>
    </cfRule>
    <cfRule type="expression" dxfId="84" priority="265" stopIfTrue="1">
      <formula>$A16=0</formula>
    </cfRule>
  </conditionalFormatting>
  <dataValidations count="1">
    <dataValidation type="decimal" operator="greaterThanOrEqual" allowBlank="1" showInputMessage="1" showErrorMessage="1" error="Digite apenas números._x000a__x000a_preferencialmente com 02 casas de precisão." sqref="U11 F11:O11 U14:U24 F14:O24"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30 B27" unlockedFormula="1"/>
    <ignoredError sqref="A12 C12" formula="1"/>
  </ignoredError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pageSetUpPr fitToPage="1"/>
  </sheetPr>
  <dimension ref="A1:AC61"/>
  <sheetViews>
    <sheetView showGridLines="0" topLeftCell="L1" zoomScaleNormal="100" zoomScaleSheetLayoutView="100" workbookViewId="0">
      <selection activeCell="N30" sqref="N30:N32"/>
    </sheetView>
  </sheetViews>
  <sheetFormatPr defaultColWidth="9.1796875" defaultRowHeight="12.5" x14ac:dyDescent="0.25"/>
  <cols>
    <col min="1" max="4" width="9.1796875" style="33" hidden="1" customWidth="1"/>
    <col min="5" max="8" width="5.7265625" style="33" hidden="1" customWidth="1"/>
    <col min="9" max="10" width="6.7265625" style="33" hidden="1" customWidth="1"/>
    <col min="11" max="11" width="10.7265625" style="33" hidden="1" customWidth="1"/>
    <col min="12" max="12" width="10.7265625" style="33" customWidth="1"/>
    <col min="13" max="13" width="40.54296875" style="33" customWidth="1"/>
    <col min="14" max="14" width="16.453125" style="37" customWidth="1"/>
    <col min="15" max="15" width="16.54296875" style="33" bestFit="1" customWidth="1"/>
    <col min="16" max="23" width="15.7265625" style="33" customWidth="1"/>
    <col min="24" max="24" width="0.81640625" style="36" customWidth="1"/>
    <col min="25" max="28" width="9.1796875" style="33"/>
    <col min="29" max="29" width="15.7265625" style="33" hidden="1" customWidth="1"/>
    <col min="30" max="16384" width="9.1796875" style="33"/>
  </cols>
  <sheetData>
    <row r="1" spans="1:29" s="32" customFormat="1" ht="13" customHeight="1" x14ac:dyDescent="0.25">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5">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5">
      <c r="A3"/>
      <c r="B3"/>
      <c r="C3"/>
      <c r="D3"/>
      <c r="E3"/>
      <c r="F3"/>
      <c r="G3"/>
      <c r="H3"/>
      <c r="I3"/>
      <c r="J3"/>
      <c r="K3"/>
      <c r="L3"/>
      <c r="M3"/>
      <c r="N3"/>
      <c r="O3"/>
      <c r="P3"/>
      <c r="Q3"/>
      <c r="R3"/>
      <c r="S3" s="1"/>
      <c r="T3"/>
      <c r="U3"/>
      <c r="V3"/>
      <c r="W3"/>
      <c r="X3"/>
      <c r="AC3"/>
    </row>
    <row r="4" spans="1:29" s="32" customFormat="1" ht="25" customHeight="1" x14ac:dyDescent="0.25">
      <c r="A4"/>
      <c r="B4"/>
      <c r="C4"/>
      <c r="D4"/>
      <c r="E4"/>
      <c r="F4"/>
      <c r="G4"/>
      <c r="H4"/>
      <c r="I4"/>
      <c r="J4"/>
      <c r="K4"/>
      <c r="L4"/>
      <c r="M4"/>
      <c r="N4"/>
      <c r="O4"/>
      <c r="P4"/>
      <c r="Q4"/>
      <c r="R4"/>
      <c r="S4"/>
      <c r="T4"/>
      <c r="U4"/>
      <c r="V4"/>
      <c r="W4"/>
      <c r="X4"/>
      <c r="AC4"/>
    </row>
    <row r="5" spans="1:29" s="32" customFormat="1" ht="25" customHeight="1" x14ac:dyDescent="0.25">
      <c r="A5"/>
      <c r="B5"/>
      <c r="C5"/>
      <c r="D5"/>
      <c r="E5"/>
      <c r="F5"/>
      <c r="G5"/>
      <c r="H5"/>
      <c r="I5"/>
      <c r="J5"/>
      <c r="K5"/>
      <c r="L5"/>
      <c r="M5"/>
      <c r="N5"/>
      <c r="O5"/>
      <c r="P5"/>
      <c r="Q5"/>
      <c r="R5"/>
      <c r="S5"/>
      <c r="T5"/>
      <c r="U5"/>
      <c r="V5"/>
      <c r="W5"/>
      <c r="X5"/>
      <c r="AC5"/>
    </row>
    <row r="6" spans="1:29" s="32" customFormat="1" ht="25" customHeight="1" x14ac:dyDescent="0.25">
      <c r="A6"/>
      <c r="B6"/>
      <c r="C6"/>
      <c r="D6"/>
      <c r="E6"/>
      <c r="F6"/>
      <c r="G6"/>
      <c r="H6"/>
      <c r="I6"/>
      <c r="J6"/>
      <c r="K6"/>
      <c r="L6"/>
      <c r="M6"/>
      <c r="N6"/>
      <c r="O6"/>
      <c r="P6"/>
      <c r="Q6"/>
      <c r="R6"/>
      <c r="S6"/>
      <c r="T6"/>
      <c r="U6"/>
      <c r="V6"/>
      <c r="W6"/>
      <c r="X6"/>
      <c r="AC6"/>
    </row>
    <row r="7" spans="1:29" s="32" customFormat="1" ht="21.75" customHeight="1" x14ac:dyDescent="0.25">
      <c r="A7"/>
      <c r="B7"/>
      <c r="C7"/>
      <c r="D7"/>
      <c r="E7"/>
      <c r="F7"/>
      <c r="G7"/>
      <c r="H7"/>
      <c r="I7"/>
      <c r="J7"/>
      <c r="K7"/>
      <c r="L7"/>
      <c r="M7"/>
      <c r="N7"/>
      <c r="O7"/>
      <c r="P7"/>
      <c r="Q7"/>
      <c r="R7"/>
      <c r="S7"/>
      <c r="T7"/>
      <c r="U7"/>
      <c r="V7"/>
      <c r="W7"/>
      <c r="X7"/>
      <c r="AC7"/>
    </row>
    <row r="8" spans="1:29" s="32" customFormat="1" ht="30" customHeight="1" x14ac:dyDescent="0.25">
      <c r="A8" s="150" t="s">
        <v>176</v>
      </c>
      <c r="B8"/>
      <c r="C8"/>
      <c r="D8"/>
      <c r="E8"/>
      <c r="F8"/>
      <c r="G8"/>
      <c r="H8"/>
      <c r="I8"/>
      <c r="J8"/>
      <c r="K8"/>
      <c r="L8" s="353" t="str">
        <f ca="1">IF(MAX($A$14:$A$52)&lt;&gt;MAX(PO!$V$12:$V$25),"ERRO: CRONOGRAMA DESATUALIZADO",IF(OR(COUNTIF($O$16:$X$16,"&gt;1")&gt;0,OFFSET($X$17,0,-1)&lt;&gt;$N$14),"ERRO: CRONOGRAMA NÃO FECHA EM 100%",""))</f>
        <v>ERRO: CRONOGRAMA DESATUALIZADO</v>
      </c>
      <c r="M8" s="353"/>
      <c r="N8" s="136" t="str">
        <f>IF(TipoOrçamento="REPROGRAMADOAC","Qtde de Medições realizadas","")</f>
        <v/>
      </c>
      <c r="O8" s="151"/>
      <c r="P8"/>
      <c r="Q8"/>
      <c r="R8"/>
      <c r="S8"/>
      <c r="T8"/>
      <c r="U8"/>
      <c r="V8"/>
      <c r="W8"/>
      <c r="X8"/>
      <c r="AC8"/>
    </row>
    <row r="9" spans="1:29" s="32" customFormat="1" ht="14.15" customHeight="1" x14ac:dyDescent="0.25">
      <c r="A9" s="141">
        <v>1</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3">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20/06/26</v>
      </c>
      <c r="P10" s="186" t="str">
        <f ca="1">IF(AND(TipoOrçamento="REPROGRAMADOAC",$N$9&gt;0,N10="Valores Totais (R$)"),"Parcela "&amp;$N$9&amp;" Executado","Parcela "&amp;P$9&amp;CHAR(10)&amp;TEXT(DATE(YEAR(DADOS!$A$48),MONTH(DADOS!$A$48)+P$9-IF(AND(TipoOrçamento="REPROGRAMADOAC",$N$9&gt;0),$N$9,0),1),"mmm/aa"))</f>
        <v>Parcela 1
jul/26</v>
      </c>
      <c r="Q10" s="177" t="str">
        <f ca="1">IF(AND(TipoOrçamento="REPROGRAMADOAC",$N$9&gt;0,O10="Valores Totais (R$)"),"Parcela "&amp;$N$9&amp;" Executado","Parcela "&amp;Q$9&amp;CHAR(10)&amp;TEXT(DATE(YEAR(DADOS!$A$48),MONTH(DADOS!$A$48)+Q$9-IF(AND(TipoOrçamento="REPROGRAMADOAC",$N$9&gt;0),$N$9,0),1),"mmm/aa"))</f>
        <v>Parcela 2
ago/26</v>
      </c>
      <c r="R10" s="177" t="str">
        <f ca="1">IF(AND(TipoOrçamento="REPROGRAMADOAC",$N$9&gt;0,P10="Valores Totais (R$)"),"Parcela "&amp;$N$9&amp;" Executado","Parcela "&amp;R$9&amp;CHAR(10)&amp;TEXT(DATE(YEAR(DADOS!$A$48),MONTH(DADOS!$A$48)+R$9-IF(AND(TipoOrçamento="REPROGRAMADOAC",$N$9&gt;0),$N$9,0),1),"mmm/aa"))</f>
        <v>Parcela 3
set/26</v>
      </c>
      <c r="S10" s="177" t="str">
        <f ca="1">IF(AND(TipoOrçamento="REPROGRAMADOAC",$N$9&gt;0,Q10="Valores Totais (R$)"),"Parcela "&amp;$N$9&amp;" Executado","Parcela "&amp;S$9&amp;CHAR(10)&amp;TEXT(DATE(YEAR(DADOS!$A$48),MONTH(DADOS!$A$48)+S$9-IF(AND(TipoOrçamento="REPROGRAMADOAC",$N$9&gt;0),$N$9,0),1),"mmm/aa"))</f>
        <v>Parcela 4
out/26</v>
      </c>
      <c r="T10" s="177" t="str">
        <f ca="1">IF(AND(TipoOrçamento="REPROGRAMADOAC",$N$9&gt;0,R10="Valores Totais (R$)"),"Parcela "&amp;$N$9&amp;" Executado","Parcela "&amp;T$9&amp;CHAR(10)&amp;TEXT(DATE(YEAR(DADOS!$A$48),MONTH(DADOS!$A$48)+T$9-IF(AND(TipoOrçamento="REPROGRAMADOAC",$N$9&gt;0),$N$9,0),1),"mmm/aa"))</f>
        <v>Parcela 5
nov/26</v>
      </c>
      <c r="U10" s="177" t="str">
        <f ca="1">IF(AND(TipoOrçamento="REPROGRAMADOAC",$N$9&gt;0,S10="Valores Totais (R$)"),"Parcela "&amp;$N$9&amp;" Executado","Parcela "&amp;U$9&amp;CHAR(10)&amp;TEXT(DATE(YEAR(DADOS!$A$48),MONTH(DADOS!$A$48)+U$9-IF(AND(TipoOrçamento="REPROGRAMADOAC",$N$9&gt;0),$N$9,0),1),"mmm/aa"))</f>
        <v>Parcela 6
dez/26</v>
      </c>
      <c r="V10" s="177" t="str">
        <f ca="1">IF(AND(TipoOrçamento="REPROGRAMADOAC",$N$9&gt;0,T10="Valores Totais (R$)"),"Parcela "&amp;$N$9&amp;" Executado","Parcela "&amp;V$9&amp;CHAR(10)&amp;TEXT(DATE(YEAR(DADOS!$A$48),MONTH(DADOS!$A$48)+V$9-IF(AND(TipoOrçamento="REPROGRAMADOAC",$N$9&gt;0),$N$9,0),1),"mmm/aa"))</f>
        <v>Parcela 7
jan/27</v>
      </c>
      <c r="W10" s="189" t="str">
        <f ca="1">IF(AND(TipoOrçamento="REPROGRAMADOAC",$N$9&gt;0,U10="Valores Totais (R$)"),"Parcela "&amp;$N$9&amp;" Executado","Parcela "&amp;W$9&amp;CHAR(10)&amp;TEXT(DATE(YEAR(DADOS!$A$48),MONTH(DADOS!$A$48)+W$9-IF(AND(TipoOrçamento="REPROGRAMADOAC",$N$9&gt;0),$N$9,0),1),"mmm/aa"))</f>
        <v>Parcela 8
fev/27</v>
      </c>
      <c r="X10" s="162"/>
      <c r="AC10" s="177" t="str">
        <f ca="1">IF(AND(TipoOrçamento="REPROGRAMADOAC",$N$9&gt;0,AA10="Valores Totais (R$)"),"Parcela "&amp;$N$9&amp;" Executado","Parcela "&amp;AC$9&amp;CHAR(10)&amp;TEXT(DATE(YEAR(DADOS!$A$48),MONTH(DADOS!$A$48)+AC$9-IF(AND(TipoOrçamento="REPROGRAMADOAC",$N$9&gt;0),$N$9,0),1),"mmm/aa"))</f>
        <v>Parcela 1
jul/26</v>
      </c>
    </row>
    <row r="11" spans="1:29" customFormat="1" ht="14.25" hidden="1" customHeight="1" x14ac:dyDescent="0.25">
      <c r="A11" s="1"/>
      <c r="B11" s="1"/>
      <c r="C11" s="1"/>
      <c r="D11" s="1"/>
      <c r="E11" s="1"/>
      <c r="F11" s="1"/>
      <c r="G11" s="1"/>
      <c r="H11" s="1"/>
      <c r="I11" s="1"/>
      <c r="J11" s="1"/>
      <c r="K11" s="1"/>
      <c r="L11" s="338" t="e">
        <f ca="1">INDEX(PO!K$12:K$25,MATCH($A13,PO!$V$12:$V$25,0))</f>
        <v>#VALUE!</v>
      </c>
      <c r="M11" s="333" t="e">
        <f ca="1">INDEX(PO!N$12:N$25,MATCH($A13,PO!$V$12:$V$25,0))</f>
        <v>#VALUE!</v>
      </c>
      <c r="N11" s="335"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 hidden="1" x14ac:dyDescent="0.25">
      <c r="A12" s="11"/>
      <c r="B12" s="11"/>
      <c r="C12" s="11"/>
      <c r="D12" s="11"/>
      <c r="E12" s="11"/>
      <c r="F12" s="11"/>
      <c r="G12" s="11"/>
      <c r="H12" s="11"/>
      <c r="I12" s="11"/>
      <c r="J12" s="11"/>
      <c r="K12" s="11"/>
      <c r="L12" s="339"/>
      <c r="M12" s="334"/>
      <c r="N12" s="336"/>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 hidden="1" x14ac:dyDescent="0.25">
      <c r="A13" s="11" t="e">
        <f ca="1">OFFSET(A13,-CFF.NumLinha,0)+1</f>
        <v>#VALUE!</v>
      </c>
      <c r="B13" s="11" t="e">
        <f ca="1">$C13&gt;=OFFSET($C13,CFF.NumLinha,0)</f>
        <v>#VALUE!</v>
      </c>
      <c r="C13" s="11" t="e">
        <f ca="1">INDEX(PO!A$12:A$25,MATCH($A13,PO!$V$12:$V$25,0))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MATCH(0,OFFSET($D13,1,$C13,ROW($A$51)-ROW($A13)),0)</f>
        <v>#VALUE!</v>
      </c>
      <c r="J13" s="11" t="e">
        <f ca="1">MATCH(OFFSET($D13,0,$C13)+1,OFFSET($D13,1,$C13,ROW($A$51)-ROW($A13)),0)</f>
        <v>#VALUE!</v>
      </c>
      <c r="K13" s="156" t="e">
        <f ca="1">ROUND(INDEX(PO!T$12:T$25,MATCH($A13,PO!$V$12:$V$25,0)),2)+10^-12</f>
        <v>#VALUE!</v>
      </c>
      <c r="L13" s="339"/>
      <c r="M13" s="334"/>
      <c r="N13" s="336"/>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5">
      <c r="A14"/>
      <c r="B14"/>
      <c r="C14"/>
      <c r="D14"/>
      <c r="E14"/>
      <c r="F14"/>
      <c r="G14"/>
      <c r="H14"/>
      <c r="I14"/>
      <c r="J14"/>
      <c r="K14"/>
      <c r="L14" s="340" t="s">
        <v>19</v>
      </c>
      <c r="M14" s="341"/>
      <c r="N14" s="346">
        <f ca="1">IF(PO!$T$12=0,10^-12,PO!$T$12)</f>
        <v>9.9999999999999998E-13</v>
      </c>
      <c r="O14" s="142" t="s">
        <v>143</v>
      </c>
      <c r="P14" s="172" t="e">
        <f ca="1">ROUND(P15/$N14,4)</f>
        <v>#N/A</v>
      </c>
      <c r="Q14" s="173" t="e">
        <f t="shared" ref="Q14:W14" ca="1" si="4">ROUND(Q15/$N14,4)</f>
        <v>#N/A</v>
      </c>
      <c r="R14" s="173" t="e">
        <f t="shared" ca="1" si="4"/>
        <v>#N/A</v>
      </c>
      <c r="S14" s="173" t="e">
        <f t="shared" ca="1" si="4"/>
        <v>#N/A</v>
      </c>
      <c r="T14" s="173" t="e">
        <f t="shared" ca="1" si="4"/>
        <v>#N/A</v>
      </c>
      <c r="U14" s="173" t="e">
        <f t="shared" ca="1" si="4"/>
        <v>#N/A</v>
      </c>
      <c r="V14" s="173" t="e">
        <f t="shared" ca="1" si="4"/>
        <v>#N/A</v>
      </c>
      <c r="W14" s="173" t="e">
        <f t="shared" ca="1" si="4"/>
        <v>#N/A</v>
      </c>
      <c r="X14" s="146"/>
      <c r="AC14" s="173" t="e">
        <f ca="1">ROUND(AC15/$N14,4)</f>
        <v>#N/A</v>
      </c>
    </row>
    <row r="15" spans="1:29" s="35" customFormat="1" ht="12.75" customHeight="1" x14ac:dyDescent="0.25">
      <c r="A15"/>
      <c r="B15"/>
      <c r="C15"/>
      <c r="D15"/>
      <c r="E15"/>
      <c r="F15"/>
      <c r="G15"/>
      <c r="H15"/>
      <c r="I15"/>
      <c r="J15"/>
      <c r="K15"/>
      <c r="L15" s="342"/>
      <c r="M15" s="343"/>
      <c r="N15" s="347"/>
      <c r="O15" s="132" t="s">
        <v>144</v>
      </c>
      <c r="P15" s="167" t="e">
        <f ca="1">P17-IF(ISNUMBER(O17),O17,0)</f>
        <v>#N/A</v>
      </c>
      <c r="Q15" s="127" t="e">
        <f t="shared" ref="Q15:W15" ca="1" si="5">Q17-IF(ISNUMBER(P17),P17,0)</f>
        <v>#N/A</v>
      </c>
      <c r="R15" s="127" t="e">
        <f t="shared" ca="1" si="5"/>
        <v>#N/A</v>
      </c>
      <c r="S15" s="127" t="e">
        <f t="shared" ca="1" si="5"/>
        <v>#N/A</v>
      </c>
      <c r="T15" s="127" t="e">
        <f t="shared" ca="1" si="5"/>
        <v>#N/A</v>
      </c>
      <c r="U15" s="127" t="e">
        <f t="shared" ca="1" si="5"/>
        <v>#N/A</v>
      </c>
      <c r="V15" s="127" t="e">
        <f t="shared" ca="1" si="5"/>
        <v>#N/A</v>
      </c>
      <c r="W15" s="127" t="e">
        <f t="shared" ca="1" si="5"/>
        <v>#N/A</v>
      </c>
      <c r="X15" s="146"/>
      <c r="AC15" s="127" t="e">
        <f ca="1">AC17-IF(ISNUMBER(AB17),AB17,0)</f>
        <v>#N/A</v>
      </c>
    </row>
    <row r="16" spans="1:29" s="35" customFormat="1" ht="12.75" customHeight="1" x14ac:dyDescent="0.25">
      <c r="A16"/>
      <c r="B16"/>
      <c r="C16"/>
      <c r="D16"/>
      <c r="E16"/>
      <c r="F16"/>
      <c r="G16"/>
      <c r="H16"/>
      <c r="I16"/>
      <c r="J16"/>
      <c r="K16"/>
      <c r="L16" s="342"/>
      <c r="M16" s="343"/>
      <c r="N16" s="347"/>
      <c r="O16" s="133" t="s">
        <v>145</v>
      </c>
      <c r="P16" s="168" t="e">
        <f ca="1">ROUND(P17/$N14,4)</f>
        <v>#N/A</v>
      </c>
      <c r="Q16" s="128" t="e">
        <f t="shared" ref="Q16:W16" ca="1" si="6">ROUND(Q17/$N14,4)</f>
        <v>#N/A</v>
      </c>
      <c r="R16" s="128" t="e">
        <f t="shared" ca="1" si="6"/>
        <v>#N/A</v>
      </c>
      <c r="S16" s="128" t="e">
        <f t="shared" ca="1" si="6"/>
        <v>#N/A</v>
      </c>
      <c r="T16" s="128" t="e">
        <f t="shared" ca="1" si="6"/>
        <v>#N/A</v>
      </c>
      <c r="U16" s="128" t="e">
        <f t="shared" ca="1" si="6"/>
        <v>#N/A</v>
      </c>
      <c r="V16" s="128" t="e">
        <f t="shared" ca="1" si="6"/>
        <v>#N/A</v>
      </c>
      <c r="W16" s="128" t="e">
        <f t="shared" ca="1" si="6"/>
        <v>#N/A</v>
      </c>
      <c r="X16" s="146"/>
      <c r="AC16" s="128" t="e">
        <f ca="1">ROUND(AC17/$N14,4)</f>
        <v>#N/A</v>
      </c>
    </row>
    <row r="17" spans="1:29" s="35" customFormat="1" ht="12.75" customHeight="1" x14ac:dyDescent="0.25">
      <c r="A17" s="19">
        <v>0</v>
      </c>
      <c r="B17"/>
      <c r="C17"/>
      <c r="D17" s="19">
        <f>ROW(D$51)-ROW(D18)</f>
        <v>33</v>
      </c>
      <c r="E17"/>
      <c r="F17"/>
      <c r="G17"/>
      <c r="H17"/>
      <c r="I17"/>
      <c r="J17"/>
      <c r="K17"/>
      <c r="L17" s="344"/>
      <c r="M17" s="345"/>
      <c r="N17" s="348"/>
      <c r="O17" s="134" t="s">
        <v>20</v>
      </c>
      <c r="P17" s="169" t="e">
        <f ca="1">SUMIF(OFFSET($C17,1,0):$C$51,1,OFFSET(P17,1,0):P$51)</f>
        <v>#N/A</v>
      </c>
      <c r="Q17" s="129" t="e">
        <f ca="1">SUMIF(OFFSET($C17,1,0):$C$51,1,OFFSET(Q17,1,0):Q$51)</f>
        <v>#N/A</v>
      </c>
      <c r="R17" s="129" t="e">
        <f ca="1">SUMIF(OFFSET($C17,1,0):$C$51,1,OFFSET(R17,1,0):R$51)</f>
        <v>#N/A</v>
      </c>
      <c r="S17" s="129" t="e">
        <f ca="1">SUMIF(OFFSET($C17,1,0):$C$51,1,OFFSET(S17,1,0):S$51)</f>
        <v>#N/A</v>
      </c>
      <c r="T17" s="129" t="e">
        <f ca="1">SUMIF(OFFSET($C17,1,0):$C$51,1,OFFSET(T17,1,0):T$51)</f>
        <v>#N/A</v>
      </c>
      <c r="U17" s="129" t="e">
        <f ca="1">SUMIF(OFFSET($C17,1,0):$C$51,1,OFFSET(U17,1,0):U$51)</f>
        <v>#N/A</v>
      </c>
      <c r="V17" s="129" t="e">
        <f ca="1">SUMIF(OFFSET($C17,1,0):$C$51,1,OFFSET(V17,1,0):V$51)</f>
        <v>#N/A</v>
      </c>
      <c r="W17" s="129" t="e">
        <f ca="1">SUMIF(OFFSET($C17,1,0):$C$51,1,OFFSET(W17,1,0):W$51)</f>
        <v>#N/A</v>
      </c>
      <c r="X17" s="146"/>
      <c r="AC17" s="129" t="e">
        <f ca="1">SUMIF(OFFSET($C17,1,0):$C$51,1,OFFSET(AC17,1,0):AC$51)</f>
        <v>#N/A</v>
      </c>
    </row>
    <row r="18" spans="1:29" customFormat="1" ht="14.25" customHeight="1" x14ac:dyDescent="0.25">
      <c r="L18" s="338" t="str">
        <f ca="1">INDEX(PO!K$12:K$25,MATCH($A20,PO!$V$12:$V$25,0))</f>
        <v>1.</v>
      </c>
      <c r="M18" s="333" t="str">
        <f ca="1">INDEX(PO!N$12:N$25,MATCH($A20,PO!$V$12:$V$25,0))</f>
        <v>TAPA BURACO</v>
      </c>
      <c r="N18" s="335">
        <f ca="1">IF(ROUND(K20,2)=0,K20,ROUND(K20,2))</f>
        <v>9.9999999999999998E-13</v>
      </c>
      <c r="O18" s="170" t="s">
        <v>143</v>
      </c>
      <c r="P18" s="192">
        <v>1</v>
      </c>
      <c r="Q18" s="193">
        <f t="shared" ref="Q18:W18" ca="1" si="7">IF($B20,0,Q19-IF(ISNUMBER(P19),P19,0))</f>
        <v>0</v>
      </c>
      <c r="R18" s="193">
        <f t="shared" ca="1" si="7"/>
        <v>0</v>
      </c>
      <c r="S18" s="193">
        <f t="shared" ca="1" si="7"/>
        <v>0</v>
      </c>
      <c r="T18" s="193">
        <f t="shared" ca="1" si="7"/>
        <v>0</v>
      </c>
      <c r="U18" s="193">
        <f t="shared" ca="1" si="7"/>
        <v>0</v>
      </c>
      <c r="V18" s="193">
        <f t="shared" ca="1" si="7"/>
        <v>0</v>
      </c>
      <c r="W18" s="194">
        <f t="shared" ca="1" si="7"/>
        <v>0</v>
      </c>
      <c r="X18" s="164" t="s">
        <v>106</v>
      </c>
      <c r="AC18" s="188">
        <f ca="1">IF($B20,0,AC19-IF(ISNUMBER(AB19),AB19,0))</f>
        <v>0</v>
      </c>
    </row>
    <row r="19" spans="1:29" customFormat="1" ht="14" x14ac:dyDescent="0.25">
      <c r="L19" s="339"/>
      <c r="M19" s="334"/>
      <c r="N19" s="336"/>
      <c r="O19" s="145" t="s">
        <v>145</v>
      </c>
      <c r="P19" s="165">
        <f t="shared" ref="P19:W19" ca="1" si="8">MIN(IF($B20,P18+IF(ISNUMBER(O19),O19,0),P20/$N18),1)</f>
        <v>1</v>
      </c>
      <c r="Q19" s="143">
        <f t="shared" ca="1" si="8"/>
        <v>1</v>
      </c>
      <c r="R19" s="143">
        <f t="shared" ca="1" si="8"/>
        <v>1</v>
      </c>
      <c r="S19" s="143">
        <f t="shared" ca="1" si="8"/>
        <v>1</v>
      </c>
      <c r="T19" s="143">
        <f t="shared" ca="1" si="8"/>
        <v>1</v>
      </c>
      <c r="U19" s="143">
        <f t="shared" ca="1" si="8"/>
        <v>1</v>
      </c>
      <c r="V19" s="143">
        <f t="shared" ca="1" si="8"/>
        <v>1</v>
      </c>
      <c r="W19" s="143">
        <f t="shared" ca="1" si="8"/>
        <v>1</v>
      </c>
      <c r="X19" s="163"/>
      <c r="AC19" s="143">
        <f ca="1">MIN(IF($B20,AC18+IF(ISNUMBER(AB19),AB19,0),AC20/$N18),1)</f>
        <v>0</v>
      </c>
    </row>
    <row r="20" spans="1:29" customFormat="1" ht="14" x14ac:dyDescent="0.25">
      <c r="A20" s="19">
        <f ca="1">OFFSET(A20,-CFF.NumLinha,0)+1</f>
        <v>1</v>
      </c>
      <c r="B20" t="b">
        <f ca="1">$C20&gt;=OFFSET($C20,CFF.NumLinha,0)</f>
        <v>1</v>
      </c>
      <c r="C20" s="11">
        <f ca="1">INDEX(PO!A$12:A$25,MATCH($A20,PO!$V$12:$V$25,0))</f>
        <v>1</v>
      </c>
      <c r="D20" s="11">
        <f ca="1">IF(ISERROR(J20),I20,SMALL(I20:J20,1))-1</f>
        <v>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MATCH(0,OFFSET($D20,1,$C20,ROW($A$51)-ROW($A20)),0)</f>
        <v>31</v>
      </c>
      <c r="J20" s="11">
        <f ca="1">MATCH(OFFSET($D20,0,$C20)+1,OFFSET($D20,1,$C20,ROW($A$51)-ROW($A20)),0)</f>
        <v>3</v>
      </c>
      <c r="K20" s="156">
        <f ca="1">ROUND(INDEX(PO!T$12:T$25,MATCH($A20,PO!$V$12:$V$25,0)),2)+10^-12</f>
        <v>9.9999999999999998E-13</v>
      </c>
      <c r="L20" s="339"/>
      <c r="M20" s="334"/>
      <c r="N20" s="336"/>
      <c r="O20" s="171" t="s">
        <v>20</v>
      </c>
      <c r="P20" s="166">
        <f t="shared" ref="P20:W20" ca="1" si="9">IF($B20,ROUND(P19*$N18,2),ROUND(SUMIF(OFFSET($B20,1,0,$D20),TRUE,OFFSET(P20,1,0,$D20))/SUMIF(OFFSET($B20,1,0,$D20),TRUE,OFFSET($K20,1,0,$D20))*$N18,2))</f>
        <v>0</v>
      </c>
      <c r="Q20" s="144">
        <f t="shared" ca="1" si="9"/>
        <v>0</v>
      </c>
      <c r="R20" s="144">
        <f t="shared" ca="1" si="9"/>
        <v>0</v>
      </c>
      <c r="S20" s="144">
        <f t="shared" ca="1" si="9"/>
        <v>0</v>
      </c>
      <c r="T20" s="144">
        <f t="shared" ca="1" si="9"/>
        <v>0</v>
      </c>
      <c r="U20" s="144">
        <f t="shared" ca="1" si="9"/>
        <v>0</v>
      </c>
      <c r="V20" s="144">
        <f t="shared" ca="1" si="9"/>
        <v>0</v>
      </c>
      <c r="W20" s="174">
        <f t="shared" ca="1" si="9"/>
        <v>0</v>
      </c>
      <c r="X20" s="163"/>
      <c r="AC20" s="144">
        <f ca="1">IF($B20,ROUND(AC19*$N18,2),ROUND(SUMIF(OFFSET($B20,1,0,$D20),TRUE,OFFSET(AC20,1,0,$D20))/SUMIF(OFFSET($B20,1,0,$D20),TRUE,OFFSET($K20,1,0,$D20))*$N18,2))</f>
        <v>0</v>
      </c>
    </row>
    <row r="21" spans="1:29" customFormat="1" ht="14.25" customHeight="1" x14ac:dyDescent="0.25">
      <c r="A21" s="1"/>
      <c r="B21" s="1"/>
      <c r="C21" s="1"/>
      <c r="D21" s="1"/>
      <c r="E21" s="1"/>
      <c r="F21" s="1"/>
      <c r="G21" s="1"/>
      <c r="H21" s="1"/>
      <c r="I21" s="1"/>
      <c r="J21" s="1"/>
      <c r="K21" s="1"/>
      <c r="L21" s="338" t="str">
        <f ca="1">INDEX(PO!K$12:K$25,MATCH($A23,PO!$V$12:$V$25,0))</f>
        <v>2.</v>
      </c>
      <c r="M21" s="333" t="str">
        <f ca="1">INDEX(PO!N$12:N$25,MATCH($A23,PO!$V$12:$V$25,0))</f>
        <v>RECAPEAMENTO</v>
      </c>
      <c r="N21" s="335">
        <f t="shared" ref="N21" ca="1" si="10">IF(ROUND(K23,2)=0,K23,ROUND(K23,2))</f>
        <v>9.9999999999999998E-13</v>
      </c>
      <c r="O21" s="187" t="s">
        <v>143</v>
      </c>
      <c r="P21" s="192">
        <v>1</v>
      </c>
      <c r="Q21" s="193">
        <v>0.2</v>
      </c>
      <c r="R21" s="193">
        <f t="shared" ref="R21" ca="1" si="11">IF($B23,0,R22-IF(ISNUMBER(Q22),Q22,0))</f>
        <v>0</v>
      </c>
      <c r="S21" s="193">
        <f t="shared" ref="S21" ca="1" si="12">IF($B23,0,S22-IF(ISNUMBER(R22),R22,0))</f>
        <v>0</v>
      </c>
      <c r="T21" s="193">
        <f t="shared" ref="T21" ca="1" si="13">IF($B23,0,T22-IF(ISNUMBER(S22),S22,0))</f>
        <v>0</v>
      </c>
      <c r="U21" s="193">
        <f t="shared" ref="U21" ca="1" si="14">IF($B23,0,U22-IF(ISNUMBER(T22),T22,0))</f>
        <v>0</v>
      </c>
      <c r="V21" s="193">
        <f t="shared" ref="V21" ca="1" si="15">IF($B23,0,V22-IF(ISNUMBER(U22),U22,0))</f>
        <v>0</v>
      </c>
      <c r="W21" s="194">
        <f t="shared" ref="W21" ca="1" si="16">IF($B23,0,W22-IF(ISNUMBER(V22),V22,0))</f>
        <v>0</v>
      </c>
      <c r="X21" s="163"/>
      <c r="AC21" s="188">
        <f t="shared" ref="AC21" ca="1" si="17">IF($B23,0,AC22-IF(ISNUMBER(AB22),AB22,0))</f>
        <v>0</v>
      </c>
    </row>
    <row r="22" spans="1:29" customFormat="1" ht="14" x14ac:dyDescent="0.25">
      <c r="A22" s="11"/>
      <c r="B22" s="11"/>
      <c r="C22" s="11"/>
      <c r="D22" s="11"/>
      <c r="E22" s="11"/>
      <c r="F22" s="11"/>
      <c r="G22" s="11"/>
      <c r="H22" s="11"/>
      <c r="I22" s="11"/>
      <c r="J22" s="11"/>
      <c r="K22" s="11"/>
      <c r="L22" s="339"/>
      <c r="M22" s="334"/>
      <c r="N22" s="336"/>
      <c r="O22" s="145" t="s">
        <v>145</v>
      </c>
      <c r="P22" s="165">
        <f t="shared" ref="P22" ca="1" si="18">MIN(IF($B23,P21+IF(ISNUMBER(O22),O22,0),P23/$N21),1)</f>
        <v>1</v>
      </c>
      <c r="Q22" s="143">
        <f t="shared" ref="Q22" ca="1" si="19">MIN(IF($B23,Q21+IF(ISNUMBER(P22),P22,0),Q23/$N21),1)</f>
        <v>1</v>
      </c>
      <c r="R22" s="143">
        <f t="shared" ref="R22" ca="1" si="20">MIN(IF($B23,R21+IF(ISNUMBER(Q22),Q22,0),R23/$N21),1)</f>
        <v>1</v>
      </c>
      <c r="S22" s="143">
        <f t="shared" ref="S22" ca="1" si="21">MIN(IF($B23,S21+IF(ISNUMBER(R22),R22,0),S23/$N21),1)</f>
        <v>1</v>
      </c>
      <c r="T22" s="143">
        <f t="shared" ref="T22" ca="1" si="22">MIN(IF($B23,T21+IF(ISNUMBER(S22),S22,0),T23/$N21),1)</f>
        <v>1</v>
      </c>
      <c r="U22" s="143">
        <f t="shared" ref="U22" ca="1" si="23">MIN(IF($B23,U21+IF(ISNUMBER(T22),T22,0),U23/$N21),1)</f>
        <v>1</v>
      </c>
      <c r="V22" s="143">
        <f t="shared" ref="V22" ca="1" si="24">MIN(IF($B23,V21+IF(ISNUMBER(U22),U22,0),V23/$N21),1)</f>
        <v>1</v>
      </c>
      <c r="W22" s="143">
        <f t="shared" ref="W22" ca="1" si="25">MIN(IF($B23,W21+IF(ISNUMBER(V22),V22,0),W23/$N21),1)</f>
        <v>1</v>
      </c>
      <c r="X22" s="163"/>
      <c r="AC22" s="143">
        <f t="shared" ref="AC22" ca="1" si="26">MIN(IF($B23,AC21+IF(ISNUMBER(AB22),AB22,0),AC23/$N21),1)</f>
        <v>0</v>
      </c>
    </row>
    <row r="23" spans="1:29" customFormat="1" ht="14" x14ac:dyDescent="0.25">
      <c r="A23" s="11">
        <f ca="1">OFFSET(A23,-CFF.NumLinha,0)+1</f>
        <v>2</v>
      </c>
      <c r="B23" s="11" t="b">
        <f ca="1">$C23&gt;=OFFSET($C23,CFF.NumLinha,0)</f>
        <v>1</v>
      </c>
      <c r="C23" s="11">
        <f ca="1">INDEX(PO!A$12:A$25,MATCH($A23,PO!$V$12:$V$25,0))</f>
        <v>1</v>
      </c>
      <c r="D23" s="11">
        <f t="shared" ref="D23" ca="1" si="27">IF(ISERROR(J23),I23,SMALL(I23:J23,1))-1</f>
        <v>2</v>
      </c>
      <c r="E23" s="11">
        <f ca="1">IF($C23=1,OFFSET(E23,-CFF.NumLinha,0)+1,OFFSET(E23,-CFF.NumLinha,0))</f>
        <v>2</v>
      </c>
      <c r="F23" s="11">
        <f ca="1">IF($C23=1,0,IF($C23=2,OFFSET(F23,-CFF.NumLinha,0)+1,OFFSET(F23,-CFF.NumLinha,0)))</f>
        <v>0</v>
      </c>
      <c r="G23" s="11">
        <f ca="1">IF(AND($C23&lt;=2,$C23&lt;&gt;0),0,IF($C23=3,OFFSET(G23,-CFF.NumLinha,0)+1,OFFSET(G23,-CFF.NumLinha,0)))</f>
        <v>0</v>
      </c>
      <c r="H23" s="11">
        <f ca="1">IF(AND($C23&lt;=3,$C23&lt;&gt;0),0,IF($C23=4,OFFSET(H23,-CFF.NumLinha,0)+1,OFFSET(H23,-CFF.NumLinha,0)))</f>
        <v>0</v>
      </c>
      <c r="I23" s="11">
        <f ca="1">MATCH(0,OFFSET($D23,1,$C23,ROW($A$51)-ROW($A23)),0)</f>
        <v>28</v>
      </c>
      <c r="J23" s="11">
        <f ca="1">MATCH(OFFSET($D23,0,$C23)+1,OFFSET($D23,1,$C23,ROW($A$51)-ROW($A23)),0)</f>
        <v>3</v>
      </c>
      <c r="K23" s="156">
        <f ca="1">ROUND(INDEX(PO!T$12:T$25,MATCH($A23,PO!$V$12:$V$25,0)),2)+10^-12</f>
        <v>9.9999999999999998E-13</v>
      </c>
      <c r="L23" s="339"/>
      <c r="M23" s="334"/>
      <c r="N23" s="336"/>
      <c r="O23" s="171" t="s">
        <v>20</v>
      </c>
      <c r="P23" s="166">
        <f t="shared" ref="P23:W23" ca="1" si="28">IF($B23,ROUND(P22*$N21,2),ROUND(SUMIF(OFFSET($B23,1,0,$D23),TRUE,OFFSET(P23,1,0,$D23))/SUMIF(OFFSET($B23,1,0,$D23),TRUE,OFFSET($K23,1,0,$D23))*$N21,2))</f>
        <v>0</v>
      </c>
      <c r="Q23" s="144">
        <f t="shared" ca="1" si="28"/>
        <v>0</v>
      </c>
      <c r="R23" s="144">
        <f t="shared" ca="1" si="28"/>
        <v>0</v>
      </c>
      <c r="S23" s="144">
        <f t="shared" ca="1" si="28"/>
        <v>0</v>
      </c>
      <c r="T23" s="144">
        <f t="shared" ca="1" si="28"/>
        <v>0</v>
      </c>
      <c r="U23" s="144">
        <f t="shared" ca="1" si="28"/>
        <v>0</v>
      </c>
      <c r="V23" s="144">
        <f t="shared" ca="1" si="28"/>
        <v>0</v>
      </c>
      <c r="W23" s="174">
        <f t="shared" ca="1" si="28"/>
        <v>0</v>
      </c>
      <c r="X23" s="163"/>
      <c r="AC23" s="144">
        <f t="shared" ref="AC23" ca="1" si="29">IF($B23,ROUND(AC22*$N21,2),ROUND(SUMIF(OFFSET($B23,1,0,$D23),TRUE,OFFSET(AC23,1,0,$D23))/SUMIF(OFFSET($B23,1,0,$D23),TRUE,OFFSET($K23,1,0,$D23))*$N21,2))</f>
        <v>0</v>
      </c>
    </row>
    <row r="24" spans="1:29" customFormat="1" ht="14.25" customHeight="1" x14ac:dyDescent="0.25">
      <c r="A24" s="1"/>
      <c r="B24" s="1"/>
      <c r="C24" s="1"/>
      <c r="D24" s="1"/>
      <c r="E24" s="1"/>
      <c r="F24" s="1"/>
      <c r="G24" s="1"/>
      <c r="H24" s="1"/>
      <c r="I24" s="1"/>
      <c r="J24" s="1"/>
      <c r="K24" s="1"/>
      <c r="L24" s="338" t="str">
        <f ca="1">INDEX(PO!K$12:K$25,MATCH($A26,PO!$V$12:$V$25,0))</f>
        <v>3.</v>
      </c>
      <c r="M24" s="333" t="str">
        <f ca="1">INDEX(PO!N$12:N$25,MATCH($A26,PO!$V$12:$V$25,0))</f>
        <v>TRANSPORTES</v>
      </c>
      <c r="N24" s="335">
        <f t="shared" ref="N24" ca="1" si="30">IF(ROUND(K26,2)=0,K26,ROUND(K26,2))</f>
        <v>9.9999999999999998E-13</v>
      </c>
      <c r="O24" s="187" t="s">
        <v>143</v>
      </c>
      <c r="P24" s="192">
        <v>1</v>
      </c>
      <c r="Q24" s="193">
        <v>0.2</v>
      </c>
      <c r="R24" s="193">
        <f t="shared" ref="R24" ca="1" si="31">IF($B26,0,R25-IF(ISNUMBER(Q25),Q25,0))</f>
        <v>0</v>
      </c>
      <c r="S24" s="193">
        <f t="shared" ref="S24" ca="1" si="32">IF($B26,0,S25-IF(ISNUMBER(R25),R25,0))</f>
        <v>0</v>
      </c>
      <c r="T24" s="193">
        <f t="shared" ref="T24" ca="1" si="33">IF($B26,0,T25-IF(ISNUMBER(S25),S25,0))</f>
        <v>0</v>
      </c>
      <c r="U24" s="193">
        <f t="shared" ref="U24" ca="1" si="34">IF($B26,0,U25-IF(ISNUMBER(T25),T25,0))</f>
        <v>0</v>
      </c>
      <c r="V24" s="193">
        <f t="shared" ref="V24" ca="1" si="35">IF($B26,0,V25-IF(ISNUMBER(U25),U25,0))</f>
        <v>0</v>
      </c>
      <c r="W24" s="194">
        <f t="shared" ref="W24" ca="1" si="36">IF($B26,0,W25-IF(ISNUMBER(V25),V25,0))</f>
        <v>0</v>
      </c>
      <c r="X24" s="163"/>
      <c r="AC24" s="188">
        <f t="shared" ref="AC24" ca="1" si="37">IF($B26,0,AC25-IF(ISNUMBER(AB25),AB25,0))</f>
        <v>0</v>
      </c>
    </row>
    <row r="25" spans="1:29" customFormat="1" ht="14" x14ac:dyDescent="0.25">
      <c r="A25" s="11"/>
      <c r="B25" s="11"/>
      <c r="C25" s="11"/>
      <c r="D25" s="11"/>
      <c r="E25" s="11"/>
      <c r="F25" s="11"/>
      <c r="G25" s="11"/>
      <c r="H25" s="11"/>
      <c r="I25" s="11"/>
      <c r="J25" s="11"/>
      <c r="K25" s="11"/>
      <c r="L25" s="339"/>
      <c r="M25" s="334"/>
      <c r="N25" s="336"/>
      <c r="O25" s="145" t="s">
        <v>145</v>
      </c>
      <c r="P25" s="165">
        <f t="shared" ref="P25" ca="1" si="38">MIN(IF($B26,P24+IF(ISNUMBER(O25),O25,0),P26/$N24),1)</f>
        <v>1</v>
      </c>
      <c r="Q25" s="143">
        <f t="shared" ref="Q25" ca="1" si="39">MIN(IF($B26,Q24+IF(ISNUMBER(P25),P25,0),Q26/$N24),1)</f>
        <v>1</v>
      </c>
      <c r="R25" s="143">
        <f t="shared" ref="R25" ca="1" si="40">MIN(IF($B26,R24+IF(ISNUMBER(Q25),Q25,0),R26/$N24),1)</f>
        <v>1</v>
      </c>
      <c r="S25" s="143">
        <f t="shared" ref="S25" ca="1" si="41">MIN(IF($B26,S24+IF(ISNUMBER(R25),R25,0),S26/$N24),1)</f>
        <v>1</v>
      </c>
      <c r="T25" s="143">
        <f t="shared" ref="T25" ca="1" si="42">MIN(IF($B26,T24+IF(ISNUMBER(S25),S25,0),T26/$N24),1)</f>
        <v>1</v>
      </c>
      <c r="U25" s="143">
        <f t="shared" ref="U25" ca="1" si="43">MIN(IF($B26,U24+IF(ISNUMBER(T25),T25,0),U26/$N24),1)</f>
        <v>1</v>
      </c>
      <c r="V25" s="143">
        <f t="shared" ref="V25" ca="1" si="44">MIN(IF($B26,V24+IF(ISNUMBER(U25),U25,0),V26/$N24),1)</f>
        <v>1</v>
      </c>
      <c r="W25" s="143">
        <f t="shared" ref="W25" ca="1" si="45">MIN(IF($B26,W24+IF(ISNUMBER(V25),V25,0),W26/$N24),1)</f>
        <v>1</v>
      </c>
      <c r="X25" s="163"/>
      <c r="AC25" s="143">
        <f t="shared" ref="AC25" ca="1" si="46">MIN(IF($B26,AC24+IF(ISNUMBER(AB25),AB25,0),AC26/$N24),1)</f>
        <v>0</v>
      </c>
    </row>
    <row r="26" spans="1:29" customFormat="1" ht="14" x14ac:dyDescent="0.25">
      <c r="A26" s="11">
        <f ca="1">OFFSET(A26,-CFF.NumLinha,0)+1</f>
        <v>3</v>
      </c>
      <c r="B26" s="11" t="b">
        <f ca="1">$C26&gt;=OFFSET($C26,CFF.NumLinha,0)</f>
        <v>1</v>
      </c>
      <c r="C26" s="11">
        <f ca="1">INDEX(PO!A$12:A$25,MATCH($A26,PO!$V$12:$V$25,0))</f>
        <v>1</v>
      </c>
      <c r="D26" s="11">
        <f t="shared" ref="D26" ca="1" si="47">IF(ISERROR(J26),I26,SMALL(I26:J26,1))-1</f>
        <v>2</v>
      </c>
      <c r="E26" s="11">
        <f ca="1">IF($C26=1,OFFSET(E26,-CFF.NumLinha,0)+1,OFFSET(E26,-CFF.NumLinha,0))</f>
        <v>3</v>
      </c>
      <c r="F26" s="11">
        <f ca="1">IF($C26=1,0,IF($C26=2,OFFSET(F26,-CFF.NumLinha,0)+1,OFFSET(F26,-CFF.NumLinha,0)))</f>
        <v>0</v>
      </c>
      <c r="G26" s="11">
        <f ca="1">IF(AND($C26&lt;=2,$C26&lt;&gt;0),0,IF($C26=3,OFFSET(G26,-CFF.NumLinha,0)+1,OFFSET(G26,-CFF.NumLinha,0)))</f>
        <v>0</v>
      </c>
      <c r="H26" s="11">
        <f ca="1">IF(AND($C26&lt;=3,$C26&lt;&gt;0),0,IF($C26=4,OFFSET(H26,-CFF.NumLinha,0)+1,OFFSET(H26,-CFF.NumLinha,0)))</f>
        <v>0</v>
      </c>
      <c r="I26" s="11">
        <f ca="1">MATCH(0,OFFSET($D26,1,$C26,ROW($A$51)-ROW($A26)),0)</f>
        <v>25</v>
      </c>
      <c r="J26" s="11">
        <f ca="1">MATCH(OFFSET($D26,0,$C26)+1,OFFSET($D26,1,$C26,ROW($A$51)-ROW($A26)),0)</f>
        <v>3</v>
      </c>
      <c r="K26" s="156">
        <f ca="1">ROUND(INDEX(PO!T$12:T$25,MATCH($A26,PO!$V$12:$V$25,0)),2)+10^-12</f>
        <v>9.9999999999999998E-13</v>
      </c>
      <c r="L26" s="339"/>
      <c r="M26" s="334"/>
      <c r="N26" s="336"/>
      <c r="O26" s="171" t="s">
        <v>20</v>
      </c>
      <c r="P26" s="166">
        <f t="shared" ref="P26:W26" ca="1" si="48">IF($B26,ROUND(P25*$N24,2),ROUND(SUMIF(OFFSET($B26,1,0,$D26),TRUE,OFFSET(P26,1,0,$D26))/SUMIF(OFFSET($B26,1,0,$D26),TRUE,OFFSET($K26,1,0,$D26))*$N24,2))</f>
        <v>0</v>
      </c>
      <c r="Q26" s="144">
        <f t="shared" ca="1" si="48"/>
        <v>0</v>
      </c>
      <c r="R26" s="144">
        <f t="shared" ca="1" si="48"/>
        <v>0</v>
      </c>
      <c r="S26" s="144">
        <f t="shared" ca="1" si="48"/>
        <v>0</v>
      </c>
      <c r="T26" s="144">
        <f t="shared" ca="1" si="48"/>
        <v>0</v>
      </c>
      <c r="U26" s="144">
        <f t="shared" ca="1" si="48"/>
        <v>0</v>
      </c>
      <c r="V26" s="144">
        <f t="shared" ca="1" si="48"/>
        <v>0</v>
      </c>
      <c r="W26" s="174">
        <f t="shared" ca="1" si="48"/>
        <v>0</v>
      </c>
      <c r="X26" s="163"/>
      <c r="AC26" s="144">
        <f t="shared" ref="AC26" ca="1" si="49">IF($B26,ROUND(AC25*$N24,2),ROUND(SUMIF(OFFSET($B26,1,0,$D26),TRUE,OFFSET(AC26,1,0,$D26))/SUMIF(OFFSET($B26,1,0,$D26),TRUE,OFFSET($K26,1,0,$D26))*$N24,2))</f>
        <v>0</v>
      </c>
    </row>
    <row r="27" spans="1:29" customFormat="1" ht="14.25" customHeight="1" x14ac:dyDescent="0.25">
      <c r="A27" s="1"/>
      <c r="B27" s="1"/>
      <c r="C27" s="1"/>
      <c r="D27" s="1"/>
      <c r="E27" s="1"/>
      <c r="F27" s="1"/>
      <c r="G27" s="1"/>
      <c r="H27" s="1"/>
      <c r="I27" s="1"/>
      <c r="J27" s="1"/>
      <c r="K27" s="1"/>
      <c r="L27" s="338" t="str">
        <f ca="1">INDEX(PO!K$12:K$25,MATCH($A29,PO!$V$12:$V$25,0))</f>
        <v>4.</v>
      </c>
      <c r="M27" s="333" t="str">
        <f ca="1">INDEX(PO!N$12:N$25,MATCH($A29,PO!$V$12:$V$25,0))</f>
        <v>BASE E SUB-BASE</v>
      </c>
      <c r="N27" s="335">
        <f t="shared" ref="N27" ca="1" si="50">IF(ROUND(K29,2)=0,K29,ROUND(K29,2))</f>
        <v>9.9999999999999998E-13</v>
      </c>
      <c r="O27" s="187" t="s">
        <v>143</v>
      </c>
      <c r="P27" s="192">
        <v>0.1</v>
      </c>
      <c r="Q27" s="193">
        <v>0.2</v>
      </c>
      <c r="R27" s="193">
        <v>0.2</v>
      </c>
      <c r="S27" s="193">
        <v>0.5</v>
      </c>
      <c r="T27" s="193" t="e">
        <f t="shared" ref="T27" ca="1" si="51">IF($B29,0,T28-IF(ISNUMBER(S28),S28,0))</f>
        <v>#N/A</v>
      </c>
      <c r="U27" s="193" t="e">
        <f t="shared" ref="U27" ca="1" si="52">IF($B29,0,U28-IF(ISNUMBER(T28),T28,0))</f>
        <v>#N/A</v>
      </c>
      <c r="V27" s="193" t="e">
        <f t="shared" ref="V27" ca="1" si="53">IF($B29,0,V28-IF(ISNUMBER(U28),U28,0))</f>
        <v>#N/A</v>
      </c>
      <c r="W27" s="194" t="e">
        <f t="shared" ref="W27" ca="1" si="54">IF($B29,0,W28-IF(ISNUMBER(V28),V28,0))</f>
        <v>#N/A</v>
      </c>
      <c r="X27" s="163"/>
      <c r="AC27" s="188" t="e">
        <f t="shared" ref="AC27" ca="1" si="55">IF($B29,0,AC28-IF(ISNUMBER(AB28),AB28,0))</f>
        <v>#N/A</v>
      </c>
    </row>
    <row r="28" spans="1:29" customFormat="1" ht="14" x14ac:dyDescent="0.25">
      <c r="A28" s="11"/>
      <c r="B28" s="11"/>
      <c r="C28" s="11"/>
      <c r="D28" s="11"/>
      <c r="E28" s="11"/>
      <c r="F28" s="11"/>
      <c r="G28" s="11"/>
      <c r="H28" s="11"/>
      <c r="I28" s="11"/>
      <c r="J28" s="11"/>
      <c r="K28" s="11"/>
      <c r="L28" s="339"/>
      <c r="M28" s="334"/>
      <c r="N28" s="336"/>
      <c r="O28" s="145" t="s">
        <v>145</v>
      </c>
      <c r="P28" s="165" t="e">
        <f t="shared" ref="P28" ca="1" si="56">MIN(IF($B29,P27+IF(ISNUMBER(O28),O28,0),P29/$N27),1)</f>
        <v>#N/A</v>
      </c>
      <c r="Q28" s="143" t="e">
        <f t="shared" ref="Q28" ca="1" si="57">MIN(IF($B29,Q27+IF(ISNUMBER(P28),P28,0),Q29/$N27),1)</f>
        <v>#N/A</v>
      </c>
      <c r="R28" s="143" t="e">
        <f t="shared" ref="R28" ca="1" si="58">MIN(IF($B29,R27+IF(ISNUMBER(Q28),Q28,0),R29/$N27),1)</f>
        <v>#N/A</v>
      </c>
      <c r="S28" s="143" t="e">
        <f t="shared" ref="S28" ca="1" si="59">MIN(IF($B29,S27+IF(ISNUMBER(R28),R28,0),S29/$N27),1)</f>
        <v>#N/A</v>
      </c>
      <c r="T28" s="143" t="e">
        <f t="shared" ref="T28" ca="1" si="60">MIN(IF($B29,T27+IF(ISNUMBER(S28),S28,0),T29/$N27),1)</f>
        <v>#N/A</v>
      </c>
      <c r="U28" s="143" t="e">
        <f t="shared" ref="U28" ca="1" si="61">MIN(IF($B29,U27+IF(ISNUMBER(T28),T28,0),U29/$N27),1)</f>
        <v>#N/A</v>
      </c>
      <c r="V28" s="143" t="e">
        <f t="shared" ref="V28" ca="1" si="62">MIN(IF($B29,V27+IF(ISNUMBER(U28),U28,0),V29/$N27),1)</f>
        <v>#N/A</v>
      </c>
      <c r="W28" s="143" t="e">
        <f t="shared" ref="W28" ca="1" si="63">MIN(IF($B29,W27+IF(ISNUMBER(V28),V28,0),W29/$N27),1)</f>
        <v>#N/A</v>
      </c>
      <c r="X28" s="163"/>
      <c r="AC28" s="143" t="e">
        <f t="shared" ref="AC28" ca="1" si="64">MIN(IF($B29,AC27+IF(ISNUMBER(AB28),AB28,0),AC29/$N27),1)</f>
        <v>#N/A</v>
      </c>
    </row>
    <row r="29" spans="1:29" customFormat="1" ht="14" x14ac:dyDescent="0.25">
      <c r="A29" s="11">
        <f ca="1">OFFSET(A29,-CFF.NumLinha,0)+1</f>
        <v>4</v>
      </c>
      <c r="B29" s="11" t="e">
        <f ca="1">$C29&gt;=OFFSET($C29,CFF.NumLinha,0)</f>
        <v>#N/A</v>
      </c>
      <c r="C29" s="11">
        <f ca="1">INDEX(PO!A$12:A$25,MATCH($A29,PO!$V$12:$V$25,0))</f>
        <v>1</v>
      </c>
      <c r="D29" s="11">
        <f t="shared" ref="D29" ca="1" si="65">IF(ISERROR(J29),I29,SMALL(I29:J29,1))-1</f>
        <v>21</v>
      </c>
      <c r="E29" s="11">
        <f ca="1">IF($C29=1,OFFSET(E29,-CFF.NumLinha,0)+1,OFFSET(E29,-CFF.NumLinha,0))</f>
        <v>4</v>
      </c>
      <c r="F29" s="11">
        <f ca="1">IF($C29=1,0,IF($C29=2,OFFSET(F29,-CFF.NumLinha,0)+1,OFFSET(F29,-CFF.NumLinha,0)))</f>
        <v>0</v>
      </c>
      <c r="G29" s="11">
        <f ca="1">IF(AND($C29&lt;=2,$C29&lt;&gt;0),0,IF($C29=3,OFFSET(G29,-CFF.NumLinha,0)+1,OFFSET(G29,-CFF.NumLinha,0)))</f>
        <v>0</v>
      </c>
      <c r="H29" s="11">
        <f ca="1">IF(AND($C29&lt;=3,$C29&lt;&gt;0),0,IF($C29=4,OFFSET(H29,-CFF.NumLinha,0)+1,OFFSET(H29,-CFF.NumLinha,0)))</f>
        <v>0</v>
      </c>
      <c r="I29" s="11">
        <f ca="1">MATCH(0,OFFSET($D29,1,$C29,ROW($A$51)-ROW($A29)),0)</f>
        <v>22</v>
      </c>
      <c r="J29" s="11" t="e">
        <f ca="1">MATCH(OFFSET($D29,0,$C29)+1,OFFSET($D29,1,$C29,ROW($A$51)-ROW($A29)),0)</f>
        <v>#N/A</v>
      </c>
      <c r="K29" s="156">
        <f ca="1">ROUND(INDEX(PO!T$12:T$25,MATCH($A29,PO!$V$12:$V$25,0)),2)+10^-12</f>
        <v>9.9999999999999998E-13</v>
      </c>
      <c r="L29" s="339"/>
      <c r="M29" s="334"/>
      <c r="N29" s="336"/>
      <c r="O29" s="171" t="s">
        <v>20</v>
      </c>
      <c r="P29" s="166" t="e">
        <f t="shared" ref="P29:W29" ca="1" si="66">IF($B29,ROUND(P28*$N27,2),ROUND(SUMIF(OFFSET($B29,1,0,$D29),TRUE,OFFSET(P29,1,0,$D29))/SUMIF(OFFSET($B29,1,0,$D29),TRUE,OFFSET($K29,1,0,$D29))*$N27,2))</f>
        <v>#N/A</v>
      </c>
      <c r="Q29" s="144" t="e">
        <f t="shared" ca="1" si="66"/>
        <v>#N/A</v>
      </c>
      <c r="R29" s="144" t="e">
        <f t="shared" ca="1" si="66"/>
        <v>#N/A</v>
      </c>
      <c r="S29" s="144" t="e">
        <f t="shared" ca="1" si="66"/>
        <v>#N/A</v>
      </c>
      <c r="T29" s="144" t="e">
        <f t="shared" ca="1" si="66"/>
        <v>#N/A</v>
      </c>
      <c r="U29" s="144" t="e">
        <f t="shared" ca="1" si="66"/>
        <v>#N/A</v>
      </c>
      <c r="V29" s="144" t="e">
        <f t="shared" ca="1" si="66"/>
        <v>#N/A</v>
      </c>
      <c r="W29" s="174" t="e">
        <f t="shared" ca="1" si="66"/>
        <v>#N/A</v>
      </c>
      <c r="X29" s="163"/>
      <c r="AC29" s="144" t="e">
        <f t="shared" ref="AC29" ca="1" si="67">IF($B29,ROUND(AC28*$N27,2),ROUND(SUMIF(OFFSET($B29,1,0,$D29),TRUE,OFFSET(AC29,1,0,$D29))/SUMIF(OFFSET($B29,1,0,$D29),TRUE,OFFSET($K29,1,0,$D29))*$N27,2))</f>
        <v>#N/A</v>
      </c>
    </row>
    <row r="30" spans="1:29" customFormat="1" ht="14.25" customHeight="1" x14ac:dyDescent="0.25">
      <c r="A30" s="1"/>
      <c r="B30" s="1"/>
      <c r="C30" s="1"/>
      <c r="D30" s="1"/>
      <c r="E30" s="1"/>
      <c r="F30" s="1"/>
      <c r="G30" s="1"/>
      <c r="H30" s="1"/>
      <c r="I30" s="1"/>
      <c r="J30" s="1"/>
      <c r="K30" s="1"/>
      <c r="L30" s="338" t="e">
        <f ca="1">INDEX(PO!K$12:K$25,MATCH($A32,PO!$V$12:$V$25,0))</f>
        <v>#N/A</v>
      </c>
      <c r="M30" s="333" t="e">
        <f ca="1">INDEX(PO!N$12:N$25,MATCH($A32,PO!$V$12:$V$25,0))</f>
        <v>#N/A</v>
      </c>
      <c r="N30" s="335" t="e">
        <f t="shared" ref="N30" ca="1" si="68">IF(ROUND(K32,2)=0,K32,ROUND(K32,2))</f>
        <v>#N/A</v>
      </c>
      <c r="O30" s="187" t="s">
        <v>143</v>
      </c>
      <c r="P30" s="192">
        <v>0.05</v>
      </c>
      <c r="Q30" s="193">
        <v>0.45</v>
      </c>
      <c r="R30" s="193">
        <v>0.5</v>
      </c>
      <c r="S30" s="193" t="e">
        <f t="shared" ref="S30" ca="1" si="69">IF($B32,0,S31-IF(ISNUMBER(R31),R31,0))</f>
        <v>#N/A</v>
      </c>
      <c r="T30" s="193" t="e">
        <f t="shared" ref="T30" ca="1" si="70">IF($B32,0,T31-IF(ISNUMBER(S31),S31,0))</f>
        <v>#N/A</v>
      </c>
      <c r="U30" s="193" t="e">
        <f t="shared" ref="U30" ca="1" si="71">IF($B32,0,U31-IF(ISNUMBER(T31),T31,0))</f>
        <v>#N/A</v>
      </c>
      <c r="V30" s="193" t="e">
        <f t="shared" ref="V30" ca="1" si="72">IF($B32,0,V31-IF(ISNUMBER(U31),U31,0))</f>
        <v>#N/A</v>
      </c>
      <c r="W30" s="194" t="e">
        <f t="shared" ref="W30" ca="1" si="73">IF($B32,0,W31-IF(ISNUMBER(V31),V31,0))</f>
        <v>#N/A</v>
      </c>
      <c r="X30" s="163"/>
      <c r="AC30" s="188" t="e">
        <f t="shared" ref="AC30" ca="1" si="74">IF($B32,0,AC31-IF(ISNUMBER(AB31),AB31,0))</f>
        <v>#N/A</v>
      </c>
    </row>
    <row r="31" spans="1:29" customFormat="1" ht="14" x14ac:dyDescent="0.25">
      <c r="A31" s="11"/>
      <c r="B31" s="11"/>
      <c r="C31" s="11"/>
      <c r="D31" s="11"/>
      <c r="E31" s="11"/>
      <c r="F31" s="11"/>
      <c r="G31" s="11"/>
      <c r="H31" s="11"/>
      <c r="I31" s="11"/>
      <c r="J31" s="11"/>
      <c r="K31" s="11"/>
      <c r="L31" s="339"/>
      <c r="M31" s="334"/>
      <c r="N31" s="336"/>
      <c r="O31" s="145" t="s">
        <v>145</v>
      </c>
      <c r="P31" s="165" t="e">
        <f t="shared" ref="P31" ca="1" si="75">MIN(IF($B32,P30+IF(ISNUMBER(O31),O31,0),P32/$N30),1)</f>
        <v>#N/A</v>
      </c>
      <c r="Q31" s="143" t="e">
        <f t="shared" ref="Q31" ca="1" si="76">MIN(IF($B32,Q30+IF(ISNUMBER(P31),P31,0),Q32/$N30),1)</f>
        <v>#N/A</v>
      </c>
      <c r="R31" s="143" t="e">
        <f t="shared" ref="R31" ca="1" si="77">MIN(IF($B32,R30+IF(ISNUMBER(Q31),Q31,0),R32/$N30),1)</f>
        <v>#N/A</v>
      </c>
      <c r="S31" s="143" t="e">
        <f t="shared" ref="S31" ca="1" si="78">MIN(IF($B32,S30+IF(ISNUMBER(R31),R31,0),S32/$N30),1)</f>
        <v>#N/A</v>
      </c>
      <c r="T31" s="143" t="e">
        <f t="shared" ref="T31" ca="1" si="79">MIN(IF($B32,T30+IF(ISNUMBER(S31),S31,0),T32/$N30),1)</f>
        <v>#N/A</v>
      </c>
      <c r="U31" s="143" t="e">
        <f t="shared" ref="U31" ca="1" si="80">MIN(IF($B32,U30+IF(ISNUMBER(T31),T31,0),U32/$N30),1)</f>
        <v>#N/A</v>
      </c>
      <c r="V31" s="143" t="e">
        <f t="shared" ref="V31" ca="1" si="81">MIN(IF($B32,V30+IF(ISNUMBER(U31),U31,0),V32/$N30),1)</f>
        <v>#N/A</v>
      </c>
      <c r="W31" s="143" t="e">
        <f t="shared" ref="W31" ca="1" si="82">MIN(IF($B32,W30+IF(ISNUMBER(V31),V31,0),W32/$N30),1)</f>
        <v>#N/A</v>
      </c>
      <c r="X31" s="163"/>
      <c r="AC31" s="143" t="e">
        <f t="shared" ref="AC31" ca="1" si="83">MIN(IF($B32,AC30+IF(ISNUMBER(AB31),AB31,0),AC32/$N30),1)</f>
        <v>#N/A</v>
      </c>
    </row>
    <row r="32" spans="1:29" customFormat="1" ht="14" x14ac:dyDescent="0.25">
      <c r="A32" s="11">
        <f ca="1">OFFSET(A32,-CFF.NumLinha,0)+1</f>
        <v>5</v>
      </c>
      <c r="B32" s="11" t="e">
        <f ca="1">$C32&gt;=OFFSET($C32,CFF.NumLinha,0)</f>
        <v>#N/A</v>
      </c>
      <c r="C32" s="11" t="e">
        <f ca="1">INDEX(PO!A$12:A$25,MATCH($A32,PO!$V$12:$V$25,0))</f>
        <v>#N/A</v>
      </c>
      <c r="D32" s="11" t="e">
        <f t="shared" ref="D32" ca="1" si="84">IF(ISERROR(J32),I32,SMALL(I32:J32,1))-1</f>
        <v>#N/A</v>
      </c>
      <c r="E32" s="11" t="e">
        <f ca="1">IF($C32=1,OFFSET(E32,-CFF.NumLinha,0)+1,OFFSET(E32,-CFF.NumLinha,0))</f>
        <v>#N/A</v>
      </c>
      <c r="F32" s="11" t="e">
        <f ca="1">IF($C32=1,0,IF($C32=2,OFFSET(F32,-CFF.NumLinha,0)+1,OFFSET(F32,-CFF.NumLinha,0)))</f>
        <v>#N/A</v>
      </c>
      <c r="G32" s="11" t="e">
        <f ca="1">IF(AND($C32&lt;=2,$C32&lt;&gt;0),0,IF($C32=3,OFFSET(G32,-CFF.NumLinha,0)+1,OFFSET(G32,-CFF.NumLinha,0)))</f>
        <v>#N/A</v>
      </c>
      <c r="H32" s="11" t="e">
        <f ca="1">IF(AND($C32&lt;=3,$C32&lt;&gt;0),0,IF($C32=4,OFFSET(H32,-CFF.NumLinha,0)+1,OFFSET(H32,-CFF.NumLinha,0)))</f>
        <v>#N/A</v>
      </c>
      <c r="I32" s="11" t="e">
        <f ca="1">MATCH(0,OFFSET($D32,1,$C32,ROW($A$51)-ROW($A32)),0)</f>
        <v>#N/A</v>
      </c>
      <c r="J32" s="11" t="e">
        <f ca="1">MATCH(OFFSET($D32,0,$C32)+1,OFFSET($D32,1,$C32,ROW($A$51)-ROW($A32)),0)</f>
        <v>#N/A</v>
      </c>
      <c r="K32" s="156" t="e">
        <f ca="1">ROUND(INDEX(PO!T$12:T$25,MATCH($A32,PO!$V$12:$V$25,0)),2)+10^-12</f>
        <v>#N/A</v>
      </c>
      <c r="L32" s="339"/>
      <c r="M32" s="334"/>
      <c r="N32" s="336"/>
      <c r="O32" s="171" t="s">
        <v>20</v>
      </c>
      <c r="P32" s="166" t="e">
        <f t="shared" ref="P32:W32" ca="1" si="85">IF($B32,ROUND(P31*$N30,2),ROUND(SUMIF(OFFSET($B32,1,0,$D32),TRUE,OFFSET(P32,1,0,$D32))/SUMIF(OFFSET($B32,1,0,$D32),TRUE,OFFSET($K32,1,0,$D32))*$N30,2))</f>
        <v>#N/A</v>
      </c>
      <c r="Q32" s="144" t="e">
        <f t="shared" ca="1" si="85"/>
        <v>#N/A</v>
      </c>
      <c r="R32" s="144" t="e">
        <f t="shared" ca="1" si="85"/>
        <v>#N/A</v>
      </c>
      <c r="S32" s="144" t="e">
        <f t="shared" ca="1" si="85"/>
        <v>#N/A</v>
      </c>
      <c r="T32" s="144" t="e">
        <f t="shared" ca="1" si="85"/>
        <v>#N/A</v>
      </c>
      <c r="U32" s="144" t="e">
        <f t="shared" ca="1" si="85"/>
        <v>#N/A</v>
      </c>
      <c r="V32" s="144" t="e">
        <f t="shared" ca="1" si="85"/>
        <v>#N/A</v>
      </c>
      <c r="W32" s="174" t="e">
        <f t="shared" ca="1" si="85"/>
        <v>#N/A</v>
      </c>
      <c r="X32" s="163"/>
      <c r="AC32" s="144" t="e">
        <f t="shared" ref="AC32" ca="1" si="86">IF($B32,ROUND(AC31*$N30,2),ROUND(SUMIF(OFFSET($B32,1,0,$D32),TRUE,OFFSET(AC32,1,0,$D32))/SUMIF(OFFSET($B32,1,0,$D32),TRUE,OFFSET($K32,1,0,$D32))*$N30,2))</f>
        <v>#N/A</v>
      </c>
    </row>
    <row r="33" spans="1:29" customFormat="1" ht="14.25" customHeight="1" x14ac:dyDescent="0.25">
      <c r="A33" s="1"/>
      <c r="B33" s="1"/>
      <c r="C33" s="1"/>
      <c r="D33" s="1"/>
      <c r="E33" s="1"/>
      <c r="F33" s="1"/>
      <c r="G33" s="1"/>
      <c r="H33" s="1"/>
      <c r="I33" s="1"/>
      <c r="J33" s="1"/>
      <c r="K33" s="1"/>
      <c r="L33" s="338" t="e">
        <f ca="1">INDEX(PO!K$12:K$25,MATCH($A35,PO!$V$12:$V$25,0))</f>
        <v>#N/A</v>
      </c>
      <c r="M33" s="333" t="e">
        <f ca="1">INDEX(PO!N$12:N$25,MATCH($A35,PO!$V$12:$V$25,0))</f>
        <v>#N/A</v>
      </c>
      <c r="N33" s="335" t="e">
        <f t="shared" ref="N33" ca="1" si="87">IF(ROUND(K35,2)=0,K35,ROUND(K35,2))</f>
        <v>#N/A</v>
      </c>
      <c r="O33" s="187" t="s">
        <v>143</v>
      </c>
      <c r="P33" s="192" t="e">
        <f t="shared" ref="P33" ca="1" si="88">IF($B35,0,P34-IF(ISNUMBER(O34),O34,0))</f>
        <v>#N/A</v>
      </c>
      <c r="Q33" s="193">
        <v>0.3</v>
      </c>
      <c r="R33" s="193">
        <v>0.5</v>
      </c>
      <c r="S33" s="193">
        <v>0.2</v>
      </c>
      <c r="T33" s="193" t="e">
        <f t="shared" ref="T33" ca="1" si="89">IF($B35,0,T34-IF(ISNUMBER(S34),S34,0))</f>
        <v>#N/A</v>
      </c>
      <c r="U33" s="193" t="e">
        <f t="shared" ref="U33" ca="1" si="90">IF($B35,0,U34-IF(ISNUMBER(T34),T34,0))</f>
        <v>#N/A</v>
      </c>
      <c r="V33" s="193" t="e">
        <f t="shared" ref="V33" ca="1" si="91">IF($B35,0,V34-IF(ISNUMBER(U34),U34,0))</f>
        <v>#N/A</v>
      </c>
      <c r="W33" s="194" t="e">
        <f t="shared" ref="W33" ca="1" si="92">IF($B35,0,W34-IF(ISNUMBER(V34),V34,0))</f>
        <v>#N/A</v>
      </c>
      <c r="X33" s="163"/>
      <c r="AC33" s="188" t="e">
        <f t="shared" ref="AC33" ca="1" si="93">IF($B35,0,AC34-IF(ISNUMBER(AB34),AB34,0))</f>
        <v>#N/A</v>
      </c>
    </row>
    <row r="34" spans="1:29" customFormat="1" ht="14" x14ac:dyDescent="0.25">
      <c r="A34" s="11"/>
      <c r="B34" s="11"/>
      <c r="C34" s="11"/>
      <c r="D34" s="11"/>
      <c r="E34" s="11"/>
      <c r="F34" s="11"/>
      <c r="G34" s="11"/>
      <c r="H34" s="11"/>
      <c r="I34" s="11"/>
      <c r="J34" s="11"/>
      <c r="K34" s="11"/>
      <c r="L34" s="339"/>
      <c r="M34" s="334"/>
      <c r="N34" s="336"/>
      <c r="O34" s="145" t="s">
        <v>145</v>
      </c>
      <c r="P34" s="165" t="e">
        <f t="shared" ref="P34" ca="1" si="94">MIN(IF($B35,P33+IF(ISNUMBER(O34),O34,0),P35/$N33),1)</f>
        <v>#N/A</v>
      </c>
      <c r="Q34" s="143" t="e">
        <f t="shared" ref="Q34" ca="1" si="95">MIN(IF($B35,Q33+IF(ISNUMBER(P34),P34,0),Q35/$N33),1)</f>
        <v>#N/A</v>
      </c>
      <c r="R34" s="143" t="e">
        <f t="shared" ref="R34" ca="1" si="96">MIN(IF($B35,R33+IF(ISNUMBER(Q34),Q34,0),R35/$N33),1)</f>
        <v>#N/A</v>
      </c>
      <c r="S34" s="143" t="e">
        <f t="shared" ref="S34" ca="1" si="97">MIN(IF($B35,S33+IF(ISNUMBER(R34),R34,0),S35/$N33),1)</f>
        <v>#N/A</v>
      </c>
      <c r="T34" s="143" t="e">
        <f t="shared" ref="T34" ca="1" si="98">MIN(IF($B35,T33+IF(ISNUMBER(S34),S34,0),T35/$N33),1)</f>
        <v>#N/A</v>
      </c>
      <c r="U34" s="143" t="e">
        <f t="shared" ref="U34" ca="1" si="99">MIN(IF($B35,U33+IF(ISNUMBER(T34),T34,0),U35/$N33),1)</f>
        <v>#N/A</v>
      </c>
      <c r="V34" s="143" t="e">
        <f t="shared" ref="V34" ca="1" si="100">MIN(IF($B35,V33+IF(ISNUMBER(U34),U34,0),V35/$N33),1)</f>
        <v>#N/A</v>
      </c>
      <c r="W34" s="143" t="e">
        <f t="shared" ref="W34" ca="1" si="101">MIN(IF($B35,W33+IF(ISNUMBER(V34),V34,0),W35/$N33),1)</f>
        <v>#N/A</v>
      </c>
      <c r="X34" s="163"/>
      <c r="AC34" s="143" t="e">
        <f t="shared" ref="AC34" ca="1" si="102">MIN(IF($B35,AC33+IF(ISNUMBER(AB34),AB34,0),AC35/$N33),1)</f>
        <v>#N/A</v>
      </c>
    </row>
    <row r="35" spans="1:29" customFormat="1" ht="14" x14ac:dyDescent="0.25">
      <c r="A35" s="11">
        <f ca="1">OFFSET(A35,-CFF.NumLinha,0)+1</f>
        <v>6</v>
      </c>
      <c r="B35" s="11" t="e">
        <f ca="1">$C35&gt;=OFFSET($C35,CFF.NumLinha,0)</f>
        <v>#N/A</v>
      </c>
      <c r="C35" s="11" t="e">
        <f ca="1">INDEX(PO!A$12:A$25,MATCH($A35,PO!$V$12:$V$25,0))</f>
        <v>#N/A</v>
      </c>
      <c r="D35" s="11" t="e">
        <f t="shared" ref="D35" ca="1" si="103">IF(ISERROR(J35),I35,SMALL(I35:J35,1))-1</f>
        <v>#N/A</v>
      </c>
      <c r="E35" s="11" t="e">
        <f ca="1">IF($C35=1,OFFSET(E35,-CFF.NumLinha,0)+1,OFFSET(E35,-CFF.NumLinha,0))</f>
        <v>#N/A</v>
      </c>
      <c r="F35" s="11" t="e">
        <f ca="1">IF($C35=1,0,IF($C35=2,OFFSET(F35,-CFF.NumLinha,0)+1,OFFSET(F35,-CFF.NumLinha,0)))</f>
        <v>#N/A</v>
      </c>
      <c r="G35" s="11" t="e">
        <f ca="1">IF(AND($C35&lt;=2,$C35&lt;&gt;0),0,IF($C35=3,OFFSET(G35,-CFF.NumLinha,0)+1,OFFSET(G35,-CFF.NumLinha,0)))</f>
        <v>#N/A</v>
      </c>
      <c r="H35" s="11" t="e">
        <f ca="1">IF(AND($C35&lt;=3,$C35&lt;&gt;0),0,IF($C35=4,OFFSET(H35,-CFF.NumLinha,0)+1,OFFSET(H35,-CFF.NumLinha,0)))</f>
        <v>#N/A</v>
      </c>
      <c r="I35" s="11" t="e">
        <f ca="1">MATCH(0,OFFSET($D35,1,$C35,ROW($A$51)-ROW($A35)),0)</f>
        <v>#N/A</v>
      </c>
      <c r="J35" s="11" t="e">
        <f ca="1">MATCH(OFFSET($D35,0,$C35)+1,OFFSET($D35,1,$C35,ROW($A$51)-ROW($A35)),0)</f>
        <v>#N/A</v>
      </c>
      <c r="K35" s="156" t="e">
        <f ca="1">ROUND(INDEX(PO!T$12:T$25,MATCH($A35,PO!$V$12:$V$25,0)),2)+10^-12</f>
        <v>#N/A</v>
      </c>
      <c r="L35" s="339"/>
      <c r="M35" s="334"/>
      <c r="N35" s="336"/>
      <c r="O35" s="171" t="s">
        <v>20</v>
      </c>
      <c r="P35" s="166" t="e">
        <f t="shared" ref="P35:W35" ca="1" si="104">IF($B35,ROUND(P34*$N33,2),ROUND(SUMIF(OFFSET($B35,1,0,$D35),TRUE,OFFSET(P35,1,0,$D35))/SUMIF(OFFSET($B35,1,0,$D35),TRUE,OFFSET($K35,1,0,$D35))*$N33,2))</f>
        <v>#N/A</v>
      </c>
      <c r="Q35" s="144" t="e">
        <f t="shared" ca="1" si="104"/>
        <v>#N/A</v>
      </c>
      <c r="R35" s="144" t="e">
        <f t="shared" ca="1" si="104"/>
        <v>#N/A</v>
      </c>
      <c r="S35" s="144" t="e">
        <f t="shared" ca="1" si="104"/>
        <v>#N/A</v>
      </c>
      <c r="T35" s="144" t="e">
        <f t="shared" ca="1" si="104"/>
        <v>#N/A</v>
      </c>
      <c r="U35" s="144" t="e">
        <f t="shared" ca="1" si="104"/>
        <v>#N/A</v>
      </c>
      <c r="V35" s="144" t="e">
        <f t="shared" ca="1" si="104"/>
        <v>#N/A</v>
      </c>
      <c r="W35" s="174" t="e">
        <f t="shared" ca="1" si="104"/>
        <v>#N/A</v>
      </c>
      <c r="X35" s="163"/>
      <c r="AC35" s="144" t="e">
        <f t="shared" ref="AC35" ca="1" si="105">IF($B35,ROUND(AC34*$N33,2),ROUND(SUMIF(OFFSET($B35,1,0,$D35),TRUE,OFFSET(AC35,1,0,$D35))/SUMIF(OFFSET($B35,1,0,$D35),TRUE,OFFSET($K35,1,0,$D35))*$N33,2))</f>
        <v>#N/A</v>
      </c>
    </row>
    <row r="36" spans="1:29" customFormat="1" ht="14.25" customHeight="1" x14ac:dyDescent="0.25">
      <c r="A36" s="1"/>
      <c r="B36" s="1"/>
      <c r="C36" s="1"/>
      <c r="D36" s="1"/>
      <c r="E36" s="1"/>
      <c r="F36" s="1"/>
      <c r="G36" s="1"/>
      <c r="H36" s="1"/>
      <c r="I36" s="1"/>
      <c r="J36" s="1"/>
      <c r="K36" s="1"/>
      <c r="L36" s="338" t="e">
        <f ca="1">INDEX(PO!K$12:K$25,MATCH($A38,PO!$V$12:$V$25,0))</f>
        <v>#N/A</v>
      </c>
      <c r="M36" s="333" t="e">
        <f ca="1">INDEX(PO!N$12:N$25,MATCH($A38,PO!$V$12:$V$25,0))</f>
        <v>#N/A</v>
      </c>
      <c r="N36" s="335" t="e">
        <f t="shared" ref="N36" ca="1" si="106">IF(ROUND(K38,2)=0,K38,ROUND(K38,2))</f>
        <v>#N/A</v>
      </c>
      <c r="O36" s="187" t="s">
        <v>143</v>
      </c>
      <c r="P36" s="192" t="e">
        <f t="shared" ref="P36" ca="1" si="107">IF($B38,0,P37-IF(ISNUMBER(O37),O37,0))</f>
        <v>#N/A</v>
      </c>
      <c r="Q36" s="193">
        <v>0.05</v>
      </c>
      <c r="R36" s="193">
        <v>0.8</v>
      </c>
      <c r="S36" s="193">
        <v>0.15</v>
      </c>
      <c r="T36" s="193" t="e">
        <f t="shared" ref="T36" ca="1" si="108">IF($B38,0,T37-IF(ISNUMBER(S37),S37,0))</f>
        <v>#N/A</v>
      </c>
      <c r="U36" s="193" t="e">
        <f t="shared" ref="U36" ca="1" si="109">IF($B38,0,U37-IF(ISNUMBER(T37),T37,0))</f>
        <v>#N/A</v>
      </c>
      <c r="V36" s="193" t="e">
        <f t="shared" ref="V36" ca="1" si="110">IF($B38,0,V37-IF(ISNUMBER(U37),U37,0))</f>
        <v>#N/A</v>
      </c>
      <c r="W36" s="194" t="e">
        <f t="shared" ref="W36" ca="1" si="111">IF($B38,0,W37-IF(ISNUMBER(V37),V37,0))</f>
        <v>#N/A</v>
      </c>
      <c r="X36" s="163"/>
      <c r="AC36" s="188" t="e">
        <f t="shared" ref="AC36" ca="1" si="112">IF($B38,0,AC37-IF(ISNUMBER(AB37),AB37,0))</f>
        <v>#N/A</v>
      </c>
    </row>
    <row r="37" spans="1:29" customFormat="1" ht="14" x14ac:dyDescent="0.25">
      <c r="A37" s="11"/>
      <c r="B37" s="11"/>
      <c r="C37" s="11"/>
      <c r="D37" s="11"/>
      <c r="E37" s="11"/>
      <c r="F37" s="11"/>
      <c r="G37" s="11"/>
      <c r="H37" s="11"/>
      <c r="I37" s="11"/>
      <c r="J37" s="11"/>
      <c r="K37" s="11"/>
      <c r="L37" s="339"/>
      <c r="M37" s="334"/>
      <c r="N37" s="336"/>
      <c r="O37" s="145" t="s">
        <v>145</v>
      </c>
      <c r="P37" s="165" t="e">
        <f t="shared" ref="P37" ca="1" si="113">MIN(IF($B38,P36+IF(ISNUMBER(O37),O37,0),P38/$N36),1)</f>
        <v>#N/A</v>
      </c>
      <c r="Q37" s="143" t="e">
        <f t="shared" ref="Q37" ca="1" si="114">MIN(IF($B38,Q36+IF(ISNUMBER(P37),P37,0),Q38/$N36),1)</f>
        <v>#N/A</v>
      </c>
      <c r="R37" s="143" t="e">
        <f t="shared" ref="R37" ca="1" si="115">MIN(IF($B38,R36+IF(ISNUMBER(Q37),Q37,0),R38/$N36),1)</f>
        <v>#N/A</v>
      </c>
      <c r="S37" s="143" t="e">
        <f t="shared" ref="S37" ca="1" si="116">MIN(IF($B38,S36+IF(ISNUMBER(R37),R37,0),S38/$N36),1)</f>
        <v>#N/A</v>
      </c>
      <c r="T37" s="143" t="e">
        <f t="shared" ref="T37" ca="1" si="117">MIN(IF($B38,T36+IF(ISNUMBER(S37),S37,0),T38/$N36),1)</f>
        <v>#N/A</v>
      </c>
      <c r="U37" s="143" t="e">
        <f t="shared" ref="U37" ca="1" si="118">MIN(IF($B38,U36+IF(ISNUMBER(T37),T37,0),U38/$N36),1)</f>
        <v>#N/A</v>
      </c>
      <c r="V37" s="143" t="e">
        <f t="shared" ref="V37" ca="1" si="119">MIN(IF($B38,V36+IF(ISNUMBER(U37),U37,0),V38/$N36),1)</f>
        <v>#N/A</v>
      </c>
      <c r="W37" s="143" t="e">
        <f t="shared" ref="W37" ca="1" si="120">MIN(IF($B38,W36+IF(ISNUMBER(V37),V37,0),W38/$N36),1)</f>
        <v>#N/A</v>
      </c>
      <c r="X37" s="163"/>
      <c r="AC37" s="143" t="e">
        <f t="shared" ref="AC37" ca="1" si="121">MIN(IF($B38,AC36+IF(ISNUMBER(AB37),AB37,0),AC38/$N36),1)</f>
        <v>#N/A</v>
      </c>
    </row>
    <row r="38" spans="1:29" customFormat="1" ht="14" x14ac:dyDescent="0.25">
      <c r="A38" s="11">
        <f ca="1">OFFSET(A38,-CFF.NumLinha,0)+1</f>
        <v>7</v>
      </c>
      <c r="B38" s="11" t="e">
        <f ca="1">$C38&gt;=OFFSET($C38,CFF.NumLinha,0)</f>
        <v>#N/A</v>
      </c>
      <c r="C38" s="11" t="e">
        <f ca="1">INDEX(PO!A$12:A$25,MATCH($A38,PO!$V$12:$V$25,0))</f>
        <v>#N/A</v>
      </c>
      <c r="D38" s="11" t="e">
        <f t="shared" ref="D38" ca="1" si="122">IF(ISERROR(J38),I38,SMALL(I38:J38,1))-1</f>
        <v>#N/A</v>
      </c>
      <c r="E38" s="11" t="e">
        <f ca="1">IF($C38=1,OFFSET(E38,-CFF.NumLinha,0)+1,OFFSET(E38,-CFF.NumLinha,0))</f>
        <v>#N/A</v>
      </c>
      <c r="F38" s="11" t="e">
        <f ca="1">IF($C38=1,0,IF($C38=2,OFFSET(F38,-CFF.NumLinha,0)+1,OFFSET(F38,-CFF.NumLinha,0)))</f>
        <v>#N/A</v>
      </c>
      <c r="G38" s="11" t="e">
        <f ca="1">IF(AND($C38&lt;=2,$C38&lt;&gt;0),0,IF($C38=3,OFFSET(G38,-CFF.NumLinha,0)+1,OFFSET(G38,-CFF.NumLinha,0)))</f>
        <v>#N/A</v>
      </c>
      <c r="H38" s="11" t="e">
        <f ca="1">IF(AND($C38&lt;=3,$C38&lt;&gt;0),0,IF($C38=4,OFFSET(H38,-CFF.NumLinha,0)+1,OFFSET(H38,-CFF.NumLinha,0)))</f>
        <v>#N/A</v>
      </c>
      <c r="I38" s="11" t="e">
        <f ca="1">MATCH(0,OFFSET($D38,1,$C38,ROW($A$51)-ROW($A38)),0)</f>
        <v>#N/A</v>
      </c>
      <c r="J38" s="11" t="e">
        <f ca="1">MATCH(OFFSET($D38,0,$C38)+1,OFFSET($D38,1,$C38,ROW($A$51)-ROW($A38)),0)</f>
        <v>#N/A</v>
      </c>
      <c r="K38" s="156" t="e">
        <f ca="1">ROUND(INDEX(PO!T$12:T$25,MATCH($A38,PO!$V$12:$V$25,0)),2)+10^-12</f>
        <v>#N/A</v>
      </c>
      <c r="L38" s="339"/>
      <c r="M38" s="334"/>
      <c r="N38" s="336"/>
      <c r="O38" s="171" t="s">
        <v>20</v>
      </c>
      <c r="P38" s="166" t="e">
        <f t="shared" ref="P38:W38" ca="1" si="123">IF($B38,ROUND(P37*$N36,2),ROUND(SUMIF(OFFSET($B38,1,0,$D38),TRUE,OFFSET(P38,1,0,$D38))/SUMIF(OFFSET($B38,1,0,$D38),TRUE,OFFSET($K38,1,0,$D38))*$N36,2))</f>
        <v>#N/A</v>
      </c>
      <c r="Q38" s="144" t="e">
        <f t="shared" ca="1" si="123"/>
        <v>#N/A</v>
      </c>
      <c r="R38" s="144" t="e">
        <f t="shared" ca="1" si="123"/>
        <v>#N/A</v>
      </c>
      <c r="S38" s="144" t="e">
        <f t="shared" ca="1" si="123"/>
        <v>#N/A</v>
      </c>
      <c r="T38" s="144" t="e">
        <f t="shared" ca="1" si="123"/>
        <v>#N/A</v>
      </c>
      <c r="U38" s="144" t="e">
        <f t="shared" ca="1" si="123"/>
        <v>#N/A</v>
      </c>
      <c r="V38" s="144" t="e">
        <f t="shared" ca="1" si="123"/>
        <v>#N/A</v>
      </c>
      <c r="W38" s="174" t="e">
        <f t="shared" ca="1" si="123"/>
        <v>#N/A</v>
      </c>
      <c r="X38" s="163"/>
      <c r="AC38" s="144" t="e">
        <f t="shared" ref="AC38" ca="1" si="124">IF($B38,ROUND(AC37*$N36,2),ROUND(SUMIF(OFFSET($B38,1,0,$D38),TRUE,OFFSET(AC38,1,0,$D38))/SUMIF(OFFSET($B38,1,0,$D38),TRUE,OFFSET($K38,1,0,$D38))*$N36,2))</f>
        <v>#N/A</v>
      </c>
    </row>
    <row r="39" spans="1:29" customFormat="1" ht="14.25" customHeight="1" x14ac:dyDescent="0.25">
      <c r="A39" s="1"/>
      <c r="B39" s="1"/>
      <c r="C39" s="1"/>
      <c r="D39" s="1"/>
      <c r="E39" s="1"/>
      <c r="F39" s="1"/>
      <c r="G39" s="1"/>
      <c r="H39" s="1"/>
      <c r="I39" s="1"/>
      <c r="J39" s="1"/>
      <c r="K39" s="1"/>
      <c r="L39" s="338" t="e">
        <f ca="1">INDEX(PO!K$12:K$25,MATCH($A41,PO!$V$12:$V$25,0))</f>
        <v>#N/A</v>
      </c>
      <c r="M39" s="333" t="e">
        <f ca="1">INDEX(PO!N$12:N$25,MATCH($A41,PO!$V$12:$V$25,0))</f>
        <v>#N/A</v>
      </c>
      <c r="N39" s="335" t="e">
        <f t="shared" ref="N39" ca="1" si="125">IF(ROUND(K41,2)=0,K41,ROUND(K41,2))</f>
        <v>#N/A</v>
      </c>
      <c r="O39" s="187" t="s">
        <v>143</v>
      </c>
      <c r="P39" s="192">
        <v>0.1</v>
      </c>
      <c r="Q39" s="193">
        <v>0.05</v>
      </c>
      <c r="R39" s="193">
        <v>0.7</v>
      </c>
      <c r="S39" s="193">
        <v>0.15</v>
      </c>
      <c r="T39" s="193" t="e">
        <f t="shared" ref="T39" ca="1" si="126">IF($B41,0,T40-IF(ISNUMBER(S40),S40,0))</f>
        <v>#N/A</v>
      </c>
      <c r="U39" s="193" t="e">
        <f t="shared" ref="U39" ca="1" si="127">IF($B41,0,U40-IF(ISNUMBER(T40),T40,0))</f>
        <v>#N/A</v>
      </c>
      <c r="V39" s="193" t="e">
        <f t="shared" ref="V39" ca="1" si="128">IF($B41,0,V40-IF(ISNUMBER(U40),U40,0))</f>
        <v>#N/A</v>
      </c>
      <c r="W39" s="194" t="e">
        <f t="shared" ref="W39" ca="1" si="129">IF($B41,0,W40-IF(ISNUMBER(V40),V40,0))</f>
        <v>#N/A</v>
      </c>
      <c r="X39" s="163"/>
      <c r="AC39" s="188" t="e">
        <f t="shared" ref="AC39" ca="1" si="130">IF($B41,0,AC40-IF(ISNUMBER(AB40),AB40,0))</f>
        <v>#N/A</v>
      </c>
    </row>
    <row r="40" spans="1:29" customFormat="1" ht="14" x14ac:dyDescent="0.25">
      <c r="A40" s="11"/>
      <c r="B40" s="11"/>
      <c r="C40" s="11"/>
      <c r="D40" s="11"/>
      <c r="E40" s="11"/>
      <c r="F40" s="11"/>
      <c r="G40" s="11"/>
      <c r="H40" s="11"/>
      <c r="I40" s="11"/>
      <c r="J40" s="11"/>
      <c r="K40" s="11"/>
      <c r="L40" s="339"/>
      <c r="M40" s="334"/>
      <c r="N40" s="336"/>
      <c r="O40" s="145" t="s">
        <v>145</v>
      </c>
      <c r="P40" s="165" t="e">
        <f t="shared" ref="P40" ca="1" si="131">MIN(IF($B41,P39+IF(ISNUMBER(O40),O40,0),P41/$N39),1)</f>
        <v>#N/A</v>
      </c>
      <c r="Q40" s="143" t="e">
        <f t="shared" ref="Q40" ca="1" si="132">MIN(IF($B41,Q39+IF(ISNUMBER(P40),P40,0),Q41/$N39),1)</f>
        <v>#N/A</v>
      </c>
      <c r="R40" s="143" t="e">
        <f t="shared" ref="R40" ca="1" si="133">MIN(IF($B41,R39+IF(ISNUMBER(Q40),Q40,0),R41/$N39),1)</f>
        <v>#N/A</v>
      </c>
      <c r="S40" s="143" t="e">
        <f t="shared" ref="S40" ca="1" si="134">MIN(IF($B41,S39+IF(ISNUMBER(R40),R40,0),S41/$N39),1)</f>
        <v>#N/A</v>
      </c>
      <c r="T40" s="143" t="e">
        <f t="shared" ref="T40" ca="1" si="135">MIN(IF($B41,T39+IF(ISNUMBER(S40),S40,0),T41/$N39),1)</f>
        <v>#N/A</v>
      </c>
      <c r="U40" s="143" t="e">
        <f t="shared" ref="U40" ca="1" si="136">MIN(IF($B41,U39+IF(ISNUMBER(T40),T40,0),U41/$N39),1)</f>
        <v>#N/A</v>
      </c>
      <c r="V40" s="143" t="e">
        <f t="shared" ref="V40" ca="1" si="137">MIN(IF($B41,V39+IF(ISNUMBER(U40),U40,0),V41/$N39),1)</f>
        <v>#N/A</v>
      </c>
      <c r="W40" s="143" t="e">
        <f t="shared" ref="W40" ca="1" si="138">MIN(IF($B41,W39+IF(ISNUMBER(V40),V40,0),W41/$N39),1)</f>
        <v>#N/A</v>
      </c>
      <c r="X40" s="163"/>
      <c r="AC40" s="143" t="e">
        <f t="shared" ref="AC40" ca="1" si="139">MIN(IF($B41,AC39+IF(ISNUMBER(AB40),AB40,0),AC41/$N39),1)</f>
        <v>#N/A</v>
      </c>
    </row>
    <row r="41" spans="1:29" customFormat="1" ht="14" x14ac:dyDescent="0.25">
      <c r="A41" s="11">
        <f ca="1">OFFSET(A41,-CFF.NumLinha,0)+1</f>
        <v>8</v>
      </c>
      <c r="B41" s="11" t="e">
        <f ca="1">$C41&gt;=OFFSET($C41,CFF.NumLinha,0)</f>
        <v>#N/A</v>
      </c>
      <c r="C41" s="11" t="e">
        <f ca="1">INDEX(PO!A$12:A$25,MATCH($A41,PO!$V$12:$V$25,0))</f>
        <v>#N/A</v>
      </c>
      <c r="D41" s="11" t="e">
        <f t="shared" ref="D41" ca="1" si="140">IF(ISERROR(J41),I41,SMALL(I41:J41,1))-1</f>
        <v>#N/A</v>
      </c>
      <c r="E41" s="11" t="e">
        <f ca="1">IF($C41=1,OFFSET(E41,-CFF.NumLinha,0)+1,OFFSET(E41,-CFF.NumLinha,0))</f>
        <v>#N/A</v>
      </c>
      <c r="F41" s="11" t="e">
        <f ca="1">IF($C41=1,0,IF($C41=2,OFFSET(F41,-CFF.NumLinha,0)+1,OFFSET(F41,-CFF.NumLinha,0)))</f>
        <v>#N/A</v>
      </c>
      <c r="G41" s="11" t="e">
        <f ca="1">IF(AND($C41&lt;=2,$C41&lt;&gt;0),0,IF($C41=3,OFFSET(G41,-CFF.NumLinha,0)+1,OFFSET(G41,-CFF.NumLinha,0)))</f>
        <v>#N/A</v>
      </c>
      <c r="H41" s="11" t="e">
        <f ca="1">IF(AND($C41&lt;=3,$C41&lt;&gt;0),0,IF($C41=4,OFFSET(H41,-CFF.NumLinha,0)+1,OFFSET(H41,-CFF.NumLinha,0)))</f>
        <v>#N/A</v>
      </c>
      <c r="I41" s="11" t="e">
        <f ca="1">MATCH(0,OFFSET($D41,1,$C41,ROW($A$51)-ROW($A41)),0)</f>
        <v>#N/A</v>
      </c>
      <c r="J41" s="11" t="e">
        <f ca="1">MATCH(OFFSET($D41,0,$C41)+1,OFFSET($D41,1,$C41,ROW($A$51)-ROW($A41)),0)</f>
        <v>#N/A</v>
      </c>
      <c r="K41" s="156" t="e">
        <f ca="1">ROUND(INDEX(PO!T$12:T$25,MATCH($A41,PO!$V$12:$V$25,0)),2)+10^-12</f>
        <v>#N/A</v>
      </c>
      <c r="L41" s="339"/>
      <c r="M41" s="334"/>
      <c r="N41" s="336"/>
      <c r="O41" s="171" t="s">
        <v>20</v>
      </c>
      <c r="P41" s="166" t="e">
        <f t="shared" ref="P41:W41" ca="1" si="141">IF($B41,ROUND(P40*$N39,2),ROUND(SUMIF(OFFSET($B41,1,0,$D41),TRUE,OFFSET(P41,1,0,$D41))/SUMIF(OFFSET($B41,1,0,$D41),TRUE,OFFSET($K41,1,0,$D41))*$N39,2))</f>
        <v>#N/A</v>
      </c>
      <c r="Q41" s="144" t="e">
        <f t="shared" ca="1" si="141"/>
        <v>#N/A</v>
      </c>
      <c r="R41" s="144" t="e">
        <f t="shared" ca="1" si="141"/>
        <v>#N/A</v>
      </c>
      <c r="S41" s="144" t="e">
        <f t="shared" ca="1" si="141"/>
        <v>#N/A</v>
      </c>
      <c r="T41" s="144" t="e">
        <f t="shared" ca="1" si="141"/>
        <v>#N/A</v>
      </c>
      <c r="U41" s="144" t="e">
        <f t="shared" ca="1" si="141"/>
        <v>#N/A</v>
      </c>
      <c r="V41" s="144" t="e">
        <f t="shared" ca="1" si="141"/>
        <v>#N/A</v>
      </c>
      <c r="W41" s="174" t="e">
        <f t="shared" ca="1" si="141"/>
        <v>#N/A</v>
      </c>
      <c r="X41" s="163"/>
      <c r="AC41" s="144" t="e">
        <f t="shared" ref="AC41" ca="1" si="142">IF($B41,ROUND(AC40*$N39,2),ROUND(SUMIF(OFFSET($B41,1,0,$D41),TRUE,OFFSET(AC41,1,0,$D41))/SUMIF(OFFSET($B41,1,0,$D41),TRUE,OFFSET($K41,1,0,$D41))*$N39,2))</f>
        <v>#N/A</v>
      </c>
    </row>
    <row r="42" spans="1:29" customFormat="1" ht="14.25" customHeight="1" x14ac:dyDescent="0.25">
      <c r="A42" s="1"/>
      <c r="B42" s="1"/>
      <c r="C42" s="1"/>
      <c r="D42" s="1"/>
      <c r="E42" s="1"/>
      <c r="F42" s="1"/>
      <c r="G42" s="1"/>
      <c r="H42" s="1"/>
      <c r="I42" s="1"/>
      <c r="J42" s="1"/>
      <c r="K42" s="1"/>
      <c r="L42" s="338" t="e">
        <f ca="1">INDEX(PO!K$12:K$25,MATCH($A44,PO!$V$12:$V$25,0))</f>
        <v>#N/A</v>
      </c>
      <c r="M42" s="333" t="e">
        <f ca="1">INDEX(PO!N$12:N$25,MATCH($A44,PO!$V$12:$V$25,0))</f>
        <v>#N/A</v>
      </c>
      <c r="N42" s="335" t="e">
        <f t="shared" ref="N42" ca="1" si="143">IF(ROUND(K44,2)=0,K44,ROUND(K44,2))</f>
        <v>#N/A</v>
      </c>
      <c r="O42" s="187" t="s">
        <v>143</v>
      </c>
      <c r="P42" s="192" t="e">
        <f t="shared" ref="P42" ca="1" si="144">IF($B44,0,P43-IF(ISNUMBER(O43),O43,0))</f>
        <v>#N/A</v>
      </c>
      <c r="Q42" s="193">
        <v>0</v>
      </c>
      <c r="R42" s="193">
        <v>0.8</v>
      </c>
      <c r="S42" s="193">
        <v>0.2</v>
      </c>
      <c r="T42" s="193" t="e">
        <f t="shared" ref="T42" ca="1" si="145">IF($B44,0,T43-IF(ISNUMBER(S43),S43,0))</f>
        <v>#N/A</v>
      </c>
      <c r="U42" s="193" t="e">
        <f t="shared" ref="U42" ca="1" si="146">IF($B44,0,U43-IF(ISNUMBER(T43),T43,0))</f>
        <v>#N/A</v>
      </c>
      <c r="V42" s="193" t="e">
        <f t="shared" ref="V42" ca="1" si="147">IF($B44,0,V43-IF(ISNUMBER(U43),U43,0))</f>
        <v>#N/A</v>
      </c>
      <c r="W42" s="194" t="e">
        <f t="shared" ref="W42" ca="1" si="148">IF($B44,0,W43-IF(ISNUMBER(V43),V43,0))</f>
        <v>#N/A</v>
      </c>
      <c r="X42" s="163"/>
      <c r="AC42" s="188" t="e">
        <f t="shared" ref="AC42" ca="1" si="149">IF($B44,0,AC43-IF(ISNUMBER(AB43),AB43,0))</f>
        <v>#N/A</v>
      </c>
    </row>
    <row r="43" spans="1:29" customFormat="1" ht="14" x14ac:dyDescent="0.25">
      <c r="A43" s="11"/>
      <c r="B43" s="11"/>
      <c r="C43" s="11"/>
      <c r="D43" s="11"/>
      <c r="E43" s="11"/>
      <c r="F43" s="11"/>
      <c r="G43" s="11"/>
      <c r="H43" s="11"/>
      <c r="I43" s="11"/>
      <c r="J43" s="11"/>
      <c r="K43" s="11"/>
      <c r="L43" s="339"/>
      <c r="M43" s="334"/>
      <c r="N43" s="336"/>
      <c r="O43" s="145" t="s">
        <v>145</v>
      </c>
      <c r="P43" s="165" t="e">
        <f t="shared" ref="P43" ca="1" si="150">MIN(IF($B44,P42+IF(ISNUMBER(O43),O43,0),P44/$N42),1)</f>
        <v>#N/A</v>
      </c>
      <c r="Q43" s="143" t="e">
        <f t="shared" ref="Q43" ca="1" si="151">MIN(IF($B44,Q42+IF(ISNUMBER(P43),P43,0),Q44/$N42),1)</f>
        <v>#N/A</v>
      </c>
      <c r="R43" s="143" t="e">
        <f t="shared" ref="R43" ca="1" si="152">MIN(IF($B44,R42+IF(ISNUMBER(Q43),Q43,0),R44/$N42),1)</f>
        <v>#N/A</v>
      </c>
      <c r="S43" s="143" t="e">
        <f t="shared" ref="S43" ca="1" si="153">MIN(IF($B44,S42+IF(ISNUMBER(R43),R43,0),S44/$N42),1)</f>
        <v>#N/A</v>
      </c>
      <c r="T43" s="143" t="e">
        <f t="shared" ref="T43" ca="1" si="154">MIN(IF($B44,T42+IF(ISNUMBER(S43),S43,0),T44/$N42),1)</f>
        <v>#N/A</v>
      </c>
      <c r="U43" s="143" t="e">
        <f t="shared" ref="U43" ca="1" si="155">MIN(IF($B44,U42+IF(ISNUMBER(T43),T43,0),U44/$N42),1)</f>
        <v>#N/A</v>
      </c>
      <c r="V43" s="143" t="e">
        <f t="shared" ref="V43" ca="1" si="156">MIN(IF($B44,V42+IF(ISNUMBER(U43),U43,0),V44/$N42),1)</f>
        <v>#N/A</v>
      </c>
      <c r="W43" s="143" t="e">
        <f t="shared" ref="W43" ca="1" si="157">MIN(IF($B44,W42+IF(ISNUMBER(V43),V43,0),W44/$N42),1)</f>
        <v>#N/A</v>
      </c>
      <c r="X43" s="163"/>
      <c r="AC43" s="143" t="e">
        <f t="shared" ref="AC43" ca="1" si="158">MIN(IF($B44,AC42+IF(ISNUMBER(AB43),AB43,0),AC44/$N42),1)</f>
        <v>#N/A</v>
      </c>
    </row>
    <row r="44" spans="1:29" customFormat="1" ht="14" x14ac:dyDescent="0.25">
      <c r="A44" s="11">
        <f ca="1">OFFSET(A44,-CFF.NumLinha,0)+1</f>
        <v>9</v>
      </c>
      <c r="B44" s="11" t="e">
        <f ca="1">$C44&gt;=OFFSET($C44,CFF.NumLinha,0)</f>
        <v>#N/A</v>
      </c>
      <c r="C44" s="11" t="e">
        <f ca="1">INDEX(PO!A$12:A$25,MATCH($A44,PO!$V$12:$V$25,0))</f>
        <v>#N/A</v>
      </c>
      <c r="D44" s="11" t="e">
        <f t="shared" ref="D44" ca="1" si="159">IF(ISERROR(J44),I44,SMALL(I44:J44,1))-1</f>
        <v>#N/A</v>
      </c>
      <c r="E44" s="11" t="e">
        <f ca="1">IF($C44=1,OFFSET(E44,-CFF.NumLinha,0)+1,OFFSET(E44,-CFF.NumLinha,0))</f>
        <v>#N/A</v>
      </c>
      <c r="F44" s="11" t="e">
        <f ca="1">IF($C44=1,0,IF($C44=2,OFFSET(F44,-CFF.NumLinha,0)+1,OFFSET(F44,-CFF.NumLinha,0)))</f>
        <v>#N/A</v>
      </c>
      <c r="G44" s="11" t="e">
        <f ca="1">IF(AND($C44&lt;=2,$C44&lt;&gt;0),0,IF($C44=3,OFFSET(G44,-CFF.NumLinha,0)+1,OFFSET(G44,-CFF.NumLinha,0)))</f>
        <v>#N/A</v>
      </c>
      <c r="H44" s="11" t="e">
        <f ca="1">IF(AND($C44&lt;=3,$C44&lt;&gt;0),0,IF($C44=4,OFFSET(H44,-CFF.NumLinha,0)+1,OFFSET(H44,-CFF.NumLinha,0)))</f>
        <v>#N/A</v>
      </c>
      <c r="I44" s="11" t="e">
        <f ca="1">MATCH(0,OFFSET($D44,1,$C44,ROW($A$51)-ROW($A44)),0)</f>
        <v>#N/A</v>
      </c>
      <c r="J44" s="11" t="e">
        <f ca="1">MATCH(OFFSET($D44,0,$C44)+1,OFFSET($D44,1,$C44,ROW($A$51)-ROW($A44)),0)</f>
        <v>#N/A</v>
      </c>
      <c r="K44" s="156" t="e">
        <f ca="1">ROUND(INDEX(PO!T$12:T$25,MATCH($A44,PO!$V$12:$V$25,0)),2)+10^-12</f>
        <v>#N/A</v>
      </c>
      <c r="L44" s="339"/>
      <c r="M44" s="334"/>
      <c r="N44" s="336"/>
      <c r="O44" s="171" t="s">
        <v>20</v>
      </c>
      <c r="P44" s="166" t="e">
        <f t="shared" ref="P44:W44" ca="1" si="160">IF($B44,ROUND(P43*$N42,2),ROUND(SUMIF(OFFSET($B44,1,0,$D44),TRUE,OFFSET(P44,1,0,$D44))/SUMIF(OFFSET($B44,1,0,$D44),TRUE,OFFSET($K44,1,0,$D44))*$N42,2))</f>
        <v>#N/A</v>
      </c>
      <c r="Q44" s="144" t="e">
        <f t="shared" ca="1" si="160"/>
        <v>#N/A</v>
      </c>
      <c r="R44" s="144" t="e">
        <f t="shared" ca="1" si="160"/>
        <v>#N/A</v>
      </c>
      <c r="S44" s="144" t="e">
        <f t="shared" ca="1" si="160"/>
        <v>#N/A</v>
      </c>
      <c r="T44" s="144" t="e">
        <f t="shared" ca="1" si="160"/>
        <v>#N/A</v>
      </c>
      <c r="U44" s="144" t="e">
        <f t="shared" ca="1" si="160"/>
        <v>#N/A</v>
      </c>
      <c r="V44" s="144" t="e">
        <f t="shared" ca="1" si="160"/>
        <v>#N/A</v>
      </c>
      <c r="W44" s="174" t="e">
        <f t="shared" ca="1" si="160"/>
        <v>#N/A</v>
      </c>
      <c r="X44" s="163"/>
      <c r="AC44" s="144" t="e">
        <f t="shared" ref="AC44" ca="1" si="161">IF($B44,ROUND(AC43*$N42,2),ROUND(SUMIF(OFFSET($B44,1,0,$D44),TRUE,OFFSET(AC44,1,0,$D44))/SUMIF(OFFSET($B44,1,0,$D44),TRUE,OFFSET($K44,1,0,$D44))*$N42,2))</f>
        <v>#N/A</v>
      </c>
    </row>
    <row r="45" spans="1:29" customFormat="1" ht="14.25" customHeight="1" x14ac:dyDescent="0.25">
      <c r="A45" s="1"/>
      <c r="B45" s="1"/>
      <c r="C45" s="1"/>
      <c r="D45" s="1"/>
      <c r="E45" s="1"/>
      <c r="F45" s="1"/>
      <c r="G45" s="1"/>
      <c r="H45" s="1"/>
      <c r="I45" s="1"/>
      <c r="J45" s="1"/>
      <c r="K45" s="1"/>
      <c r="L45" s="338" t="e">
        <f ca="1">INDEX(PO!K$12:K$25,MATCH($A47,PO!$V$12:$V$25,0))</f>
        <v>#N/A</v>
      </c>
      <c r="M45" s="333" t="e">
        <f ca="1">INDEX(PO!N$12:N$25,MATCH($A47,PO!$V$12:$V$25,0))</f>
        <v>#N/A</v>
      </c>
      <c r="N45" s="335" t="e">
        <f t="shared" ref="N45" ca="1" si="162">IF(ROUND(K47,2)=0,K47,ROUND(K47,2))</f>
        <v>#N/A</v>
      </c>
      <c r="O45" s="187" t="s">
        <v>143</v>
      </c>
      <c r="P45" s="192" t="e">
        <f t="shared" ref="P45" ca="1" si="163">IF($B47,0,P46-IF(ISNUMBER(O46),O46,0))</f>
        <v>#N/A</v>
      </c>
      <c r="Q45" s="193">
        <v>0.2</v>
      </c>
      <c r="R45" s="193">
        <v>0.2</v>
      </c>
      <c r="S45" s="193">
        <v>0.6</v>
      </c>
      <c r="T45" s="193" t="e">
        <f t="shared" ref="T45" ca="1" si="164">IF($B47,0,T46-IF(ISNUMBER(S46),S46,0))</f>
        <v>#N/A</v>
      </c>
      <c r="U45" s="193" t="e">
        <f t="shared" ref="U45" ca="1" si="165">IF($B47,0,U46-IF(ISNUMBER(T46),T46,0))</f>
        <v>#N/A</v>
      </c>
      <c r="V45" s="193" t="e">
        <f t="shared" ref="V45" ca="1" si="166">IF($B47,0,V46-IF(ISNUMBER(U46),U46,0))</f>
        <v>#N/A</v>
      </c>
      <c r="W45" s="194" t="e">
        <f t="shared" ref="W45" ca="1" si="167">IF($B47,0,W46-IF(ISNUMBER(V46),V46,0))</f>
        <v>#N/A</v>
      </c>
      <c r="X45" s="163"/>
      <c r="AC45" s="188" t="e">
        <f t="shared" ref="AC45" ca="1" si="168">IF($B47,0,AC46-IF(ISNUMBER(AB46),AB46,0))</f>
        <v>#N/A</v>
      </c>
    </row>
    <row r="46" spans="1:29" customFormat="1" ht="14" x14ac:dyDescent="0.25">
      <c r="A46" s="11"/>
      <c r="B46" s="11"/>
      <c r="C46" s="11"/>
      <c r="D46" s="11"/>
      <c r="E46" s="11"/>
      <c r="F46" s="11"/>
      <c r="G46" s="11"/>
      <c r="H46" s="11"/>
      <c r="I46" s="11"/>
      <c r="J46" s="11"/>
      <c r="K46" s="11"/>
      <c r="L46" s="339"/>
      <c r="M46" s="334"/>
      <c r="N46" s="336"/>
      <c r="O46" s="145" t="s">
        <v>145</v>
      </c>
      <c r="P46" s="165" t="e">
        <f t="shared" ref="P46" ca="1" si="169">MIN(IF($B47,P45+IF(ISNUMBER(O46),O46,0),P47/$N45),1)</f>
        <v>#N/A</v>
      </c>
      <c r="Q46" s="143" t="e">
        <f t="shared" ref="Q46" ca="1" si="170">MIN(IF($B47,Q45+IF(ISNUMBER(P46),P46,0),Q47/$N45),1)</f>
        <v>#N/A</v>
      </c>
      <c r="R46" s="143" t="e">
        <f t="shared" ref="R46" ca="1" si="171">MIN(IF($B47,R45+IF(ISNUMBER(Q46),Q46,0),R47/$N45),1)</f>
        <v>#N/A</v>
      </c>
      <c r="S46" s="143" t="e">
        <f t="shared" ref="S46" ca="1" si="172">MIN(IF($B47,S45+IF(ISNUMBER(R46),R46,0),S47/$N45),1)</f>
        <v>#N/A</v>
      </c>
      <c r="T46" s="143" t="e">
        <f t="shared" ref="T46" ca="1" si="173">MIN(IF($B47,T45+IF(ISNUMBER(S46),S46,0),T47/$N45),1)</f>
        <v>#N/A</v>
      </c>
      <c r="U46" s="143" t="e">
        <f t="shared" ref="U46" ca="1" si="174">MIN(IF($B47,U45+IF(ISNUMBER(T46),T46,0),U47/$N45),1)</f>
        <v>#N/A</v>
      </c>
      <c r="V46" s="143" t="e">
        <f t="shared" ref="V46" ca="1" si="175">MIN(IF($B47,V45+IF(ISNUMBER(U46),U46,0),V47/$N45),1)</f>
        <v>#N/A</v>
      </c>
      <c r="W46" s="143" t="e">
        <f t="shared" ref="W46" ca="1" si="176">MIN(IF($B47,W45+IF(ISNUMBER(V46),V46,0),W47/$N45),1)</f>
        <v>#N/A</v>
      </c>
      <c r="X46" s="163"/>
      <c r="AC46" s="143" t="e">
        <f t="shared" ref="AC46" ca="1" si="177">MIN(IF($B47,AC45+IF(ISNUMBER(AB46),AB46,0),AC47/$N45),1)</f>
        <v>#N/A</v>
      </c>
    </row>
    <row r="47" spans="1:29" customFormat="1" ht="14" x14ac:dyDescent="0.25">
      <c r="A47" s="11">
        <f ca="1">OFFSET(A47,-CFF.NumLinha,0)+1</f>
        <v>10</v>
      </c>
      <c r="B47" s="11" t="e">
        <f ca="1">$C47&gt;=OFFSET($C47,CFF.NumLinha,0)</f>
        <v>#N/A</v>
      </c>
      <c r="C47" s="11" t="e">
        <f ca="1">INDEX(PO!A$12:A$25,MATCH($A47,PO!$V$12:$V$25,0))</f>
        <v>#N/A</v>
      </c>
      <c r="D47" s="11" t="e">
        <f t="shared" ref="D47" ca="1" si="178">IF(ISERROR(J47),I47,SMALL(I47:J47,1))-1</f>
        <v>#N/A</v>
      </c>
      <c r="E47" s="11" t="e">
        <f ca="1">IF($C47=1,OFFSET(E47,-CFF.NumLinha,0)+1,OFFSET(E47,-CFF.NumLinha,0))</f>
        <v>#N/A</v>
      </c>
      <c r="F47" s="11" t="e">
        <f ca="1">IF($C47=1,0,IF($C47=2,OFFSET(F47,-CFF.NumLinha,0)+1,OFFSET(F47,-CFF.NumLinha,0)))</f>
        <v>#N/A</v>
      </c>
      <c r="G47" s="11" t="e">
        <f ca="1">IF(AND($C47&lt;=2,$C47&lt;&gt;0),0,IF($C47=3,OFFSET(G47,-CFF.NumLinha,0)+1,OFFSET(G47,-CFF.NumLinha,0)))</f>
        <v>#N/A</v>
      </c>
      <c r="H47" s="11" t="e">
        <f ca="1">IF(AND($C47&lt;=3,$C47&lt;&gt;0),0,IF($C47=4,OFFSET(H47,-CFF.NumLinha,0)+1,OFFSET(H47,-CFF.NumLinha,0)))</f>
        <v>#N/A</v>
      </c>
      <c r="I47" s="11" t="e">
        <f ca="1">MATCH(0,OFFSET($D47,1,$C47,ROW($A$51)-ROW($A47)),0)</f>
        <v>#N/A</v>
      </c>
      <c r="J47" s="11" t="e">
        <f ca="1">MATCH(OFFSET($D47,0,$C47)+1,OFFSET($D47,1,$C47,ROW($A$51)-ROW($A47)),0)</f>
        <v>#N/A</v>
      </c>
      <c r="K47" s="156" t="e">
        <f ca="1">ROUND(INDEX(PO!T$12:T$25,MATCH($A47,PO!$V$12:$V$25,0)),2)+10^-12</f>
        <v>#N/A</v>
      </c>
      <c r="L47" s="339"/>
      <c r="M47" s="334"/>
      <c r="N47" s="336"/>
      <c r="O47" s="171" t="s">
        <v>20</v>
      </c>
      <c r="P47" s="166" t="e">
        <f t="shared" ref="P47:W47" ca="1" si="179">IF($B47,ROUND(P46*$N45,2),ROUND(SUMIF(OFFSET($B47,1,0,$D47),TRUE,OFFSET(P47,1,0,$D47))/SUMIF(OFFSET($B47,1,0,$D47),TRUE,OFFSET($K47,1,0,$D47))*$N45,2))</f>
        <v>#N/A</v>
      </c>
      <c r="Q47" s="144" t="e">
        <f t="shared" ca="1" si="179"/>
        <v>#N/A</v>
      </c>
      <c r="R47" s="144" t="e">
        <f t="shared" ca="1" si="179"/>
        <v>#N/A</v>
      </c>
      <c r="S47" s="144" t="e">
        <f t="shared" ca="1" si="179"/>
        <v>#N/A</v>
      </c>
      <c r="T47" s="144" t="e">
        <f t="shared" ca="1" si="179"/>
        <v>#N/A</v>
      </c>
      <c r="U47" s="144" t="e">
        <f t="shared" ca="1" si="179"/>
        <v>#N/A</v>
      </c>
      <c r="V47" s="144" t="e">
        <f t="shared" ca="1" si="179"/>
        <v>#N/A</v>
      </c>
      <c r="W47" s="174" t="e">
        <f t="shared" ca="1" si="179"/>
        <v>#N/A</v>
      </c>
      <c r="X47" s="163"/>
      <c r="AC47" s="144" t="e">
        <f t="shared" ref="AC47" ca="1" si="180">IF($B47,ROUND(AC46*$N45,2),ROUND(SUMIF(OFFSET($B47,1,0,$D47),TRUE,OFFSET(AC47,1,0,$D47))/SUMIF(OFFSET($B47,1,0,$D47),TRUE,OFFSET($K47,1,0,$D47))*$N45,2))</f>
        <v>#N/A</v>
      </c>
    </row>
    <row r="48" spans="1:29" customFormat="1" ht="14.25" customHeight="1" x14ac:dyDescent="0.25">
      <c r="A48" s="1"/>
      <c r="B48" s="1"/>
      <c r="C48" s="1"/>
      <c r="D48" s="1"/>
      <c r="E48" s="1"/>
      <c r="F48" s="1"/>
      <c r="G48" s="1"/>
      <c r="H48" s="1"/>
      <c r="I48" s="1"/>
      <c r="J48" s="1"/>
      <c r="K48" s="1"/>
      <c r="L48" s="338" t="e">
        <f ca="1">INDEX(PO!K$12:K$25,MATCH($A50,PO!$V$12:$V$25,0))</f>
        <v>#N/A</v>
      </c>
      <c r="M48" s="333" t="e">
        <f ca="1">INDEX(PO!N$12:N$25,MATCH($A50,PO!$V$12:$V$25,0))</f>
        <v>#N/A</v>
      </c>
      <c r="N48" s="335" t="e">
        <f t="shared" ref="N48" ca="1" si="181">IF(ROUND(K50,2)=0,K50,ROUND(K50,2))</f>
        <v>#N/A</v>
      </c>
      <c r="O48" s="187" t="s">
        <v>143</v>
      </c>
      <c r="P48" s="192" t="e">
        <f t="shared" ref="P48" ca="1" si="182">IF($B50,0,P49-IF(ISNUMBER(O49),O49,0))</f>
        <v>#N/A</v>
      </c>
      <c r="Q48" s="193">
        <v>0.2</v>
      </c>
      <c r="R48" s="193">
        <v>0.6</v>
      </c>
      <c r="S48" s="193">
        <v>0.2</v>
      </c>
      <c r="T48" s="193" t="e">
        <f t="shared" ref="T48" ca="1" si="183">IF($B50,0,T49-IF(ISNUMBER(S49),S49,0))</f>
        <v>#N/A</v>
      </c>
      <c r="U48" s="193" t="e">
        <f t="shared" ref="U48" ca="1" si="184">IF($B50,0,U49-IF(ISNUMBER(T49),T49,0))</f>
        <v>#N/A</v>
      </c>
      <c r="V48" s="193" t="e">
        <f t="shared" ref="V48" ca="1" si="185">IF($B50,0,V49-IF(ISNUMBER(U49),U49,0))</f>
        <v>#N/A</v>
      </c>
      <c r="W48" s="194" t="e">
        <f t="shared" ref="W48" ca="1" si="186">IF($B50,0,W49-IF(ISNUMBER(V49),V49,0))</f>
        <v>#N/A</v>
      </c>
      <c r="X48" s="163"/>
      <c r="AC48" s="188" t="e">
        <f t="shared" ref="AC48" ca="1" si="187">IF($B50,0,AC49-IF(ISNUMBER(AB49),AB49,0))</f>
        <v>#N/A</v>
      </c>
    </row>
    <row r="49" spans="1:29" customFormat="1" ht="14" x14ac:dyDescent="0.25">
      <c r="A49" s="11"/>
      <c r="B49" s="11"/>
      <c r="C49" s="11"/>
      <c r="D49" s="11"/>
      <c r="E49" s="11"/>
      <c r="F49" s="11"/>
      <c r="G49" s="11"/>
      <c r="H49" s="11"/>
      <c r="I49" s="11"/>
      <c r="J49" s="11"/>
      <c r="K49" s="11"/>
      <c r="L49" s="339"/>
      <c r="M49" s="334"/>
      <c r="N49" s="336"/>
      <c r="O49" s="145" t="s">
        <v>145</v>
      </c>
      <c r="P49" s="165" t="e">
        <f t="shared" ref="P49" ca="1" si="188">MIN(IF($B50,P48+IF(ISNUMBER(O49),O49,0),P50/$N48),1)</f>
        <v>#N/A</v>
      </c>
      <c r="Q49" s="143" t="e">
        <f t="shared" ref="Q49" ca="1" si="189">MIN(IF($B50,Q48+IF(ISNUMBER(P49),P49,0),Q50/$N48),1)</f>
        <v>#N/A</v>
      </c>
      <c r="R49" s="143" t="e">
        <f t="shared" ref="R49" ca="1" si="190">MIN(IF($B50,R48+IF(ISNUMBER(Q49),Q49,0),R50/$N48),1)</f>
        <v>#N/A</v>
      </c>
      <c r="S49" s="143" t="e">
        <f t="shared" ref="S49" ca="1" si="191">MIN(IF($B50,S48+IF(ISNUMBER(R49),R49,0),S50/$N48),1)</f>
        <v>#N/A</v>
      </c>
      <c r="T49" s="143" t="e">
        <f t="shared" ref="T49" ca="1" si="192">MIN(IF($B50,T48+IF(ISNUMBER(S49),S49,0),T50/$N48),1)</f>
        <v>#N/A</v>
      </c>
      <c r="U49" s="143" t="e">
        <f t="shared" ref="U49" ca="1" si="193">MIN(IF($B50,U48+IF(ISNUMBER(T49),T49,0),U50/$N48),1)</f>
        <v>#N/A</v>
      </c>
      <c r="V49" s="143" t="e">
        <f t="shared" ref="V49" ca="1" si="194">MIN(IF($B50,V48+IF(ISNUMBER(U49),U49,0),V50/$N48),1)</f>
        <v>#N/A</v>
      </c>
      <c r="W49" s="143" t="e">
        <f t="shared" ref="W49" ca="1" si="195">MIN(IF($B50,W48+IF(ISNUMBER(V49),V49,0),W50/$N48),1)</f>
        <v>#N/A</v>
      </c>
      <c r="X49" s="163"/>
      <c r="AC49" s="143" t="e">
        <f t="shared" ref="AC49" ca="1" si="196">MIN(IF($B50,AC48+IF(ISNUMBER(AB49),AB49,0),AC50/$N48),1)</f>
        <v>#N/A</v>
      </c>
    </row>
    <row r="50" spans="1:29" customFormat="1" ht="14" x14ac:dyDescent="0.25">
      <c r="A50" s="11">
        <f ca="1">OFFSET(A50,-CFF.NumLinha,0)+1</f>
        <v>11</v>
      </c>
      <c r="B50" s="11" t="e">
        <f ca="1">$C50&gt;=OFFSET($C50,CFF.NumLinha,0)</f>
        <v>#N/A</v>
      </c>
      <c r="C50" s="11" t="e">
        <f ca="1">INDEX(PO!A$12:A$25,MATCH($A50,PO!$V$12:$V$25,0))</f>
        <v>#N/A</v>
      </c>
      <c r="D50" s="11" t="e">
        <f t="shared" ref="D50" ca="1" si="197">IF(ISERROR(J50),I50,SMALL(I50:J50,1))-1</f>
        <v>#N/A</v>
      </c>
      <c r="E50" s="11" t="e">
        <f ca="1">IF($C50=1,OFFSET(E50,-CFF.NumLinha,0)+1,OFFSET(E50,-CFF.NumLinha,0))</f>
        <v>#N/A</v>
      </c>
      <c r="F50" s="11" t="e">
        <f ca="1">IF($C50=1,0,IF($C50=2,OFFSET(F50,-CFF.NumLinha,0)+1,OFFSET(F50,-CFF.NumLinha,0)))</f>
        <v>#N/A</v>
      </c>
      <c r="G50" s="11" t="e">
        <f ca="1">IF(AND($C50&lt;=2,$C50&lt;&gt;0),0,IF($C50=3,OFFSET(G50,-CFF.NumLinha,0)+1,OFFSET(G50,-CFF.NumLinha,0)))</f>
        <v>#N/A</v>
      </c>
      <c r="H50" s="11" t="e">
        <f ca="1">IF(AND($C50&lt;=3,$C50&lt;&gt;0),0,IF($C50=4,OFFSET(H50,-CFF.NumLinha,0)+1,OFFSET(H50,-CFF.NumLinha,0)))</f>
        <v>#N/A</v>
      </c>
      <c r="I50" s="11" t="e">
        <f ca="1">MATCH(0,OFFSET($D50,1,$C50,ROW($A$51)-ROW($A50)),0)</f>
        <v>#N/A</v>
      </c>
      <c r="J50" s="11" t="e">
        <f ca="1">MATCH(OFFSET($D50,0,$C50)+1,OFFSET($D50,1,$C50,ROW($A$51)-ROW($A50)),0)</f>
        <v>#N/A</v>
      </c>
      <c r="K50" s="156" t="e">
        <f ca="1">ROUND(INDEX(PO!T$12:T$25,MATCH($A50,PO!$V$12:$V$25,0)),2)+10^-12</f>
        <v>#N/A</v>
      </c>
      <c r="L50" s="339"/>
      <c r="M50" s="334"/>
      <c r="N50" s="336"/>
      <c r="O50" s="171" t="s">
        <v>20</v>
      </c>
      <c r="P50" s="166" t="e">
        <f t="shared" ref="P50:W50" ca="1" si="198">IF($B50,ROUND(P49*$N48,2),ROUND(SUMIF(OFFSET($B50,1,0,$D50),TRUE,OFFSET(P50,1,0,$D50))/SUMIF(OFFSET($B50,1,0,$D50),TRUE,OFFSET($K50,1,0,$D50))*$N48,2))</f>
        <v>#N/A</v>
      </c>
      <c r="Q50" s="144" t="e">
        <f t="shared" ca="1" si="198"/>
        <v>#N/A</v>
      </c>
      <c r="R50" s="144" t="e">
        <f t="shared" ca="1" si="198"/>
        <v>#N/A</v>
      </c>
      <c r="S50" s="144" t="e">
        <f t="shared" ca="1" si="198"/>
        <v>#N/A</v>
      </c>
      <c r="T50" s="144" t="e">
        <f t="shared" ca="1" si="198"/>
        <v>#N/A</v>
      </c>
      <c r="U50" s="144" t="e">
        <f t="shared" ca="1" si="198"/>
        <v>#N/A</v>
      </c>
      <c r="V50" s="144" t="e">
        <f t="shared" ca="1" si="198"/>
        <v>#N/A</v>
      </c>
      <c r="W50" s="174" t="e">
        <f t="shared" ca="1" si="198"/>
        <v>#N/A</v>
      </c>
      <c r="X50" s="163"/>
      <c r="AC50" s="144" t="e">
        <f t="shared" ref="AC50" ca="1" si="199">IF($B50,ROUND(AC49*$N48,2),ROUND(SUMIF(OFFSET($B50,1,0,$D50),TRUE,OFFSET(AC50,1,0,$D50))/SUMIF(OFFSET($B50,1,0,$D50),TRUE,OFFSET($K50,1,0,$D50))*$N48,2))</f>
        <v>#N/A</v>
      </c>
    </row>
    <row r="51" spans="1:29" ht="12.75" customHeight="1" x14ac:dyDescent="0.25">
      <c r="A51"/>
      <c r="B51"/>
      <c r="C51" s="11">
        <v>-1</v>
      </c>
      <c r="D51" s="11"/>
      <c r="E51" s="11">
        <v>0</v>
      </c>
      <c r="F51" s="11">
        <v>0</v>
      </c>
      <c r="G51" s="11">
        <v>0</v>
      </c>
      <c r="H51" s="11">
        <v>0</v>
      </c>
      <c r="I51"/>
      <c r="J51"/>
      <c r="K51"/>
      <c r="L51" s="69"/>
      <c r="M51" s="69"/>
      <c r="N51" s="131"/>
      <c r="O51" s="69"/>
      <c r="P51" s="69"/>
      <c r="Q51" s="131"/>
      <c r="R51" s="69"/>
      <c r="S51" s="69"/>
      <c r="T51" s="69"/>
      <c r="U51" s="69"/>
      <c r="V51" s="69"/>
      <c r="W51" s="69"/>
      <c r="X51" s="157"/>
      <c r="AC51" s="69"/>
    </row>
    <row r="52" spans="1:29" ht="12" customHeight="1" x14ac:dyDescent="0.25">
      <c r="A52"/>
      <c r="B52"/>
      <c r="C52"/>
      <c r="D52"/>
      <c r="E52"/>
      <c r="F52"/>
      <c r="G52"/>
      <c r="H52"/>
      <c r="I52"/>
      <c r="J52"/>
      <c r="K52"/>
      <c r="L52" s="1"/>
      <c r="M52" s="1"/>
      <c r="N52" s="1"/>
      <c r="O52" s="1"/>
      <c r="P52" s="1"/>
      <c r="Q52" s="1"/>
      <c r="R52" s="1"/>
      <c r="S52" s="1"/>
      <c r="T52" s="1"/>
      <c r="U52" s="1"/>
      <c r="V52" s="1"/>
      <c r="W52" s="1"/>
      <c r="X52" s="157"/>
      <c r="AC52" s="1"/>
    </row>
    <row r="53" spans="1:29" x14ac:dyDescent="0.25">
      <c r="A53"/>
      <c r="B53"/>
      <c r="C53"/>
      <c r="D53"/>
      <c r="E53"/>
      <c r="F53"/>
      <c r="G53"/>
      <c r="H53"/>
      <c r="I53"/>
      <c r="J53"/>
      <c r="K53"/>
      <c r="L53" s="352">
        <f>DADOS!I32</f>
        <v>0</v>
      </c>
      <c r="M53" s="352"/>
      <c r="N53" s="352"/>
      <c r="O53" s="1"/>
      <c r="P53" s="158"/>
      <c r="Q53" s="349"/>
      <c r="R53" s="349"/>
      <c r="S53" s="349"/>
      <c r="T53" s="1"/>
      <c r="U53" s="1"/>
      <c r="V53" s="1"/>
      <c r="W53" s="1"/>
      <c r="X53" s="157"/>
      <c r="AC53" s="1"/>
    </row>
    <row r="54" spans="1:29" ht="13" x14ac:dyDescent="0.25">
      <c r="A54"/>
      <c r="B54"/>
      <c r="C54"/>
      <c r="D54"/>
      <c r="E54"/>
      <c r="F54"/>
      <c r="G54"/>
      <c r="H54"/>
      <c r="I54"/>
      <c r="J54"/>
      <c r="K54"/>
      <c r="L54" s="159" t="s">
        <v>120</v>
      </c>
      <c r="M54" s="351"/>
      <c r="N54" s="351"/>
      <c r="O54" s="1"/>
      <c r="P54" s="158"/>
      <c r="Q54" s="349"/>
      <c r="R54" s="349"/>
      <c r="S54" s="349"/>
      <c r="T54" s="1"/>
      <c r="U54" s="1"/>
      <c r="V54" s="1"/>
      <c r="W54" s="1"/>
      <c r="X54" s="157"/>
      <c r="AC54" s="1"/>
    </row>
    <row r="55" spans="1:29" x14ac:dyDescent="0.25">
      <c r="A55"/>
      <c r="B55"/>
      <c r="C55"/>
      <c r="D55"/>
      <c r="E55"/>
      <c r="F55"/>
      <c r="G55"/>
      <c r="H55"/>
      <c r="I55"/>
      <c r="J55"/>
      <c r="K55"/>
      <c r="L55" s="158"/>
      <c r="M55" s="350"/>
      <c r="N55" s="351"/>
      <c r="O55" s="1"/>
      <c r="P55" s="158"/>
      <c r="Q55" s="349"/>
      <c r="R55" s="349"/>
      <c r="S55" s="349"/>
      <c r="T55" s="1"/>
      <c r="U55" s="1"/>
      <c r="V55" s="1"/>
      <c r="W55" s="1"/>
      <c r="X55" s="157"/>
      <c r="AC55" s="1"/>
    </row>
    <row r="56" spans="1:29" x14ac:dyDescent="0.25">
      <c r="A56"/>
      <c r="B56"/>
      <c r="C56"/>
      <c r="D56"/>
      <c r="E56"/>
      <c r="F56"/>
      <c r="G56"/>
      <c r="H56"/>
      <c r="I56"/>
      <c r="J56"/>
      <c r="K56"/>
      <c r="L56" s="337">
        <f ca="1">PO!K39</f>
        <v>46220</v>
      </c>
      <c r="M56" s="337"/>
      <c r="N56" s="337"/>
      <c r="O56" s="1"/>
      <c r="P56" s="1"/>
      <c r="Q56" s="1"/>
      <c r="R56" s="1"/>
      <c r="S56" s="1"/>
      <c r="T56" s="1"/>
      <c r="U56" s="1"/>
      <c r="V56" s="1"/>
      <c r="W56" s="1"/>
      <c r="X56" s="160"/>
      <c r="AC56" s="1"/>
    </row>
    <row r="57" spans="1:29" ht="13" x14ac:dyDescent="0.25">
      <c r="A57"/>
      <c r="B57"/>
      <c r="C57"/>
      <c r="D57"/>
      <c r="E57"/>
      <c r="F57"/>
      <c r="G57"/>
      <c r="H57"/>
      <c r="I57"/>
      <c r="J57"/>
      <c r="K57"/>
      <c r="L57" s="161" t="s">
        <v>121</v>
      </c>
      <c r="M57" s="69"/>
      <c r="N57" s="69"/>
      <c r="O57" s="1"/>
      <c r="P57" s="1"/>
      <c r="Q57" s="1"/>
      <c r="R57" s="1"/>
      <c r="S57" s="1"/>
      <c r="T57" s="1"/>
      <c r="U57" s="1"/>
      <c r="V57" s="1"/>
      <c r="W57" s="1"/>
      <c r="X57" s="160"/>
      <c r="AC57" s="1"/>
    </row>
    <row r="58" spans="1:29" x14ac:dyDescent="0.25">
      <c r="A58"/>
      <c r="B58"/>
      <c r="C58"/>
      <c r="D58"/>
      <c r="E58"/>
      <c r="F58"/>
      <c r="G58"/>
      <c r="H58"/>
      <c r="I58"/>
      <c r="J58"/>
      <c r="K58"/>
      <c r="L58" s="1"/>
      <c r="M58" s="1"/>
      <c r="N58" s="1"/>
      <c r="O58" s="1"/>
      <c r="P58" s="1"/>
      <c r="Q58" s="1"/>
      <c r="R58" s="1"/>
      <c r="S58" s="1"/>
      <c r="T58" s="1"/>
      <c r="U58" s="1"/>
      <c r="V58" s="1"/>
      <c r="W58" s="1"/>
      <c r="X58" s="160"/>
      <c r="AC58" s="1"/>
    </row>
    <row r="59" spans="1:29" x14ac:dyDescent="0.25">
      <c r="A59"/>
      <c r="B59"/>
      <c r="C59"/>
      <c r="D59"/>
      <c r="E59"/>
      <c r="F59"/>
      <c r="G59"/>
      <c r="H59"/>
      <c r="I59"/>
      <c r="J59"/>
      <c r="K59"/>
      <c r="L59" s="1"/>
      <c r="M59" s="1"/>
      <c r="N59" s="4"/>
      <c r="O59" s="1"/>
      <c r="P59" s="1"/>
      <c r="Q59" s="1"/>
      <c r="R59" s="1"/>
      <c r="S59" s="1"/>
      <c r="T59" s="1"/>
      <c r="U59" s="1"/>
      <c r="V59" s="1"/>
      <c r="W59" s="1"/>
      <c r="X59" s="157"/>
      <c r="AC59" s="1"/>
    </row>
    <row r="60" spans="1:29" x14ac:dyDescent="0.25">
      <c r="A60"/>
      <c r="B60"/>
      <c r="C60"/>
      <c r="D60"/>
      <c r="E60"/>
      <c r="F60"/>
      <c r="G60"/>
      <c r="H60"/>
      <c r="I60"/>
      <c r="J60"/>
      <c r="K60"/>
      <c r="L60" s="1"/>
      <c r="M60" s="1"/>
      <c r="N60" s="4"/>
      <c r="O60" s="1"/>
      <c r="P60" s="1"/>
      <c r="Q60" s="1"/>
      <c r="R60" s="1"/>
      <c r="S60" s="1"/>
      <c r="T60" s="1"/>
      <c r="U60" s="1"/>
      <c r="V60" s="1"/>
      <c r="W60" s="1"/>
      <c r="X60" s="157"/>
      <c r="AC60" s="1"/>
    </row>
    <row r="61" spans="1:29" x14ac:dyDescent="0.25">
      <c r="A61"/>
      <c r="B61"/>
      <c r="C61"/>
      <c r="D61"/>
      <c r="E61"/>
      <c r="F61"/>
      <c r="G61"/>
      <c r="H61"/>
      <c r="I61"/>
      <c r="J61"/>
      <c r="K61"/>
      <c r="L61" s="1"/>
      <c r="M61" s="1"/>
      <c r="N61" s="4"/>
      <c r="O61" s="1"/>
      <c r="P61" s="1"/>
      <c r="Q61" s="1"/>
      <c r="R61" s="1"/>
      <c r="S61" s="1"/>
      <c r="T61" s="1"/>
      <c r="U61" s="1"/>
      <c r="V61" s="1"/>
      <c r="W61" s="1"/>
      <c r="X61" s="157"/>
      <c r="AC61" s="1"/>
    </row>
  </sheetData>
  <sheetProtection algorithmName="SHA-512" hashValue="bd1spnTIej5CEA2k1JoisMaNAKeE+A4hOYgH8FawSwhqpRBpLqNXr1YdqsQUpHblCa107ALIIgRMxcv8CC418Q==" saltValue="34UQnIY7jfYOtiU2iPue9w==" spinCount="100000" sheet="1" objects="1" scenarios="1"/>
  <mergeCells count="46">
    <mergeCell ref="L8:M8"/>
    <mergeCell ref="N11:N13"/>
    <mergeCell ref="M18:M20"/>
    <mergeCell ref="N18:N20"/>
    <mergeCell ref="M30:M32"/>
    <mergeCell ref="N30:N32"/>
    <mergeCell ref="N27:N29"/>
    <mergeCell ref="L30:L32"/>
    <mergeCell ref="N45:N47"/>
    <mergeCell ref="L48:L50"/>
    <mergeCell ref="L33:L35"/>
    <mergeCell ref="M33:M35"/>
    <mergeCell ref="N33:N35"/>
    <mergeCell ref="L36:L38"/>
    <mergeCell ref="M36:M38"/>
    <mergeCell ref="N36:N38"/>
    <mergeCell ref="L39:L41"/>
    <mergeCell ref="M39:M41"/>
    <mergeCell ref="N39:N41"/>
    <mergeCell ref="L42:L44"/>
    <mergeCell ref="M42:M44"/>
    <mergeCell ref="N42:N44"/>
    <mergeCell ref="L45:L47"/>
    <mergeCell ref="M45:M47"/>
    <mergeCell ref="Q55:S55"/>
    <mergeCell ref="M55:N55"/>
    <mergeCell ref="Q54:S54"/>
    <mergeCell ref="Q53:S53"/>
    <mergeCell ref="L53:N53"/>
    <mergeCell ref="M54:N54"/>
    <mergeCell ref="M48:M50"/>
    <mergeCell ref="N48:N50"/>
    <mergeCell ref="L56:N56"/>
    <mergeCell ref="L11:L13"/>
    <mergeCell ref="M11:M13"/>
    <mergeCell ref="L14:M17"/>
    <mergeCell ref="N14:N17"/>
    <mergeCell ref="L18:L20"/>
    <mergeCell ref="L21:L23"/>
    <mergeCell ref="M21:M23"/>
    <mergeCell ref="N21:N23"/>
    <mergeCell ref="L24:L26"/>
    <mergeCell ref="M24:M26"/>
    <mergeCell ref="N24:N26"/>
    <mergeCell ref="L27:L29"/>
    <mergeCell ref="M27:M29"/>
  </mergeCells>
  <phoneticPr fontId="20" type="noConversion"/>
  <conditionalFormatting sqref="L11:N11 L12:M13 L18:N18">
    <cfRule type="expression" dxfId="83" priority="1052" stopIfTrue="1">
      <formula>$C13=1</formula>
    </cfRule>
  </conditionalFormatting>
  <conditionalFormatting sqref="O11 O18">
    <cfRule type="expression" dxfId="82" priority="1124" stopIfTrue="1">
      <formula>$B13=FALSE</formula>
    </cfRule>
    <cfRule type="expression" dxfId="81" priority="1125" stopIfTrue="1">
      <formula>$C13=1</formula>
    </cfRule>
  </conditionalFormatting>
  <conditionalFormatting sqref="P12:W12">
    <cfRule type="expression" dxfId="80" priority="1114" stopIfTrue="1">
      <formula>AND(ISNUMBER(O13),O13&gt;=$N11)</formula>
    </cfRule>
    <cfRule type="cellIs" dxfId="79" priority="1115" stopIfTrue="1" operator="notBetween">
      <formula>0</formula>
      <formula>1</formula>
    </cfRule>
  </conditionalFormatting>
  <conditionalFormatting sqref="P13:W13">
    <cfRule type="expression" dxfId="78" priority="1116" stopIfTrue="1">
      <formula>AND(ISNUMBER(O13),O13&gt;=$N11)</formula>
    </cfRule>
    <cfRule type="cellIs" dxfId="77" priority="1117" stopIfTrue="1" operator="notBetween">
      <formula>0</formula>
      <formula>$N11</formula>
    </cfRule>
  </conditionalFormatting>
  <conditionalFormatting sqref="P14:W14">
    <cfRule type="expression" dxfId="76" priority="1118" stopIfTrue="1">
      <formula>AND(ISNUMBER(O17),O17&gt;=$N14)</formula>
    </cfRule>
  </conditionalFormatting>
  <conditionalFormatting sqref="P15:W15">
    <cfRule type="expression" dxfId="75" priority="1119" stopIfTrue="1">
      <formula>AND(ISNUMBER(O17),O17&gt;=$N14)</formula>
    </cfRule>
  </conditionalFormatting>
  <conditionalFormatting sqref="P16:W16">
    <cfRule type="expression" dxfId="74" priority="1120" stopIfTrue="1">
      <formula>AND(ISNUMBER(O17),O17&gt;=$N14)</formula>
    </cfRule>
    <cfRule type="cellIs" dxfId="73" priority="1121" stopIfTrue="1" operator="notBetween">
      <formula>0</formula>
      <formula>1</formula>
    </cfRule>
  </conditionalFormatting>
  <conditionalFormatting sqref="P17:W17">
    <cfRule type="expression" dxfId="72" priority="1122" stopIfTrue="1">
      <formula>AND(ISNUMBER(O17),O17&gt;=$N14)</formula>
    </cfRule>
    <cfRule type="cellIs" dxfId="71" priority="1123" stopIfTrue="1" operator="notBetween">
      <formula>0</formula>
      <formula>$N14</formula>
    </cfRule>
  </conditionalFormatting>
  <conditionalFormatting sqref="L8">
    <cfRule type="cellIs" dxfId="70" priority="1109" stopIfTrue="1" operator="notEqual">
      <formula>""</formula>
    </cfRule>
  </conditionalFormatting>
  <conditionalFormatting sqref="N9">
    <cfRule type="expression" dxfId="69" priority="1108" stopIfTrue="1">
      <formula>TipoOrçamento&lt;&gt;"REPROGRAMADOAC"</formula>
    </cfRule>
  </conditionalFormatting>
  <conditionalFormatting sqref="L19:M20">
    <cfRule type="expression" dxfId="68" priority="1943" stopIfTrue="1">
      <formula>#REF!=1</formula>
    </cfRule>
  </conditionalFormatting>
  <conditionalFormatting sqref="P11:W11">
    <cfRule type="expression" dxfId="67" priority="263" stopIfTrue="1">
      <formula>AND(ISNUMBER(O13),O13&gt;=$N11)</formula>
    </cfRule>
    <cfRule type="expression" dxfId="66" priority="264" stopIfTrue="1">
      <formula>$B13=FALSE</formula>
    </cfRule>
    <cfRule type="expression" dxfId="65" priority="265" stopIfTrue="1">
      <formula>$C13=1</formula>
    </cfRule>
  </conditionalFormatting>
  <conditionalFormatting sqref="P19:W19">
    <cfRule type="expression" dxfId="64" priority="214" stopIfTrue="1">
      <formula>AND(ISNUMBER(O20),O20&gt;=$N18)</formula>
    </cfRule>
    <cfRule type="cellIs" dxfId="63" priority="215" stopIfTrue="1" operator="notBetween">
      <formula>0</formula>
      <formula>1</formula>
    </cfRule>
  </conditionalFormatting>
  <conditionalFormatting sqref="P20:W20">
    <cfRule type="expression" dxfId="62" priority="216" stopIfTrue="1">
      <formula>AND(ISNUMBER(O20),O20&gt;=$N18)</formula>
    </cfRule>
    <cfRule type="cellIs" dxfId="61" priority="217" stopIfTrue="1" operator="notBetween">
      <formula>0</formula>
      <formula>$N18</formula>
    </cfRule>
  </conditionalFormatting>
  <conditionalFormatting sqref="O10:W10">
    <cfRule type="expression" dxfId="60" priority="186" stopIfTrue="1">
      <formula>1=1</formula>
    </cfRule>
  </conditionalFormatting>
  <conditionalFormatting sqref="P18:W18">
    <cfRule type="expression" dxfId="59" priority="141" stopIfTrue="1">
      <formula>AND(ISNUMBER(O20),O20&gt;=$N18)</formula>
    </cfRule>
    <cfRule type="expression" dxfId="58" priority="142" stopIfTrue="1">
      <formula>$B20=FALSE</formula>
    </cfRule>
    <cfRule type="expression" dxfId="57" priority="143" stopIfTrue="1">
      <formula>$C20=1</formula>
    </cfRule>
  </conditionalFormatting>
  <conditionalFormatting sqref="AC18">
    <cfRule type="expression" dxfId="56" priority="61" stopIfTrue="1">
      <formula>AND(ISNUMBER(AB20),AB20&gt;=$N18)</formula>
    </cfRule>
    <cfRule type="expression" dxfId="55" priority="62" stopIfTrue="1">
      <formula>$B20=FALSE</formula>
    </cfRule>
    <cfRule type="expression" dxfId="54" priority="63" stopIfTrue="1">
      <formula>$C20=1</formula>
    </cfRule>
  </conditionalFormatting>
  <conditionalFormatting sqref="AC12">
    <cfRule type="expression" dxfId="53" priority="76" stopIfTrue="1">
      <formula>AND(ISNUMBER(AB13),AB13&gt;=$N11)</formula>
    </cfRule>
    <cfRule type="cellIs" dxfId="52" priority="77" stopIfTrue="1" operator="notBetween">
      <formula>0</formula>
      <formula>1</formula>
    </cfRule>
  </conditionalFormatting>
  <conditionalFormatting sqref="AC13">
    <cfRule type="expression" dxfId="51" priority="78" stopIfTrue="1">
      <formula>AND(ISNUMBER(AB13),AB13&gt;=$N11)</formula>
    </cfRule>
    <cfRule type="cellIs" dxfId="50" priority="79" stopIfTrue="1" operator="notBetween">
      <formula>0</formula>
      <formula>$N11</formula>
    </cfRule>
  </conditionalFormatting>
  <conditionalFormatting sqref="AC14">
    <cfRule type="expression" dxfId="49" priority="80" stopIfTrue="1">
      <formula>AND(ISNUMBER(AB17),AB17&gt;=$N14)</formula>
    </cfRule>
  </conditionalFormatting>
  <conditionalFormatting sqref="AC15">
    <cfRule type="expression" dxfId="48" priority="81" stopIfTrue="1">
      <formula>AND(ISNUMBER(AB17),AB17&gt;=$N14)</formula>
    </cfRule>
  </conditionalFormatting>
  <conditionalFormatting sqref="AC16">
    <cfRule type="expression" dxfId="47" priority="82" stopIfTrue="1">
      <formula>AND(ISNUMBER(AB17),AB17&gt;=$N14)</formula>
    </cfRule>
    <cfRule type="cellIs" dxfId="46" priority="83" stopIfTrue="1" operator="notBetween">
      <formula>0</formula>
      <formula>1</formula>
    </cfRule>
  </conditionalFormatting>
  <conditionalFormatting sqref="AC17">
    <cfRule type="expression" dxfId="45" priority="84" stopIfTrue="1">
      <formula>AND(ISNUMBER(AB17),AB17&gt;=$N14)</formula>
    </cfRule>
    <cfRule type="cellIs" dxfId="44" priority="85" stopIfTrue="1" operator="notBetween">
      <formula>0</formula>
      <formula>$N14</formula>
    </cfRule>
  </conditionalFormatting>
  <conditionalFormatting sqref="AC11">
    <cfRule type="expression" dxfId="43" priority="73" stopIfTrue="1">
      <formula>AND(ISNUMBER(AB13),AB13&gt;=$N11)</formula>
    </cfRule>
    <cfRule type="expression" dxfId="42" priority="74" stopIfTrue="1">
      <formula>$B13=FALSE</formula>
    </cfRule>
    <cfRule type="expression" dxfId="41" priority="75" stopIfTrue="1">
      <formula>$C13=1</formula>
    </cfRule>
  </conditionalFormatting>
  <conditionalFormatting sqref="AC19">
    <cfRule type="expression" dxfId="40" priority="69" stopIfTrue="1">
      <formula>AND(ISNUMBER(AB20),AB20&gt;=$N18)</formula>
    </cfRule>
    <cfRule type="cellIs" dxfId="39" priority="70" stopIfTrue="1" operator="notBetween">
      <formula>0</formula>
      <formula>1</formula>
    </cfRule>
  </conditionalFormatting>
  <conditionalFormatting sqref="AC20">
    <cfRule type="expression" dxfId="38" priority="71" stopIfTrue="1">
      <formula>AND(ISNUMBER(AB20),AB20&gt;=$N18)</formula>
    </cfRule>
    <cfRule type="cellIs" dxfId="37" priority="72" stopIfTrue="1" operator="notBetween">
      <formula>0</formula>
      <formula>$N18</formula>
    </cfRule>
  </conditionalFormatting>
  <conditionalFormatting sqref="AC10">
    <cfRule type="expression" dxfId="36" priority="64" stopIfTrue="1">
      <formula>1=1</formula>
    </cfRule>
  </conditionalFormatting>
  <conditionalFormatting sqref="L21:N21 L24:N24 L27:N27 L30:N30 L33:N33 L36:N36 L39:N39 L22:M23 L25:M26 L28:M29 L31:M32 L34:M35 L37:M38">
    <cfRule type="expression" dxfId="35" priority="45" stopIfTrue="1">
      <formula>$C23=1</formula>
    </cfRule>
  </conditionalFormatting>
  <conditionalFormatting sqref="O21 O24 O27 O30 O33 O36 O39">
    <cfRule type="expression" dxfId="34" priority="50" stopIfTrue="1">
      <formula>$B23=FALSE</formula>
    </cfRule>
    <cfRule type="expression" dxfId="33" priority="51" stopIfTrue="1">
      <formula>$C23=1</formula>
    </cfRule>
  </conditionalFormatting>
  <conditionalFormatting sqref="P22:W22 P25:W25 P28:W28 P31:W31 P34:W34 P37:W37 P40:W40">
    <cfRule type="expression" dxfId="32" priority="46" stopIfTrue="1">
      <formula>AND(ISNUMBER(O23),O23&gt;=$N21)</formula>
    </cfRule>
    <cfRule type="cellIs" dxfId="31" priority="47" stopIfTrue="1" operator="notBetween">
      <formula>0</formula>
      <formula>1</formula>
    </cfRule>
  </conditionalFormatting>
  <conditionalFormatting sqref="P23:W23 P26:W26 P29:W29 P32:W32 P35:W35 P38:W38 P41:W41">
    <cfRule type="expression" dxfId="30" priority="48" stopIfTrue="1">
      <formula>AND(ISNUMBER(O23),O23&gt;=$N21)</formula>
    </cfRule>
    <cfRule type="cellIs" dxfId="29" priority="49" stopIfTrue="1" operator="notBetween">
      <formula>0</formula>
      <formula>$N21</formula>
    </cfRule>
  </conditionalFormatting>
  <conditionalFormatting sqref="P21:W21 P24:W24 P27:W27 P30:W30 P33:W33 P36:W36 P39:W39">
    <cfRule type="expression" dxfId="28" priority="42" stopIfTrue="1">
      <formula>AND(ISNUMBER(O23),O23&gt;=$N21)</formula>
    </cfRule>
    <cfRule type="expression" dxfId="27" priority="43" stopIfTrue="1">
      <formula>$B23=FALSE</formula>
    </cfRule>
    <cfRule type="expression" dxfId="26" priority="44" stopIfTrue="1">
      <formula>$C23=1</formula>
    </cfRule>
  </conditionalFormatting>
  <conditionalFormatting sqref="AC22 AC25 AC28 AC31 AC34 AC37 AC40">
    <cfRule type="expression" dxfId="25" priority="38" stopIfTrue="1">
      <formula>AND(ISNUMBER(AB23),AB23&gt;=$N21)</formula>
    </cfRule>
    <cfRule type="cellIs" dxfId="24" priority="39" stopIfTrue="1" operator="notBetween">
      <formula>0</formula>
      <formula>1</formula>
    </cfRule>
  </conditionalFormatting>
  <conditionalFormatting sqref="AC23 AC26 AC29 AC32 AC35 AC38 AC41">
    <cfRule type="expression" dxfId="23" priority="40" stopIfTrue="1">
      <formula>AND(ISNUMBER(AB23),AB23&gt;=$N21)</formula>
    </cfRule>
    <cfRule type="cellIs" dxfId="22" priority="41" stopIfTrue="1" operator="notBetween">
      <formula>0</formula>
      <formula>$N21</formula>
    </cfRule>
  </conditionalFormatting>
  <conditionalFormatting sqref="AC21 AC24 AC27 AC30 AC33 AC36 AC39">
    <cfRule type="expression" dxfId="21" priority="35" stopIfTrue="1">
      <formula>AND(ISNUMBER(AB23),AB23&gt;=$N21)</formula>
    </cfRule>
    <cfRule type="expression" dxfId="20" priority="36" stopIfTrue="1">
      <formula>$B23=FALSE</formula>
    </cfRule>
    <cfRule type="expression" dxfId="19" priority="37" stopIfTrue="1">
      <formula>$C23=1</formula>
    </cfRule>
  </conditionalFormatting>
  <conditionalFormatting sqref="L40:M41">
    <cfRule type="expression" dxfId="18" priority="1999" stopIfTrue="1">
      <formula>$C51=1</formula>
    </cfRule>
  </conditionalFormatting>
  <conditionalFormatting sqref="L42:N42 L45:N45 L48:N48 L43:M44 L46:M47">
    <cfRule type="expression" dxfId="17" priority="28" stopIfTrue="1">
      <formula>$C44=1</formula>
    </cfRule>
  </conditionalFormatting>
  <conditionalFormatting sqref="O42 O45 O48">
    <cfRule type="expression" dxfId="16" priority="33" stopIfTrue="1">
      <formula>$B44=FALSE</formula>
    </cfRule>
    <cfRule type="expression" dxfId="15" priority="34" stopIfTrue="1">
      <formula>$C44=1</formula>
    </cfRule>
  </conditionalFormatting>
  <conditionalFormatting sqref="P43:W43 P46:W46 P49:W49">
    <cfRule type="expression" dxfId="14" priority="29" stopIfTrue="1">
      <formula>AND(ISNUMBER(O44),O44&gt;=$N42)</formula>
    </cfRule>
    <cfRule type="cellIs" dxfId="13" priority="30" stopIfTrue="1" operator="notBetween">
      <formula>0</formula>
      <formula>1</formula>
    </cfRule>
  </conditionalFormatting>
  <conditionalFormatting sqref="P44:W44 P47:W47 P50:W50">
    <cfRule type="expression" dxfId="12" priority="31" stopIfTrue="1">
      <formula>AND(ISNUMBER(O44),O44&gt;=$N42)</formula>
    </cfRule>
    <cfRule type="cellIs" dxfId="11" priority="32" stopIfTrue="1" operator="notBetween">
      <formula>0</formula>
      <formula>$N42</formula>
    </cfRule>
  </conditionalFormatting>
  <conditionalFormatting sqref="P42:W42 P45:W45 P48:W48">
    <cfRule type="expression" dxfId="10" priority="25" stopIfTrue="1">
      <formula>AND(ISNUMBER(O44),O44&gt;=$N42)</formula>
    </cfRule>
    <cfRule type="expression" dxfId="9" priority="26" stopIfTrue="1">
      <formula>$B44=FALSE</formula>
    </cfRule>
    <cfRule type="expression" dxfId="8" priority="27" stopIfTrue="1">
      <formula>$C44=1</formula>
    </cfRule>
  </conditionalFormatting>
  <conditionalFormatting sqref="AC43 AC46 AC49">
    <cfRule type="expression" dxfId="7" priority="21" stopIfTrue="1">
      <formula>AND(ISNUMBER(AB44),AB44&gt;=$N42)</formula>
    </cfRule>
    <cfRule type="cellIs" dxfId="6" priority="22" stopIfTrue="1" operator="notBetween">
      <formula>0</formula>
      <formula>1</formula>
    </cfRule>
  </conditionalFormatting>
  <conditionalFormatting sqref="AC44 AC47 AC50">
    <cfRule type="expression" dxfId="5" priority="23" stopIfTrue="1">
      <formula>AND(ISNUMBER(AB44),AB44&gt;=$N42)</formula>
    </cfRule>
    <cfRule type="cellIs" dxfId="4" priority="24" stopIfTrue="1" operator="notBetween">
      <formula>0</formula>
      <formula>$N42</formula>
    </cfRule>
  </conditionalFormatting>
  <conditionalFormatting sqref="AC42 AC45 AC48">
    <cfRule type="expression" dxfId="3" priority="18" stopIfTrue="1">
      <formula>AND(ISNUMBER(AB44),AB44&gt;=$N42)</formula>
    </cfRule>
    <cfRule type="expression" dxfId="2" priority="19" stopIfTrue="1">
      <formula>$B44=FALSE</formula>
    </cfRule>
    <cfRule type="expression" dxfId="1" priority="20" stopIfTrue="1">
      <formula>$C44=1</formula>
    </cfRule>
  </conditionalFormatting>
  <conditionalFormatting sqref="L49:M50">
    <cfRule type="expression" dxfId="0" priority="2068" stopIfTrue="1">
      <formula>#REF!=1</formula>
    </cfRule>
  </conditionalFormatting>
  <dataValidations disablePrompts="1"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P27:W27 P30:W30 P33:W33 P36:W36 P39:W39 AC21 AC24 AC27 AC30 AC33 AC36 AC39 P42:W42 P45:W45 P48:W48 AC42 AC45 AC48" xr:uid="{00000000-0002-0000-0400-000001000000}">
      <formula1>0</formula1>
      <formula2>1-SUM($P11:P11)+P11</formula2>
    </dataValidation>
  </dataValidations>
  <printOptions horizontalCentered="1"/>
  <pageMargins left="0.25" right="0.25" top="0.75" bottom="0.75" header="0.3" footer="0.3"/>
  <pageSetup paperSize="9" scale="49"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61</vt:i4>
      </vt:variant>
    </vt:vector>
  </HeadingPairs>
  <TitlesOfParts>
    <vt:vector size="68" baseType="lpstr">
      <vt:lpstr>DADOS</vt:lpstr>
      <vt:lpstr>BDI (1)</vt:lpstr>
      <vt:lpstr>BDI (2)</vt:lpstr>
      <vt:lpstr>BDI (3)</vt:lpstr>
      <vt:lpstr>PO</vt:lpstr>
      <vt:lpstr>PLQ</vt:lpstr>
      <vt:lpstr>CFF</vt:lpstr>
      <vt:lpstr>PLQ!_FiltrarBancodeDados</vt:lpstr>
      <vt:lpstr>PO!_FiltrarBancodeDados</vt:lpstr>
      <vt:lpstr>'BDI (1)'!Area_de_impressao</vt:lpstr>
      <vt:lpstr>'BDI (2)'!Area_de_impressao</vt:lpstr>
      <vt:lpstr>'BDI (3)'!Area_de_impressao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Stringhini</dc:creator>
  <cp:lastModifiedBy>Guilherme Augusto Balbinot</cp:lastModifiedBy>
  <cp:lastPrinted>2026-07-17T17:30:36Z</cp:lastPrinted>
  <dcterms:created xsi:type="dcterms:W3CDTF">1998-03-27T18:43:07Z</dcterms:created>
  <dcterms:modified xsi:type="dcterms:W3CDTF">2026-07-17T17:32:17Z</dcterms:modified>
</cp:coreProperties>
</file>