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_de_trabalho"/>
  <mc:AlternateContent xmlns:mc="http://schemas.openxmlformats.org/markup-compatibility/2006">
    <mc:Choice Requires="x15">
      <x15ac:absPath xmlns:x15ac="http://schemas.microsoft.com/office/spreadsheetml/2010/11/ac" url="Z:\2026\PREFEITURA\EDITAIS\CCR 015-2026 -  Construção de encontro (cabeceira) e viga de apoio na Ponte Hermínio Gonçalves\ORIGINAIS\"/>
    </mc:Choice>
  </mc:AlternateContent>
  <xr:revisionPtr revIDLastSave="0" documentId="8_{025A3881-D60C-46CE-80A0-D50449175208}" xr6:coauthVersionLast="47" xr6:coauthVersionMax="47" xr10:uidLastSave="{00000000-0000-0000-0000-000000000000}"/>
  <workbookProtection workbookAlgorithmName="SHA-512" workbookHashValue="Yh6bhJs604wVbDLP49sjKTdrvxanEJZmoR3cTgcWPpg4FZN6ESKJBnVTYiLfCNQr/3x2N3ZlNqeWKH0tDprxGg==" workbookSaltValue="8ntp5fAoZ8mlMe7DdKa9Dw==" workbookSpinCount="100000" lockStructure="1"/>
  <bookViews>
    <workbookView xWindow="-120" yWindow="-120" windowWidth="24240" windowHeight="13140" tabRatio="801" activeTab="2"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BM!$C$15:$C$48</definedName>
    <definedName name="_xlnm._FilterDatabase" localSheetId="6" hidden="1">CÁLCULO!$C$15:$C$48</definedName>
    <definedName name="_xlnm._FilterDatabase" localSheetId="8" hidden="1">CRONO!$G$13:$G$46</definedName>
    <definedName name="_xlnm._FilterDatabase" localSheetId="7" hidden="1">CRONOPLE!$A$13:$A$79</definedName>
    <definedName name="_xlnm._FilterDatabase" localSheetId="5" hidden="1">EVENTOS!$A$13:$A$72</definedName>
    <definedName name="_xlnm._FilterDatabase" localSheetId="4" hidden="1">ORÇAMENTO!$L$15:$L$48</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BM!$D$1:$O$63</definedName>
    <definedName name="_xlnm.Print_Area" localSheetId="6">CÁLCULO!$E$6:$AA$56</definedName>
    <definedName name="_xlnm.Print_Area" localSheetId="8">CRONO!$I$1:$X$46</definedName>
    <definedName name="_xlnm.Print_Area" localSheetId="5">EVENTOS!$C$2:$Z$72</definedName>
    <definedName name="_xlnm.Print_Area" localSheetId="1">MENU!$A$1:$I$25</definedName>
    <definedName name="_xlnm.Print_Area" localSheetId="13">OFÍCIO!$A$1:$G$56</definedName>
    <definedName name="_xlnm.Print_Area" localSheetId="4">ORÇAMENTO!$O$1:$Y$65</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BM!$C$15:$C$48</definedName>
    <definedName name="BM.firstrow" hidden="1">BM!$15:$15</definedName>
    <definedName name="BM.FormulaMed" hidden="1">BM!$AO$7</definedName>
    <definedName name="BM.lastrow" hidden="1">BM!$48:$48</definedName>
    <definedName name="BM.LinhaPadrão" hidden="1">BM!$14:$14</definedName>
    <definedName name="BM.MaxMed" hidden="1">IF(RegimeExecucao="Global",1,BM!$G1)</definedName>
    <definedName name="BM.MCAIXA.Filter" hidden="1">BM!$C$15:$Z$48</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CÁLCULO!$C$15:$C$48</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CÁLCULO!$48:$48</definedName>
    <definedName name="CÁLCULO.LinhaPadrão" hidden="1">CÁLCULO!$14:$14</definedName>
    <definedName name="CÁLCULO.margemrow" hidden="1">CÁLCULO!$56:$56</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CÁLCULO!$48:$48</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CÁLCULO!$48:$48</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CÁLCULO!$48:$48</definedName>
    <definedName name="CÁLCULO.nEvento" hidden="1">CÁLCULO!$M$12</definedName>
    <definedName name="CÁLCULO.NúmeroDeEventos" hidden="1">IF(AUTOEVENTO&lt;&gt;"manual",MAX(CÁLCULO!$M$15:$M$48),MAX(OFFSET(EVENTOS!$C$1:$C$65,1,0)))</definedName>
    <definedName name="CÁLCULO.NúmeroDeFrentes" hidden="1">COLUMN(CÁLCULO!$AA$15)-COLUMN(CÁLCULO!$Q$15)</definedName>
    <definedName name="CÁLCULO.Título" hidden="1">CÁLCULO!$F$6</definedName>
    <definedName name="CÁLCULO.TotalAdmLocal" hidden="1">IF(AUTOEVENTO="manual",SUMIF(CÁLCULO!$M$15:$M$48,1,ORÇAMENTO!$X$15:$X$48),0)</definedName>
    <definedName name="CRONO.ColAux" hidden="1">CRONO!$M:$R</definedName>
    <definedName name="CRONO.ColunaPadrão" hidden="1">CRONO!$E:$E</definedName>
    <definedName name="CRONO.Erro" hidden="1">CRONO!$K$10</definedName>
    <definedName name="CRONO.Filtro" hidden="1">CRONO!$G$13:$G$46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CRONO!$29:$29</definedName>
    <definedName name="CRONO.lastrow2" hidden="1">CRONO!$41:$41</definedName>
    <definedName name="CRONO.LinhaPadrão" hidden="1">CRONO!$1:$3</definedName>
    <definedName name="CRONO.LinhasNecessarias" hidden="1">COUNTIF(QCI!$B$13:$B$24,"Manual")+COUNTIF(QCI!$B$13:$B$24,"SemiAuto")+COUNT(ORÇAMENTO.ListaCrono)</definedName>
    <definedName name="CRONO.Lista.AdmLocal" hidden="1">CRONO!$A$13:$A$29</definedName>
    <definedName name="CRONO.Lista.Níveis" hidden="1">CRONO!$A$9:$A$11</definedName>
    <definedName name="CRONO.margemrow" hidden="1">CRONO!$46:$46</definedName>
    <definedName name="CRONO.MaxParc" hidden="1">CRONO!$H1048576+CRONO!A1</definedName>
    <definedName name="CRONO.NivelExibicao" hidden="1">CRONO!$H$10</definedName>
    <definedName name="CRONO.Parcela1" hidden="1">CRONO!$U$12:$U$13</definedName>
    <definedName name="CRONO.ParcelaFinal" hidden="1">MATCH(100%,CRONO!$U$35:$AG$35,0)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SUMIF(CÁLCULO!$M$15:$M$48,CRONOPLE!$B1,OFFSET(CÁLCULO!$AA$15:$AA$48,0,CRONOPLE!A$12))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BM!$D$51</definedName>
    <definedName name="Import.BMAFAcumulado" hidden="1">OFFSET(BM!$R$15,1,0):OFFSET(BM!$R$48,-1,0)</definedName>
    <definedName name="Import.BMArred" hidden="1">BM!$A$9</definedName>
    <definedName name="Import.CNPJ" hidden="1">DADOS!$C$39</definedName>
    <definedName name="Import.Código" hidden="1">OFFSET(ORÇAMENTO!$Q$15,1,0):OFFSET(ORÇAMENTO!$Q$48,-1,0)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OFFSET(ORÇAMENTO!$U$15,1,0):OFFSET(ORÇAMENTO!$U$48,-1,0)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OFFSET(ORÇAMENTO!$R$15,1,0):OFFSET(ORÇAMENTO!$R$48,-1,0)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OFFSET(ORÇAMENTO!$P$15,1,0):OFFSET(ORÇAMENTO!$P$48,-1,0)</definedName>
    <definedName name="Import.FrenteDeObra" hidden="1">CÁLCULO!$Q$12:OFFSET(CÁLCULO!$AA$12,0,-1)</definedName>
    <definedName name="Import.MacrosserviçoAdmLocal" hidden="1">CRONO!$H$40</definedName>
    <definedName name="Import.Município" hidden="1">DADOS!$C$6</definedName>
    <definedName name="Import.Nível" hidden="1">OFFSET(ORÇAMENTO!$M$15,1,0):OFFSET(ORÇAMENTO!$M$48,-1,0)</definedName>
    <definedName name="Import.Ofício.Dest" hidden="1">OFÍCIO!$B$11</definedName>
    <definedName name="Import.Ofício.GIGOV" hidden="1">OFÍCIO!$C$11</definedName>
    <definedName name="Import.Ofício.Num" hidden="1">OFÍCIO!$C$6</definedName>
    <definedName name="Import.OpcaoBDI" hidden="1">OFFSET(ORÇAMENTO!$V$15,1,0):OFFSET(ORÇAMENTO!$V$48,-1,0)</definedName>
    <definedName name="Import.ORÇAMENTO.DivRecurso" hidden="1">OFFSET(ORÇAMENTO!$Y$15,1,0):OFFSET(ORÇAMENTO!$Y$48,-1,0)</definedName>
    <definedName name="Import.ORÇAMENTO.Obs" hidden="1">ORÇAMENTO!$O$54</definedName>
    <definedName name="Import.PLE" hidden="1">OFFSET(PLE!$G$15,1,1):OFFSET(PLE!$AG$65,-1,-1)</definedName>
    <definedName name="Import.PLE.Datas" hidden="1">PLE!$I$68:$AF$68</definedName>
    <definedName name="Import.PLQ" hidden="1">OFFSET(CÁLCULO!$P$15,1,1):OFFSET(CÁLCULO!$AA$48,-1,-1)</definedName>
    <definedName name="Import.PLQ.MemCalc" hidden="1">OFFSET(CÁLCULO!$I$15,1,0):OFFSET(CÁLCULO!$I$48,-1,0)</definedName>
    <definedName name="Import.PLQ.nAgrupEvent" hidden="1">OFFSET(CÁLCULO!$K$15,1,0):OFFSET(CÁLCULO!$K$48,-1,0)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OFFSET(ORÇAMENTO!$AJ$15,1,0):OFFSET(ORÇAMENTO!$AJ$48,-1,0)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OFFSET(ORÇAMENTO!$S$15,1,0):OFFSET(ORÇAMENTO!$S$48,-1,0)</definedName>
    <definedName name="Import.UnitarioLicitado" hidden="1">OFFSET(ORÇAMENTO!$AL$15,1,0):OFFSET(ORÇAMENTO!$AL$48,-1,0)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ORÇAMENTO!$L$15:$L$48</definedName>
    <definedName name="ORÇAMENTO.firstrow" hidden="1">ORÇAMENTO!$15:$15</definedName>
    <definedName name="ORÇAMENTO.Fonte" hidden="1">ORÇAMENTO!$P1</definedName>
    <definedName name="ORÇAMENTO.lastrow" hidden="1">ORÇAMENTO!$48:$48</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OFFSET(ORÇAMENTO!$AD$15,1,0):OFFSET(ORÇAMENTO!$AD$48,-1,0)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OFFSET(ORÇAMENTO!$P$15,1,0):OFFSET(ORÇAMENTO!$S$48,-1,0)</definedName>
    <definedName name="ORÇAMENTO.PasteFormat2" hidden="1">OFFSET(ORÇAMENTO!$U$15,1,0):OFFSET(ORÇAMENTO!$V$48,-1,0)</definedName>
    <definedName name="ORÇAMENTO.PrecoUnitarioLicitado" hidden="1">ORÇAMENTO!$AL1</definedName>
    <definedName name="ORÇAMENTO.QuantBM" hidden="1">ORÇAMENTO!$AJ1</definedName>
    <definedName name="ORÇAMENTO.RangeQuant" hidden="1">OFFSET(ORÇAMENTO!$T$15,1,0):OFFSET(ORÇAMENTO!$T$48,-1,0)</definedName>
    <definedName name="ORÇAMENTO.SumCPMANUAL" hidden="1">SUMIF(ORÇAMENTO!$Z$15:$Z$48,"CP",ORÇAMENTO!$AA$15:$AA$48)</definedName>
    <definedName name="ORÇAMENTO.SumINVMANUAL" hidden="1">SUMIF(ORÇAMENTO!$Z$15:$Z$48,"RP",ORÇAMENTO!$X$15:$X$48)+SUMIF(ORÇAMENTO!$Z$15:$Z$48,"CP",ORÇAMENTO!$X$15:$X$48)+SUMIF(ORÇAMENTO!$Z$15:$Z$48,"OU",ORÇAMENTO!$X$15:$X$48)</definedName>
    <definedName name="ORÇAMENTO.SumOUTROSMANUAL" hidden="1">SUMIF(ORÇAMENTO!$Z$15:$Z$48,"OU",ORÇAMENTO!$AB$15:$AB$48)</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SUMIF(CÁLCULO!$M$15:$M$48,PLE!$B1,OFFSET(CÁLCULO!$AA$15:$AA$48,0,PLE!A$12))</definedName>
    <definedName name="PO.ValoresBDI" hidden="1">OFFSET(ORÇAMENTO!$AH$15,1,0):OFFSET(ORÇAMENTO!$AH$48,-1,0)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4" i="5" l="1"/>
  <c r="A43" i="5"/>
  <c r="A33" i="5"/>
  <c r="A32" i="5"/>
  <c r="AJ37" i="5" l="1"/>
  <c r="AJ36" i="5"/>
  <c r="AJ35" i="5"/>
  <c r="AJ25" i="5"/>
  <c r="AJ24" i="5"/>
  <c r="AJ23" i="5"/>
  <c r="AJ22" i="5"/>
  <c r="AJ44" i="5" l="1"/>
  <c r="AJ43" i="5"/>
  <c r="AJ42" i="5"/>
  <c r="AJ41" i="5"/>
  <c r="AJ40" i="5"/>
  <c r="A42" i="5"/>
  <c r="A41" i="5"/>
  <c r="A40" i="5"/>
  <c r="AJ39" i="5" l="1"/>
  <c r="AJ38" i="5"/>
  <c r="A36" i="5"/>
  <c r="A35" i="5"/>
  <c r="AJ27" i="5"/>
  <c r="AJ31" i="5"/>
  <c r="AJ30" i="5"/>
  <c r="AJ29" i="5"/>
  <c r="AJ28" i="5"/>
  <c r="AJ33" i="5" l="1"/>
  <c r="AJ32" i="5"/>
  <c r="A31" i="5"/>
  <c r="A39" i="5"/>
  <c r="A30" i="5"/>
  <c r="A29" i="5"/>
  <c r="A38" i="5"/>
  <c r="A47" i="5"/>
  <c r="AJ46" i="5"/>
  <c r="A28" i="5" l="1"/>
  <c r="A22" i="5"/>
  <c r="A20" i="5" l="1"/>
  <c r="A19" i="5"/>
  <c r="A18" i="5"/>
  <c r="A17" i="5"/>
  <c r="A27"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46" i="5"/>
  <c r="A45" i="5"/>
  <c r="A37" i="5"/>
  <c r="A34" i="5"/>
  <c r="A26" i="5"/>
  <c r="A25" i="5"/>
  <c r="A24" i="5"/>
  <c r="A23" i="5"/>
  <c r="A21" i="5"/>
  <c r="C16" i="5"/>
  <c r="A16" i="5"/>
  <c r="R101" i="4"/>
  <c r="J105" i="4"/>
  <c r="J102" i="4"/>
  <c r="J101" i="4"/>
  <c r="J65" i="4"/>
  <c r="J62" i="4"/>
  <c r="J61" i="4"/>
  <c r="C188" i="3"/>
  <c r="A23" i="11" l="1"/>
  <c r="F16" i="5"/>
  <c r="C17" i="5"/>
  <c r="B17" i="6" s="1"/>
  <c r="L18" i="6"/>
  <c r="G16" i="5"/>
  <c r="I16" i="5"/>
  <c r="N16" i="5"/>
  <c r="D16" i="6" s="1"/>
  <c r="B16" i="5"/>
  <c r="A16" i="12"/>
  <c r="B16" i="6"/>
  <c r="E16" i="12"/>
  <c r="H16" i="5"/>
  <c r="W16" i="5" a="1"/>
  <c r="W16" i="5" s="1"/>
  <c r="H16" i="12" s="1" a="1"/>
  <c r="H16" i="12" s="1"/>
  <c r="AE16" i="5" a="1"/>
  <c r="AE16" i="5" s="1"/>
  <c r="B20" i="8"/>
  <c r="E19" i="13"/>
  <c r="A19" i="11"/>
  <c r="A17" i="11"/>
  <c r="C184" i="3"/>
  <c r="C183" i="3"/>
  <c r="C181" i="3"/>
  <c r="L19" i="6" l="1"/>
  <c r="W17" i="5" a="1"/>
  <c r="W17" i="5" s="1"/>
  <c r="H17" i="12" s="1" a="1"/>
  <c r="H17" i="12" s="1"/>
  <c r="N17" i="5"/>
  <c r="A17" i="12"/>
  <c r="G17" i="5"/>
  <c r="F17" i="5"/>
  <c r="I17" i="5"/>
  <c r="H17" i="5"/>
  <c r="C18" i="5"/>
  <c r="B18" i="6" s="1"/>
  <c r="AE17" i="5" a="1"/>
  <c r="AE17" i="5" s="1"/>
  <c r="B17" i="5"/>
  <c r="B23" i="8"/>
  <c r="M16" i="6"/>
  <c r="H16" i="6" a="1"/>
  <c r="H16" i="6" s="1"/>
  <c r="T16" i="5" s="1"/>
  <c r="G16" i="12" s="1" a="1"/>
  <c r="G16" i="12" s="1"/>
  <c r="G16" i="6"/>
  <c r="N16" i="6"/>
  <c r="AD16" i="5"/>
  <c r="AD17" i="5" s="1"/>
  <c r="E16" i="5"/>
  <c r="E17" i="5" s="1"/>
  <c r="F16" i="6"/>
  <c r="AC48" i="5" a="1"/>
  <c r="AC48" i="5" s="1"/>
  <c r="D17" i="6" l="1"/>
  <c r="L20" i="6"/>
  <c r="E17" i="12"/>
  <c r="F17" i="6"/>
  <c r="AE18" i="5" a="1"/>
  <c r="AE18" i="5" s="1"/>
  <c r="N18" i="5"/>
  <c r="J18" i="5"/>
  <c r="A18" i="12"/>
  <c r="F18" i="5"/>
  <c r="E18" i="5"/>
  <c r="H18" i="5"/>
  <c r="C19" i="5"/>
  <c r="B19" i="6" s="1"/>
  <c r="K18" i="5"/>
  <c r="G18" i="5"/>
  <c r="D18" i="5"/>
  <c r="B18" i="12" s="1"/>
  <c r="B18" i="5"/>
  <c r="AD18" i="5"/>
  <c r="B26" i="8"/>
  <c r="B14" i="11"/>
  <c r="A14" i="13"/>
  <c r="L14" i="6"/>
  <c r="AE7" i="10" a="1"/>
  <c r="AE7" i="10" s="1"/>
  <c r="AE6" i="10" a="1"/>
  <c r="AE6" i="10" s="1"/>
  <c r="V7" i="10" a="1"/>
  <c r="V7" i="10" s="1"/>
  <c r="V6" i="10" a="1"/>
  <c r="V6" i="10" s="1"/>
  <c r="D55" i="12" a="1"/>
  <c r="D55"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K19" i="5" l="1"/>
  <c r="N19" i="5"/>
  <c r="AE19" i="5" a="1"/>
  <c r="AE19" i="5" s="1"/>
  <c r="AD19" i="5"/>
  <c r="H19" i="5"/>
  <c r="E19" i="5"/>
  <c r="C20" i="5"/>
  <c r="B20" i="6" s="1"/>
  <c r="D19" i="5"/>
  <c r="B19" i="12" s="1"/>
  <c r="J19" i="5"/>
  <c r="A19" i="12"/>
  <c r="G19" i="5"/>
  <c r="B19" i="5"/>
  <c r="F19" i="5"/>
  <c r="N17" i="6"/>
  <c r="M17" i="6"/>
  <c r="H17" i="6" a="1"/>
  <c r="H17" i="6" s="1"/>
  <c r="T17" i="5" s="1"/>
  <c r="G17" i="6"/>
  <c r="AF17" i="5" a="1"/>
  <c r="AF17" i="5" s="1"/>
  <c r="D18" i="6"/>
  <c r="C14" i="13"/>
  <c r="K14" i="11" a="1"/>
  <c r="K14" i="11" s="1"/>
  <c r="J14" i="13" s="1"/>
  <c r="G14" i="11"/>
  <c r="F14" i="13" s="1"/>
  <c r="AF16" i="5" a="1"/>
  <c r="AF16" i="5" s="1"/>
  <c r="B14" i="6"/>
  <c r="O8" i="5"/>
  <c r="F11" i="5"/>
  <c r="G17" i="12" l="1" a="1"/>
  <c r="G17" i="12" s="1"/>
  <c r="S17" i="5" a="1"/>
  <c r="S17" i="5" s="1"/>
  <c r="F17" i="12" s="1" a="1"/>
  <c r="F17" i="12" s="1"/>
  <c r="AG17" i="5" a="1"/>
  <c r="AG17" i="5" s="1"/>
  <c r="D19" i="6"/>
  <c r="L21" i="6"/>
  <c r="F21" i="6" s="1"/>
  <c r="H18" i="6" a="1"/>
  <c r="H18" i="6" s="1"/>
  <c r="T18" i="5" s="1"/>
  <c r="N20" i="5"/>
  <c r="K20" i="5"/>
  <c r="J20" i="5"/>
  <c r="A20" i="12"/>
  <c r="AE20" i="5" a="1"/>
  <c r="AE20" i="5" s="1"/>
  <c r="AD20" i="5"/>
  <c r="H20" i="5"/>
  <c r="G20" i="5"/>
  <c r="D20" i="5"/>
  <c r="B20" i="12" s="1"/>
  <c r="F20" i="5"/>
  <c r="E20" i="5"/>
  <c r="B20" i="5"/>
  <c r="AG16" i="5" a="1"/>
  <c r="AG16" i="5" s="1"/>
  <c r="S16" i="5" a="1"/>
  <c r="S16" i="5" s="1"/>
  <c r="F14" i="6"/>
  <c r="D14" i="6"/>
  <c r="C171" i="3"/>
  <c r="C170" i="3"/>
  <c r="C169" i="3"/>
  <c r="C166" i="3"/>
  <c r="C160" i="3"/>
  <c r="C159" i="3"/>
  <c r="C21" i="5" l="1"/>
  <c r="D20" i="6"/>
  <c r="H19" i="6" a="1"/>
  <c r="H19" i="6" s="1"/>
  <c r="T19" i="5" s="1"/>
  <c r="L22" i="6"/>
  <c r="G18" i="12" a="1"/>
  <c r="G18" i="12" s="1"/>
  <c r="F16" i="12" a="1"/>
  <c r="F16" i="12" s="1"/>
  <c r="G14" i="6"/>
  <c r="H14" i="6" a="1"/>
  <c r="H14" i="6" s="1"/>
  <c r="X9" i="5"/>
  <c r="W9" i="5"/>
  <c r="V9" i="5"/>
  <c r="U9" i="5"/>
  <c r="T9" i="5"/>
  <c r="AF21" i="5" l="1" a="1"/>
  <c r="AF21" i="5" s="1"/>
  <c r="A21" i="12"/>
  <c r="N21" i="5"/>
  <c r="D21" i="6" s="1"/>
  <c r="G21" i="6" s="1"/>
  <c r="AE21" i="5" a="1"/>
  <c r="AE21" i="5" s="1"/>
  <c r="G21" i="5"/>
  <c r="B21" i="5"/>
  <c r="AD21" i="5"/>
  <c r="F21" i="5"/>
  <c r="E21" i="5"/>
  <c r="H21" i="5"/>
  <c r="B21" i="6"/>
  <c r="G19" i="12" a="1"/>
  <c r="G19" i="12" s="1"/>
  <c r="L23" i="6"/>
  <c r="H20" i="6" a="1"/>
  <c r="H20" i="6" s="1"/>
  <c r="T20" i="5" s="1"/>
  <c r="C177" i="3"/>
  <c r="C175" i="3"/>
  <c r="C22" i="5" l="1"/>
  <c r="C23" i="5" s="1"/>
  <c r="B23" i="6" s="1"/>
  <c r="L24" i="6"/>
  <c r="G20" i="12" a="1"/>
  <c r="G20" i="12" s="1"/>
  <c r="E21" i="12"/>
  <c r="S21" i="5" a="1"/>
  <c r="S21" i="5" s="1"/>
  <c r="F21" i="12" s="1" a="1"/>
  <c r="F21" i="12" s="1"/>
  <c r="AG21" i="5" a="1"/>
  <c r="AG21" i="5" s="1"/>
  <c r="C157" i="3"/>
  <c r="C173" i="3"/>
  <c r="C167" i="3"/>
  <c r="C164" i="3"/>
  <c r="C163" i="3"/>
  <c r="C161" i="3"/>
  <c r="H22" i="5" l="1"/>
  <c r="H23" i="5" s="1"/>
  <c r="G22" i="5"/>
  <c r="G23" i="5" s="1"/>
  <c r="F22" i="5"/>
  <c r="F23" i="5" s="1"/>
  <c r="E22" i="5"/>
  <c r="E23" i="5" s="1"/>
  <c r="D22" i="5"/>
  <c r="B22" i="12" s="1"/>
  <c r="B22" i="5"/>
  <c r="B23" i="5" s="1"/>
  <c r="A22" i="12"/>
  <c r="AE22" i="5" a="1"/>
  <c r="AE22" i="5" s="1"/>
  <c r="AD22" i="5"/>
  <c r="N22" i="5"/>
  <c r="K22" i="5"/>
  <c r="J22" i="5"/>
  <c r="B22" i="6"/>
  <c r="L25" i="6"/>
  <c r="K23" i="5"/>
  <c r="AD23" i="5"/>
  <c r="D23" i="5"/>
  <c r="B23" i="12" s="1"/>
  <c r="C24" i="5"/>
  <c r="B24" i="6" s="1"/>
  <c r="AE23" i="5" a="1"/>
  <c r="AE23" i="5" s="1"/>
  <c r="N23" i="5"/>
  <c r="D23" i="6" s="1"/>
  <c r="A23" i="12"/>
  <c r="J23" i="5"/>
  <c r="C153" i="3"/>
  <c r="C151" i="3"/>
  <c r="D22" i="6" l="1"/>
  <c r="F24" i="5"/>
  <c r="N24" i="5"/>
  <c r="D24" i="6" s="1"/>
  <c r="J24" i="5"/>
  <c r="C25" i="5"/>
  <c r="B25" i="6" s="1"/>
  <c r="AE24" i="5" a="1"/>
  <c r="AE24" i="5" s="1"/>
  <c r="E24" i="5"/>
  <c r="B24" i="5"/>
  <c r="AD24" i="5"/>
  <c r="A24" i="12"/>
  <c r="H24" i="5"/>
  <c r="G24" i="5"/>
  <c r="K24" i="5"/>
  <c r="D24" i="5"/>
  <c r="B24" i="12" s="1"/>
  <c r="L26" i="6"/>
  <c r="A12" i="6"/>
  <c r="H22" i="6" l="1" a="1"/>
  <c r="H22" i="6" s="1"/>
  <c r="T22" i="5" s="1"/>
  <c r="L27" i="6"/>
  <c r="L28" i="6" s="1"/>
  <c r="L29" i="6" s="1"/>
  <c r="L30" i="6" s="1"/>
  <c r="L31" i="6" s="1"/>
  <c r="L32" i="6" s="1"/>
  <c r="A17" i="6"/>
  <c r="A18" i="6" s="1"/>
  <c r="A19" i="6" s="1"/>
  <c r="H25" i="5"/>
  <c r="G25" i="5"/>
  <c r="A25" i="12"/>
  <c r="AE25" i="5" a="1"/>
  <c r="AE25" i="5" s="1"/>
  <c r="AD25" i="5"/>
  <c r="D25" i="5"/>
  <c r="B25" i="12" s="1"/>
  <c r="B25" i="5"/>
  <c r="E25" i="5"/>
  <c r="N25" i="5"/>
  <c r="D25" i="6" s="1"/>
  <c r="C26" i="5"/>
  <c r="F25" i="5"/>
  <c r="J25" i="5"/>
  <c r="K25"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4" i="6"/>
  <c r="A11" i="6"/>
  <c r="C147" i="3"/>
  <c r="C149" i="3"/>
  <c r="C145" i="3"/>
  <c r="C143" i="3"/>
  <c r="C141" i="3"/>
  <c r="U11" i="4"/>
  <c r="U10" i="4"/>
  <c r="Y26" i="4"/>
  <c r="Z26" i="4" s="1"/>
  <c r="Y106" i="4"/>
  <c r="Z106" i="4" s="1"/>
  <c r="Y66" i="4"/>
  <c r="Z66" i="4" s="1"/>
  <c r="R64" i="4"/>
  <c r="R63" i="4"/>
  <c r="R23" i="4"/>
  <c r="R24" i="4"/>
  <c r="C133" i="3"/>
  <c r="L33" i="6" l="1"/>
  <c r="G22" i="12" a="1"/>
  <c r="G22" i="12" s="1"/>
  <c r="A20" i="6"/>
  <c r="N20" i="6" s="1"/>
  <c r="N19" i="6"/>
  <c r="C27" i="5"/>
  <c r="C28" i="5" s="1"/>
  <c r="B26" i="5"/>
  <c r="J26" i="5"/>
  <c r="H26" i="5"/>
  <c r="G26" i="5"/>
  <c r="A26" i="12"/>
  <c r="D26" i="5"/>
  <c r="B26" i="12" s="1"/>
  <c r="K26" i="5"/>
  <c r="AE26" i="5" a="1"/>
  <c r="AE26" i="5" s="1"/>
  <c r="E26" i="5"/>
  <c r="N26" i="5"/>
  <c r="D26" i="6" s="1"/>
  <c r="AD26" i="5"/>
  <c r="F26" i="5"/>
  <c r="N18" i="6"/>
  <c r="B26" i="6"/>
  <c r="A21" i="6"/>
  <c r="X26" i="4"/>
  <c r="X106" i="4"/>
  <c r="X66" i="4"/>
  <c r="C137" i="3"/>
  <c r="C135" i="3"/>
  <c r="C132" i="3"/>
  <c r="B28" i="6" l="1"/>
  <c r="C29" i="5"/>
  <c r="D28" i="5"/>
  <c r="B28" i="12" s="1"/>
  <c r="A28" i="12"/>
  <c r="K28" i="5"/>
  <c r="AE28" i="5" a="1"/>
  <c r="AE28" i="5" s="1"/>
  <c r="AD28" i="5"/>
  <c r="J28" i="5"/>
  <c r="N28" i="5"/>
  <c r="F27" i="5"/>
  <c r="F28" i="5" s="1"/>
  <c r="E27" i="5"/>
  <c r="E28" i="5" s="1"/>
  <c r="G27" i="5"/>
  <c r="G28" i="5" s="1"/>
  <c r="H27" i="5"/>
  <c r="H28" i="5" s="1"/>
  <c r="B27" i="5"/>
  <c r="B28" i="5" s="1"/>
  <c r="A27" i="12"/>
  <c r="N27" i="5"/>
  <c r="D27" i="6" s="1"/>
  <c r="K27" i="5"/>
  <c r="AD27" i="5"/>
  <c r="J27" i="5"/>
  <c r="AE27" i="5" a="1"/>
  <c r="AE27" i="5" s="1"/>
  <c r="D27" i="5"/>
  <c r="B27" i="12" s="1"/>
  <c r="B27" i="6"/>
  <c r="N21" i="6"/>
  <c r="A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C30" i="5" l="1"/>
  <c r="H29" i="5"/>
  <c r="AE29" i="5" a="1"/>
  <c r="AE29" i="5" s="1"/>
  <c r="G29" i="5"/>
  <c r="F29" i="5"/>
  <c r="E29" i="5"/>
  <c r="D29" i="5"/>
  <c r="B29" i="12" s="1"/>
  <c r="A29" i="12"/>
  <c r="J29" i="5"/>
  <c r="B29" i="5"/>
  <c r="N29" i="5"/>
  <c r="AD29" i="5"/>
  <c r="K29" i="5"/>
  <c r="B29" i="6"/>
  <c r="E28" i="12"/>
  <c r="F28" i="6"/>
  <c r="D28" i="6"/>
  <c r="F28" i="12" a="1"/>
  <c r="F28" i="12" s="1"/>
  <c r="N22" i="6"/>
  <c r="H27" i="6" a="1"/>
  <c r="H27" i="6" s="1"/>
  <c r="T27" i="5" s="1"/>
  <c r="G27" i="12" s="1" a="1"/>
  <c r="G27" i="12" s="1"/>
  <c r="A23" i="6"/>
  <c r="J4" i="15"/>
  <c r="AB13" i="12" a="1"/>
  <c r="AB13" i="12" s="1"/>
  <c r="I69" i="10"/>
  <c r="AE30" i="5" l="1" a="1"/>
  <c r="AE30" i="5" s="1"/>
  <c r="C31" i="5"/>
  <c r="C32" i="5" s="1"/>
  <c r="F30" i="5"/>
  <c r="G30" i="5"/>
  <c r="H30" i="5"/>
  <c r="B30" i="6"/>
  <c r="J30" i="5"/>
  <c r="K30" i="5"/>
  <c r="E30" i="5"/>
  <c r="AD30" i="5"/>
  <c r="N30" i="5"/>
  <c r="D30" i="6" s="1"/>
  <c r="A30" i="12"/>
  <c r="D30" i="5"/>
  <c r="B30" i="12" s="1"/>
  <c r="B30" i="5"/>
  <c r="D29" i="6"/>
  <c r="G28" i="6"/>
  <c r="H28" i="6" a="1"/>
  <c r="H28" i="6" s="1"/>
  <c r="T28" i="5" s="1"/>
  <c r="A24" i="6"/>
  <c r="N23" i="6"/>
  <c r="P7" i="13"/>
  <c r="K14" i="13" a="1"/>
  <c r="K14" i="13" s="1"/>
  <c r="G22" i="15" a="1"/>
  <c r="G22" i="15" s="1"/>
  <c r="C22" i="15" a="1"/>
  <c r="C22" i="15" s="1"/>
  <c r="F10" i="12" a="1"/>
  <c r="F10" i="12" s="1"/>
  <c r="F8" i="7"/>
  <c r="M8" i="12" a="1"/>
  <c r="M8" i="12" s="1"/>
  <c r="H41" i="8" a="1"/>
  <c r="H41" i="8" s="1"/>
  <c r="H39" i="8" a="1"/>
  <c r="H39" i="8" s="1"/>
  <c r="F7" i="6" a="1"/>
  <c r="F7" i="6" s="1"/>
  <c r="F6" i="6" a="1"/>
  <c r="F6" i="6" s="1"/>
  <c r="Q1" i="6" a="1"/>
  <c r="Q1" i="6" s="1"/>
  <c r="O1" i="6" a="1"/>
  <c r="O1" i="6" s="1"/>
  <c r="C11" i="7" a="1"/>
  <c r="C11" i="7" s="1"/>
  <c r="C122" i="3"/>
  <c r="C120" i="3"/>
  <c r="AE32" i="5" l="1" a="1"/>
  <c r="AE32" i="5" s="1"/>
  <c r="A32" i="12"/>
  <c r="AD32" i="5"/>
  <c r="K32" i="5"/>
  <c r="J32" i="5"/>
  <c r="N32" i="5"/>
  <c r="C33" i="5"/>
  <c r="D32" i="5"/>
  <c r="B32" i="12" s="1"/>
  <c r="B32" i="6"/>
  <c r="H31" i="5"/>
  <c r="H32" i="5" s="1"/>
  <c r="G31" i="5"/>
  <c r="G32" i="5" s="1"/>
  <c r="F31" i="5"/>
  <c r="F32" i="5" s="1"/>
  <c r="E31" i="5"/>
  <c r="E32" i="5" s="1"/>
  <c r="D31" i="5"/>
  <c r="B31" i="12" s="1"/>
  <c r="A31" i="12"/>
  <c r="N31" i="5"/>
  <c r="B31" i="5"/>
  <c r="B32" i="5" s="1"/>
  <c r="K31" i="5"/>
  <c r="AD31" i="5"/>
  <c r="J31" i="5"/>
  <c r="AE31" i="5" a="1"/>
  <c r="AE31" i="5" s="1"/>
  <c r="B31" i="6"/>
  <c r="H30" i="6" a="1"/>
  <c r="H30" i="6" s="1"/>
  <c r="T30" i="5" s="1"/>
  <c r="H29" i="6" a="1"/>
  <c r="H29" i="6" s="1"/>
  <c r="T29" i="5" s="1"/>
  <c r="G28" i="12" a="1"/>
  <c r="G28" i="12" s="1"/>
  <c r="A25" i="6"/>
  <c r="N24" i="6"/>
  <c r="C14" i="14" a="1"/>
  <c r="C14" i="14" s="1"/>
  <c r="B39" i="14" a="1"/>
  <c r="B39" i="14" s="1"/>
  <c r="B37" i="14" a="1"/>
  <c r="B37" i="14" s="1"/>
  <c r="E28" i="14" a="1"/>
  <c r="E28" i="14" s="1"/>
  <c r="R1" i="6" a="1"/>
  <c r="R1" i="6" s="1"/>
  <c r="S67" i="4"/>
  <c r="U67" i="4" s="1"/>
  <c r="S107" i="4"/>
  <c r="U107" i="4" s="1"/>
  <c r="C124" i="3"/>
  <c r="AF32" i="5" a="1"/>
  <c r="AF32" i="5" l="1"/>
  <c r="N33" i="5"/>
  <c r="AE33" i="5" a="1"/>
  <c r="AE33" i="5" s="1"/>
  <c r="AD33" i="5"/>
  <c r="K33" i="5"/>
  <c r="J33" i="5"/>
  <c r="H33" i="5"/>
  <c r="G33" i="5"/>
  <c r="F33" i="5"/>
  <c r="E33" i="5"/>
  <c r="D33" i="5"/>
  <c r="B33" i="12" s="1"/>
  <c r="B33" i="5"/>
  <c r="A33" i="12"/>
  <c r="B33" i="6"/>
  <c r="AG32" i="5" a="1"/>
  <c r="AG32" i="5" s="1"/>
  <c r="F32" i="12" a="1"/>
  <c r="F32" i="12" s="1"/>
  <c r="D32" i="6"/>
  <c r="D31" i="6"/>
  <c r="G30" i="12" a="1"/>
  <c r="G30" i="12" s="1"/>
  <c r="G29" i="12" a="1"/>
  <c r="G29" i="12" s="1"/>
  <c r="A26" i="6"/>
  <c r="N25" i="6"/>
  <c r="S1" i="6" a="1"/>
  <c r="S1" i="6" s="1"/>
  <c r="H67" i="9"/>
  <c r="AF33" i="5" a="1"/>
  <c r="AF33" i="5" l="1"/>
  <c r="E32" i="12"/>
  <c r="F32" i="6"/>
  <c r="H32" i="6" a="1"/>
  <c r="H32" i="6" s="1"/>
  <c r="T32" i="5" s="1"/>
  <c r="G32" i="6"/>
  <c r="D33" i="6"/>
  <c r="AG33" i="5" a="1"/>
  <c r="AG33" i="5" s="1"/>
  <c r="F33" i="12" a="1"/>
  <c r="F33" i="12" s="1"/>
  <c r="H31" i="6" a="1"/>
  <c r="H31" i="6" s="1"/>
  <c r="T31" i="5" s="1"/>
  <c r="A27" i="6"/>
  <c r="A28" i="6" s="1"/>
  <c r="A29" i="6" s="1"/>
  <c r="A30" i="6" s="1"/>
  <c r="A31" i="6" s="1"/>
  <c r="N26" i="6"/>
  <c r="T1" i="6" a="1"/>
  <c r="T1" i="6" s="1"/>
  <c r="C94" i="3"/>
  <c r="C92" i="3"/>
  <c r="G32" i="12" l="1" a="1"/>
  <c r="G32" i="12" s="1"/>
  <c r="E33" i="12"/>
  <c r="F33" i="6"/>
  <c r="H33" i="6" a="1"/>
  <c r="H33" i="6" s="1"/>
  <c r="T33" i="5" s="1"/>
  <c r="G33" i="6"/>
  <c r="N31" i="6"/>
  <c r="A32" i="6"/>
  <c r="G31" i="12" a="1"/>
  <c r="G31" i="12" s="1"/>
  <c r="N30" i="6"/>
  <c r="N29" i="6"/>
  <c r="N28" i="6"/>
  <c r="N27" i="6"/>
  <c r="U1" i="6" a="1"/>
  <c r="U1" i="6" s="1"/>
  <c r="C98" i="3"/>
  <c r="A33" i="6" l="1"/>
  <c r="N32" i="6"/>
  <c r="G33" i="12" a="1"/>
  <c r="G33" i="12" s="1"/>
  <c r="V1" i="6" a="1"/>
  <c r="V1" i="6" s="1"/>
  <c r="C5" i="14"/>
  <c r="N33" i="6" l="1"/>
  <c r="W1" i="6" a="1"/>
  <c r="W1" i="6" s="1"/>
  <c r="S12" i="11"/>
  <c r="X1" i="6" l="1" a="1"/>
  <c r="X1" i="6" s="1"/>
  <c r="C1" i="7" a="1"/>
  <c r="C1" i="7" s="1"/>
  <c r="B1" i="7" l="1"/>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Z1" i="6" l="1" a="1"/>
  <c r="Z1" i="6" s="1"/>
  <c r="D27" i="2"/>
  <c r="D15" i="2"/>
  <c r="D35" i="2"/>
  <c r="D3" i="2"/>
  <c r="H10" i="7" l="1"/>
  <c r="AG41" i="8" l="1"/>
  <c r="C103" i="3" l="1"/>
  <c r="C100" i="3"/>
  <c r="C96" i="3"/>
  <c r="C93" i="3" l="1"/>
  <c r="C112" i="3" l="1"/>
  <c r="C108" i="3"/>
  <c r="C70" i="3"/>
  <c r="L35" i="13"/>
  <c r="L34" i="13" s="1"/>
  <c r="C84" i="3"/>
  <c r="C56" i="3" l="1"/>
  <c r="E34" i="12" l="1"/>
  <c r="Q13" i="6"/>
  <c r="A1" i="7"/>
  <c r="V70" i="7" a="1"/>
  <c r="V70" i="7" s="1"/>
  <c r="Y5" i="7"/>
  <c r="X5" i="7"/>
  <c r="P5" i="7"/>
  <c r="C60" i="3"/>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44" i="8" a="1"/>
  <c r="T54" i="6" a="1"/>
  <c r="T56" i="6" s="1"/>
  <c r="I54" i="6" a="1"/>
  <c r="I55"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7" i="12"/>
  <c r="E58" i="12"/>
  <c r="K60" i="12" a="1"/>
  <c r="K62" i="12" s="1"/>
  <c r="E10" i="6"/>
  <c r="I10" i="6"/>
  <c r="K10" i="6"/>
  <c r="S10" i="6"/>
  <c r="U10" i="6"/>
  <c r="O13" i="6"/>
  <c r="O15" i="6" s="1"/>
  <c r="O11" i="6" s="1"/>
  <c r="B15" i="6"/>
  <c r="C15" i="6"/>
  <c r="E15" i="6"/>
  <c r="B48" i="6"/>
  <c r="C48" i="6"/>
  <c r="F52" i="6"/>
  <c r="S5" i="8"/>
  <c r="I8" i="8"/>
  <c r="L8" i="8"/>
  <c r="U8" i="8"/>
  <c r="E13" i="8"/>
  <c r="V13" i="8"/>
  <c r="W13" i="8" s="1"/>
  <c r="X13" i="8" s="1"/>
  <c r="Y13" i="8" s="1"/>
  <c r="Z13" i="8" s="1"/>
  <c r="AA13" i="8" s="1"/>
  <c r="AB13" i="8" s="1"/>
  <c r="AC13" i="8" s="1"/>
  <c r="AD13" i="8" s="1"/>
  <c r="AE13" i="8" s="1"/>
  <c r="AF13" i="8" s="1"/>
  <c r="T31" i="8"/>
  <c r="T36" i="8"/>
  <c r="I4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8" i="5"/>
  <c r="O15" i="5"/>
  <c r="O61" i="5"/>
  <c r="T63" i="5" a="1"/>
  <c r="T63"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C34" i="4"/>
  <c r="C45" i="4"/>
  <c r="AY13" i="6"/>
  <c r="K50" i="4"/>
  <c r="N9" i="10"/>
  <c r="C33" i="4"/>
  <c r="C48" i="4"/>
  <c r="C27" i="4"/>
  <c r="A16" i="4"/>
  <c r="W12" i="8"/>
  <c r="X13" i="6"/>
  <c r="O7" i="11"/>
  <c r="AC13" i="12"/>
  <c r="K69" i="10"/>
  <c r="K74" i="10" s="1"/>
  <c r="W82" i="10"/>
  <c r="E12" i="13"/>
  <c r="C47" i="4"/>
  <c r="C23" i="4"/>
  <c r="A30" i="4"/>
  <c r="A31" i="4" s="1"/>
  <c r="C31" i="4" s="1"/>
  <c r="C46" i="4"/>
  <c r="C28" i="4"/>
  <c r="K63" i="12"/>
  <c r="C21" i="4"/>
  <c r="C22" i="4"/>
  <c r="K132" i="4"/>
  <c r="W81" i="10"/>
  <c r="K60" i="12"/>
  <c r="T65" i="5"/>
  <c r="O7" i="13"/>
  <c r="T55" i="6"/>
  <c r="P125" i="4"/>
  <c r="I45" i="8"/>
  <c r="I56" i="6"/>
  <c r="I54" i="6"/>
  <c r="AC13" i="6"/>
  <c r="AC12" i="6" s="1"/>
  <c r="AN13" i="6"/>
  <c r="B14" i="5"/>
  <c r="F14" i="5"/>
  <c r="G15" i="9"/>
  <c r="H15" i="10"/>
  <c r="S110" i="4"/>
  <c r="I12" i="10"/>
  <c r="I11" i="10" s="1" a="1"/>
  <c r="I11" i="10" s="1"/>
  <c r="H12" i="9"/>
  <c r="A36" i="4"/>
  <c r="C35" i="4"/>
  <c r="C24" i="4"/>
  <c r="AA45" i="8"/>
  <c r="AA46" i="8"/>
  <c r="AA44" i="8"/>
  <c r="P45" i="4"/>
  <c r="K14" i="5"/>
  <c r="J14" i="5"/>
  <c r="H14" i="5"/>
  <c r="A14" i="12"/>
  <c r="D14" i="5"/>
  <c r="B14" i="12" s="1"/>
  <c r="AD14" i="5"/>
  <c r="E14" i="5"/>
  <c r="G14" i="5"/>
  <c r="N14" i="5"/>
  <c r="E61" i="12"/>
  <c r="B80" i="10"/>
  <c r="F55" i="6"/>
  <c r="O64" i="5"/>
  <c r="D36" i="11"/>
  <c r="W79" i="10"/>
  <c r="A4" i="4"/>
  <c r="K51" i="4"/>
  <c r="K61" i="12"/>
  <c r="S70" i="4"/>
  <c r="K91" i="4"/>
  <c r="T54" i="6"/>
  <c r="K90" i="4"/>
  <c r="T64" i="5"/>
  <c r="AB17" i="6" l="1"/>
  <c r="AC17" i="6"/>
  <c r="AN17" i="6"/>
  <c r="AT17" i="6"/>
  <c r="AY17" i="6" a="1"/>
  <c r="AY17" i="6" s="1"/>
  <c r="BF17" i="6" a="1"/>
  <c r="BF17" i="6" s="1"/>
  <c r="BC17" i="6" a="1"/>
  <c r="BC17" i="6" s="1"/>
  <c r="BG17" i="6" a="1"/>
  <c r="BG17" i="6" s="1"/>
  <c r="AU17" i="6"/>
  <c r="AV17" i="6"/>
  <c r="AX17" i="6" a="1"/>
  <c r="AX17" i="6" s="1"/>
  <c r="BE17" i="6" a="1"/>
  <c r="BE17" i="6" s="1"/>
  <c r="AZ17" i="6" a="1"/>
  <c r="AZ17" i="6" s="1"/>
  <c r="BA17" i="6" a="1"/>
  <c r="BA17" i="6" s="1"/>
  <c r="AS17" i="6"/>
  <c r="BD17" i="6" a="1"/>
  <c r="BD17" i="6" s="1"/>
  <c r="AP17" i="6"/>
  <c r="AR17" i="6"/>
  <c r="AQ17" i="6"/>
  <c r="AM17" i="6"/>
  <c r="BB17" i="6" a="1"/>
  <c r="BB17" i="6" s="1"/>
  <c r="AO17" i="6"/>
  <c r="M18" i="6"/>
  <c r="AB16" i="6"/>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H5" i="5"/>
  <c r="X8" i="5" s="1" a="1"/>
  <c r="X8"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D17" i="6" l="1"/>
  <c r="AD18" i="6"/>
  <c r="AC18" i="6"/>
  <c r="M19" i="6"/>
  <c r="AX18" i="6" a="1"/>
  <c r="AX18" i="6" s="1"/>
  <c r="AY18" i="6" a="1"/>
  <c r="AY18" i="6" s="1"/>
  <c r="AM18" i="6"/>
  <c r="AN18" i="6"/>
  <c r="AZ18" i="6" a="1"/>
  <c r="AZ18" i="6" s="1"/>
  <c r="AO18" i="6"/>
  <c r="AB18" i="6"/>
  <c r="M20" i="6"/>
  <c r="AD16" i="6"/>
  <c r="M21" i="6"/>
  <c r="AZ12" i="6"/>
  <c r="AO12" i="6"/>
  <c r="U94" i="4"/>
  <c r="T101" i="4" s="1"/>
  <c r="U54" i="4"/>
  <c r="T61" i="4" s="1"/>
  <c r="B15" i="9"/>
  <c r="B16" i="9" s="1"/>
  <c r="T57" i="4"/>
  <c r="T97" i="4"/>
  <c r="O69" i="10"/>
  <c r="O74" i="10" s="1"/>
  <c r="J12" i="9"/>
  <c r="BA13" i="6"/>
  <c r="A18" i="4"/>
  <c r="C17" i="4"/>
  <c r="Y12" i="8"/>
  <c r="AE13" i="12"/>
  <c r="Z13" i="6"/>
  <c r="AE13" i="6"/>
  <c r="AP13" i="6"/>
  <c r="K12" i="10"/>
  <c r="K11" i="10" s="1" a="1"/>
  <c r="K11" i="10" s="1"/>
  <c r="C5" i="4"/>
  <c r="A6" i="4"/>
  <c r="AP18" i="6" l="1"/>
  <c r="BA18" i="6" a="1"/>
  <c r="BA18" i="6" s="1"/>
  <c r="AO20" i="6"/>
  <c r="AX20" i="6" a="1"/>
  <c r="AX20" i="6" s="1"/>
  <c r="AP20" i="6"/>
  <c r="AM20" i="6"/>
  <c r="AN20" i="6"/>
  <c r="BA20" i="6" a="1"/>
  <c r="BA20" i="6" s="1"/>
  <c r="AZ20" i="6" a="1"/>
  <c r="AZ20" i="6" s="1"/>
  <c r="AY20" i="6" a="1"/>
  <c r="AY20" i="6" s="1"/>
  <c r="AB20" i="6"/>
  <c r="AC20" i="6"/>
  <c r="AD20" i="6"/>
  <c r="AY19" i="6" a="1"/>
  <c r="AY19" i="6" s="1"/>
  <c r="AX19" i="6" a="1"/>
  <c r="AX19" i="6" s="1"/>
  <c r="AN19" i="6"/>
  <c r="BA19" i="6" a="1"/>
  <c r="BA19" i="6" s="1"/>
  <c r="AP19" i="6"/>
  <c r="AO19" i="6"/>
  <c r="AM19" i="6"/>
  <c r="AZ19" i="6" a="1"/>
  <c r="AZ19" i="6" s="1"/>
  <c r="AB19" i="6"/>
  <c r="AC19" i="6"/>
  <c r="AD19" i="6"/>
  <c r="B17" i="9"/>
  <c r="AN21" i="6"/>
  <c r="AP21" i="6"/>
  <c r="AX21" i="6" a="1"/>
  <c r="AX21" i="6" s="1"/>
  <c r="AM21" i="6"/>
  <c r="BA21" i="6" a="1"/>
  <c r="BA21" i="6" s="1"/>
  <c r="AO21" i="6"/>
  <c r="AY21" i="6" a="1"/>
  <c r="AY21" i="6" s="1"/>
  <c r="AZ21" i="6" a="1"/>
  <c r="AZ21" i="6" s="1"/>
  <c r="BA12" i="6"/>
  <c r="AP12" i="6"/>
  <c r="T62" i="4"/>
  <c r="T63" i="4"/>
  <c r="T64" i="4"/>
  <c r="T66" i="4"/>
  <c r="U66" i="4" s="1"/>
  <c r="T65" i="4"/>
  <c r="T102" i="4"/>
  <c r="T104" i="4"/>
  <c r="T103" i="4"/>
  <c r="T106" i="4"/>
  <c r="U106" i="4" s="1"/>
  <c r="T105" i="4"/>
  <c r="H68" i="10"/>
  <c r="Q69" i="10"/>
  <c r="Q74" i="10" s="1"/>
  <c r="K12" i="9"/>
  <c r="BB13" i="6"/>
  <c r="BB20" i="6" s="1" a="1"/>
  <c r="BB20" i="6" s="1"/>
  <c r="AF13" i="6"/>
  <c r="AF12" i="6" s="1"/>
  <c r="AE12" i="6"/>
  <c r="A19" i="4"/>
  <c r="C19" i="4" s="1"/>
  <c r="C18" i="4"/>
  <c r="Z12" i="8"/>
  <c r="AF13" i="12"/>
  <c r="AQ13" i="6"/>
  <c r="AQ20" i="6" s="1"/>
  <c r="L12" i="10"/>
  <c r="L11" i="10" s="1" a="1"/>
  <c r="L11" i="10" s="1"/>
  <c r="A7" i="4"/>
  <c r="C7" i="4" s="1"/>
  <c r="C6" i="4"/>
  <c r="M22" i="6" l="1"/>
  <c r="L34" i="6"/>
  <c r="L35" i="6" s="1"/>
  <c r="BB19" i="6" a="1"/>
  <c r="BB19" i="6" s="1"/>
  <c r="AQ19" i="6"/>
  <c r="AQ18" i="6"/>
  <c r="AF17" i="6"/>
  <c r="AF18" i="6"/>
  <c r="AF19" i="6"/>
  <c r="AF20" i="6"/>
  <c r="AE17" i="6"/>
  <c r="AE18" i="6"/>
  <c r="AE19" i="6"/>
  <c r="AE20" i="6"/>
  <c r="BB18" i="6" a="1"/>
  <c r="BB18" i="6" s="1"/>
  <c r="B18" i="9"/>
  <c r="BB21" i="6" a="1"/>
  <c r="BB21" i="6" s="1"/>
  <c r="AQ21" i="6"/>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F22" i="6" l="1"/>
  <c r="M32" i="6"/>
  <c r="M33" i="6"/>
  <c r="L36" i="6"/>
  <c r="M27" i="6"/>
  <c r="AZ27" i="6" s="1" a="1"/>
  <c r="AZ27" i="6" s="1"/>
  <c r="M29" i="6"/>
  <c r="AE29" i="6" s="1"/>
  <c r="M28" i="6"/>
  <c r="AC28" i="6" s="1"/>
  <c r="M26" i="6"/>
  <c r="AQ26" i="6" s="1"/>
  <c r="M24" i="6"/>
  <c r="BC24" i="6" s="1" a="1"/>
  <c r="BC24" i="6" s="1"/>
  <c r="M31" i="6"/>
  <c r="AE31" i="6" s="1"/>
  <c r="M25" i="6"/>
  <c r="AR25" i="6" s="1"/>
  <c r="M23" i="6"/>
  <c r="AQ23" i="6" s="1"/>
  <c r="M30" i="6"/>
  <c r="AF30" i="6" s="1"/>
  <c r="AG22" i="6"/>
  <c r="AE22" i="6"/>
  <c r="AQ22" i="6"/>
  <c r="AP22" i="6"/>
  <c r="AY22" i="6" a="1"/>
  <c r="AY22" i="6" s="1"/>
  <c r="AO22" i="6"/>
  <c r="AZ22" i="6" a="1"/>
  <c r="AZ22" i="6" s="1"/>
  <c r="AX22" i="6" a="1"/>
  <c r="AX22" i="6" s="1"/>
  <c r="AN22" i="6"/>
  <c r="BC22" i="6" a="1"/>
  <c r="BC22" i="6" s="1"/>
  <c r="AM22" i="6"/>
  <c r="BB22" i="6" a="1"/>
  <c r="BB22" i="6" s="1"/>
  <c r="BA22" i="6" a="1"/>
  <c r="BA22" i="6" s="1"/>
  <c r="AR22" i="6"/>
  <c r="AB22" i="6"/>
  <c r="AC22" i="6"/>
  <c r="AD22" i="6"/>
  <c r="L37" i="6"/>
  <c r="L38" i="6" s="1"/>
  <c r="L39" i="6" s="1"/>
  <c r="L40" i="6" s="1"/>
  <c r="F34" i="6"/>
  <c r="AG17" i="6"/>
  <c r="AG18" i="6"/>
  <c r="AG19" i="6"/>
  <c r="AG20" i="6"/>
  <c r="BC18" i="6" a="1"/>
  <c r="BC18" i="6" s="1"/>
  <c r="BC19" i="6" a="1"/>
  <c r="BC19" i="6" s="1"/>
  <c r="BC20" i="6" a="1"/>
  <c r="BC20" i="6" s="1"/>
  <c r="AR18" i="6"/>
  <c r="AR19" i="6"/>
  <c r="AR20" i="6"/>
  <c r="AR21" i="6"/>
  <c r="BC21" i="6" a="1"/>
  <c r="BC21" i="6" s="1"/>
  <c r="AG16" i="6"/>
  <c r="B19" i="9"/>
  <c r="U69" i="4"/>
  <c r="U65" i="4"/>
  <c r="U103" i="4"/>
  <c r="U61" i="4"/>
  <c r="U105" i="4"/>
  <c r="U64" i="4"/>
  <c r="U102" i="4"/>
  <c r="U62" i="4"/>
  <c r="U104" i="4"/>
  <c r="U101" i="4"/>
  <c r="U63" i="4"/>
  <c r="U109" i="4"/>
  <c r="K112" i="4" s="1"/>
  <c r="U69" i="10"/>
  <c r="U74" i="10" s="1"/>
  <c r="M12" i="9"/>
  <c r="BC12" i="6"/>
  <c r="AR12" i="6"/>
  <c r="AH13" i="6"/>
  <c r="AH12" i="6" s="1"/>
  <c r="BD13" i="6"/>
  <c r="AB12" i="8"/>
  <c r="AH13" i="12"/>
  <c r="AS13" i="6"/>
  <c r="N12" i="10"/>
  <c r="N11" i="10" s="1" a="1"/>
  <c r="N11" i="10" s="1"/>
  <c r="BD32" i="6" l="1" a="1"/>
  <c r="BD32" i="6" s="1"/>
  <c r="AO32" i="6"/>
  <c r="AX32" i="6" a="1"/>
  <c r="AX32" i="6" s="1"/>
  <c r="AN32" i="6"/>
  <c r="AM32" i="6"/>
  <c r="AZ32" i="6" a="1"/>
  <c r="AZ32" i="6" s="1"/>
  <c r="AP32" i="6"/>
  <c r="BB32" i="6" a="1"/>
  <c r="BB32" i="6" s="1"/>
  <c r="AR32" i="6"/>
  <c r="AQ32" i="6"/>
  <c r="BC32" i="6" a="1"/>
  <c r="BC32" i="6" s="1"/>
  <c r="AY32" i="6" a="1"/>
  <c r="AY32" i="6" s="1"/>
  <c r="BA32" i="6" a="1"/>
  <c r="BA32" i="6" s="1"/>
  <c r="AS32" i="6"/>
  <c r="AB32" i="6"/>
  <c r="AC32" i="6"/>
  <c r="AD32" i="6"/>
  <c r="AF32" i="6"/>
  <c r="AE32" i="6"/>
  <c r="BB33" i="6" a="1"/>
  <c r="BB33" i="6" s="1"/>
  <c r="BD33" i="6" a="1"/>
  <c r="BD33" i="6" s="1"/>
  <c r="AZ33" i="6" a="1"/>
  <c r="AZ33" i="6" s="1"/>
  <c r="AM33" i="6"/>
  <c r="BA33" i="6" a="1"/>
  <c r="BA33" i="6" s="1"/>
  <c r="AP33" i="6"/>
  <c r="AO33" i="6"/>
  <c r="AS33" i="6"/>
  <c r="AY33" i="6" a="1"/>
  <c r="AY33" i="6" s="1"/>
  <c r="BC33" i="6" a="1"/>
  <c r="BC33" i="6" s="1"/>
  <c r="AR33" i="6"/>
  <c r="AQ33" i="6"/>
  <c r="AN33" i="6"/>
  <c r="AX33" i="6" a="1"/>
  <c r="AX33" i="6" s="1"/>
  <c r="AB33" i="6"/>
  <c r="AC33" i="6"/>
  <c r="AD33" i="6"/>
  <c r="AE33" i="6"/>
  <c r="AF33" i="6"/>
  <c r="AG33" i="6"/>
  <c r="AH32" i="6"/>
  <c r="AH33" i="6"/>
  <c r="AG32" i="6"/>
  <c r="AQ27" i="6"/>
  <c r="AF29" i="6"/>
  <c r="AC29" i="6"/>
  <c r="AB29" i="6"/>
  <c r="AX29" i="6" a="1"/>
  <c r="AX29" i="6" s="1"/>
  <c r="AQ29" i="6"/>
  <c r="BB29" i="6" a="1"/>
  <c r="BB29" i="6" s="1"/>
  <c r="AM29" i="6"/>
  <c r="AE28" i="6"/>
  <c r="BC27" i="6" a="1"/>
  <c r="BC27" i="6" s="1"/>
  <c r="AN28" i="6"/>
  <c r="AE27" i="6"/>
  <c r="AF27" i="6"/>
  <c r="L41" i="6"/>
  <c r="AX30" i="6" a="1"/>
  <c r="AX30" i="6" s="1"/>
  <c r="AY27" i="6" a="1"/>
  <c r="AY27" i="6" s="1"/>
  <c r="AG28" i="6"/>
  <c r="AM30" i="6"/>
  <c r="AG29" i="6"/>
  <c r="BC23" i="6" a="1"/>
  <c r="BC23" i="6" s="1"/>
  <c r="AM27" i="6"/>
  <c r="BB27" i="6" a="1"/>
  <c r="BB27" i="6" s="1"/>
  <c r="BA29" i="6" a="1"/>
  <c r="BA29" i="6" s="1"/>
  <c r="AO30" i="6"/>
  <c r="AD27" i="6"/>
  <c r="AN29" i="6"/>
  <c r="BB24" i="6" a="1"/>
  <c r="BB24" i="6" s="1"/>
  <c r="AP27" i="6"/>
  <c r="AR29" i="6"/>
  <c r="AP26" i="6"/>
  <c r="AP29" i="6"/>
  <c r="AO29" i="6"/>
  <c r="BB26" i="6" a="1"/>
  <c r="BB26" i="6" s="1"/>
  <c r="AC27" i="6"/>
  <c r="AR28" i="6"/>
  <c r="AR24" i="6"/>
  <c r="BA27" i="6" a="1"/>
  <c r="BA27" i="6" s="1"/>
  <c r="AX27" i="6" a="1"/>
  <c r="AX27" i="6" s="1"/>
  <c r="AB27" i="6"/>
  <c r="AM28" i="6"/>
  <c r="BA26" i="6" a="1"/>
  <c r="BA26" i="6" s="1"/>
  <c r="AZ29" i="6" a="1"/>
  <c r="AZ29" i="6" s="1"/>
  <c r="AX26" i="6" a="1"/>
  <c r="AX26" i="6" s="1"/>
  <c r="AY29" i="6" a="1"/>
  <c r="AY29" i="6" s="1"/>
  <c r="AN27" i="6"/>
  <c r="AG27" i="6"/>
  <c r="AR27" i="6"/>
  <c r="AO27" i="6"/>
  <c r="AO28" i="6"/>
  <c r="AG31" i="6"/>
  <c r="AZ24" i="6" a="1"/>
  <c r="AZ24" i="6" s="1"/>
  <c r="AP24" i="6"/>
  <c r="AY24" i="6" a="1"/>
  <c r="AY24" i="6" s="1"/>
  <c r="AO24" i="6"/>
  <c r="BB30" i="6" a="1"/>
  <c r="BB30" i="6" s="1"/>
  <c r="AY30" i="6" a="1"/>
  <c r="AY30" i="6" s="1"/>
  <c r="BC28" i="6" a="1"/>
  <c r="BC28" i="6" s="1"/>
  <c r="AD28" i="6"/>
  <c r="AZ28" i="6" a="1"/>
  <c r="AZ28" i="6" s="1"/>
  <c r="AN30" i="6"/>
  <c r="AD30" i="6"/>
  <c r="AS30" i="6"/>
  <c r="AQ30" i="6"/>
  <c r="BA28" i="6" a="1"/>
  <c r="BA28" i="6" s="1"/>
  <c r="AR26" i="6"/>
  <c r="AD29" i="6"/>
  <c r="AQ28" i="6"/>
  <c r="AN26" i="6"/>
  <c r="AM26" i="6"/>
  <c r="AB28" i="6"/>
  <c r="AY26" i="6" a="1"/>
  <c r="AY26" i="6" s="1"/>
  <c r="BC29" i="6" a="1"/>
  <c r="BC29" i="6" s="1"/>
  <c r="AF28" i="6"/>
  <c r="BA30" i="6" a="1"/>
  <c r="BA30" i="6" s="1"/>
  <c r="BB28" i="6" a="1"/>
  <c r="BB28" i="6" s="1"/>
  <c r="AB30" i="6"/>
  <c r="AQ25" i="6"/>
  <c r="AX23" i="6" a="1"/>
  <c r="AX23" i="6" s="1"/>
  <c r="AY23" i="6" a="1"/>
  <c r="AY23" i="6" s="1"/>
  <c r="AY25" i="6" a="1"/>
  <c r="AY25" i="6" s="1"/>
  <c r="BA25" i="6" a="1"/>
  <c r="BA25" i="6" s="1"/>
  <c r="AX25" i="6" a="1"/>
  <c r="AX25" i="6" s="1"/>
  <c r="BC25" i="6" a="1"/>
  <c r="BC25" i="6" s="1"/>
  <c r="AP25" i="6"/>
  <c r="AM24" i="6"/>
  <c r="AQ24" i="6"/>
  <c r="AX24" i="6" a="1"/>
  <c r="AX24" i="6" s="1"/>
  <c r="AO26" i="6"/>
  <c r="AN24" i="6"/>
  <c r="AF31" i="6"/>
  <c r="AZ26" i="6" a="1"/>
  <c r="AZ26" i="6" s="1"/>
  <c r="BA24" i="6" a="1"/>
  <c r="BA24" i="6" s="1"/>
  <c r="AD31" i="6"/>
  <c r="AC31" i="6"/>
  <c r="AB31" i="6"/>
  <c r="AX31" i="6" a="1"/>
  <c r="AX31" i="6" s="1"/>
  <c r="AR30" i="6"/>
  <c r="AN31" i="6"/>
  <c r="BB31" i="6" a="1"/>
  <c r="BB31" i="6" s="1"/>
  <c r="BD31" i="6" a="1"/>
  <c r="BD31" i="6" s="1"/>
  <c r="AM31" i="6"/>
  <c r="AZ31" i="6" a="1"/>
  <c r="AZ31" i="6" s="1"/>
  <c r="AP28" i="6"/>
  <c r="AP31" i="6"/>
  <c r="BC26" i="6" a="1"/>
  <c r="BC26" i="6" s="1"/>
  <c r="AM25" i="6"/>
  <c r="AO25" i="6"/>
  <c r="AX28" i="6" a="1"/>
  <c r="AX28" i="6" s="1"/>
  <c r="AO31" i="6"/>
  <c r="AR31" i="6"/>
  <c r="AZ25" i="6" a="1"/>
  <c r="AZ25" i="6" s="1"/>
  <c r="BA31" i="6" a="1"/>
  <c r="BA31" i="6" s="1"/>
  <c r="AQ31" i="6"/>
  <c r="AN25" i="6"/>
  <c r="AY31" i="6" a="1"/>
  <c r="AY31" i="6" s="1"/>
  <c r="BB25" i="6" a="1"/>
  <c r="BB25" i="6" s="1"/>
  <c r="AY28" i="6" a="1"/>
  <c r="AY28" i="6" s="1"/>
  <c r="BC31" i="6" a="1"/>
  <c r="BC31" i="6" s="1"/>
  <c r="AC30" i="6"/>
  <c r="BC30" i="6" a="1"/>
  <c r="BC30" i="6" s="1"/>
  <c r="BA23" i="6" a="1"/>
  <c r="BA23" i="6" s="1"/>
  <c r="AZ23" i="6" a="1"/>
  <c r="AZ23" i="6" s="1"/>
  <c r="AP30" i="6"/>
  <c r="AM23" i="6"/>
  <c r="AP23" i="6"/>
  <c r="AO23" i="6"/>
  <c r="BB23" i="6" a="1"/>
  <c r="BB23" i="6" s="1"/>
  <c r="AE30" i="6"/>
  <c r="AR23" i="6"/>
  <c r="AN23" i="6"/>
  <c r="AG30" i="6"/>
  <c r="AZ30" i="6" a="1"/>
  <c r="AZ30" i="6" s="1"/>
  <c r="AS31" i="6"/>
  <c r="AH31" i="6"/>
  <c r="AS29" i="6"/>
  <c r="AH29" i="6"/>
  <c r="AH30" i="6"/>
  <c r="BD29" i="6" a="1"/>
  <c r="BD29" i="6" s="1"/>
  <c r="BD30" i="6" a="1"/>
  <c r="BD30" i="6" s="1"/>
  <c r="AH28" i="6"/>
  <c r="AS22" i="6"/>
  <c r="AS28" i="6"/>
  <c r="BD22" i="6" a="1"/>
  <c r="BD22" i="6" s="1"/>
  <c r="BD28" i="6" a="1"/>
  <c r="BD28" i="6" s="1"/>
  <c r="AH22" i="6"/>
  <c r="AH17" i="6"/>
  <c r="AH18" i="6"/>
  <c r="AH19" i="6"/>
  <c r="AH20" i="6"/>
  <c r="BD18" i="6" a="1"/>
  <c r="BD18" i="6" s="1"/>
  <c r="BD19" i="6" a="1"/>
  <c r="BD19" i="6" s="1"/>
  <c r="BD20" i="6" a="1"/>
  <c r="BD20" i="6" s="1"/>
  <c r="AS27" i="6"/>
  <c r="AS18" i="6"/>
  <c r="AS20" i="6"/>
  <c r="AS19" i="6"/>
  <c r="AH27" i="6"/>
  <c r="BD27" i="6" a="1"/>
  <c r="BD27" i="6" s="1"/>
  <c r="BD23" i="6" a="1"/>
  <c r="BD23" i="6" s="1"/>
  <c r="BD21" i="6" a="1"/>
  <c r="BD21" i="6" s="1"/>
  <c r="BD24" i="6" a="1"/>
  <c r="BD24" i="6" s="1"/>
  <c r="BD25" i="6" a="1"/>
  <c r="BD25" i="6" s="1"/>
  <c r="BD26" i="6" a="1"/>
  <c r="BD26" i="6" s="1"/>
  <c r="AH16" i="6"/>
  <c r="AS23" i="6"/>
  <c r="AS26" i="6"/>
  <c r="AS25" i="6"/>
  <c r="AS21" i="6"/>
  <c r="AS24" i="6"/>
  <c r="B20" i="9"/>
  <c r="AB10" i="12"/>
  <c r="W69" i="10"/>
  <c r="W74" i="10" s="1"/>
  <c r="N12" i="9"/>
  <c r="J72" i="4"/>
  <c r="BD12" i="6"/>
  <c r="AS12" i="6"/>
  <c r="AI13" i="6"/>
  <c r="AI12" i="6" s="1"/>
  <c r="BE13" i="6"/>
  <c r="BE33" i="6" s="1" a="1"/>
  <c r="BE33" i="6" s="1"/>
  <c r="AC12" i="8"/>
  <c r="AI13" i="12"/>
  <c r="K72" i="4"/>
  <c r="J112" i="4"/>
  <c r="AT13" i="6"/>
  <c r="AT33" i="6" s="1"/>
  <c r="O12" i="10"/>
  <c r="O11" i="10" s="1" a="1"/>
  <c r="O11" i="10" s="1"/>
  <c r="BE32" i="6" l="1" a="1"/>
  <c r="BE32" i="6" s="1"/>
  <c r="AI32" i="6"/>
  <c r="AI33" i="6"/>
  <c r="AT32" i="6"/>
  <c r="L42" i="6"/>
  <c r="L43" i="6" s="1"/>
  <c r="AI31" i="6"/>
  <c r="BE30" i="6" a="1"/>
  <c r="BE30" i="6" s="1"/>
  <c r="BE31" i="6" a="1"/>
  <c r="BE31" i="6" s="1"/>
  <c r="AT30" i="6"/>
  <c r="AT31" i="6"/>
  <c r="AI29" i="6"/>
  <c r="AI30" i="6"/>
  <c r="AT29" i="6"/>
  <c r="BE29" i="6" a="1"/>
  <c r="BE29" i="6" s="1"/>
  <c r="AI28" i="6"/>
  <c r="AT22" i="6"/>
  <c r="AT28" i="6"/>
  <c r="BE22" i="6" a="1"/>
  <c r="BE22" i="6" s="1"/>
  <c r="BE28" i="6" a="1"/>
  <c r="BE28" i="6" s="1"/>
  <c r="AI22" i="6"/>
  <c r="AT27" i="6"/>
  <c r="AT18" i="6"/>
  <c r="AT19" i="6"/>
  <c r="AT20" i="6"/>
  <c r="AI17" i="6"/>
  <c r="AI18" i="6"/>
  <c r="AI19" i="6"/>
  <c r="AI20" i="6"/>
  <c r="BE27" i="6" a="1"/>
  <c r="BE27" i="6" s="1"/>
  <c r="BE18" i="6" a="1"/>
  <c r="BE18" i="6" s="1"/>
  <c r="BE19" i="6" a="1"/>
  <c r="BE19" i="6" s="1"/>
  <c r="BE20" i="6" a="1"/>
  <c r="BE20" i="6" s="1"/>
  <c r="AI27" i="6"/>
  <c r="AT24" i="6"/>
  <c r="AT25" i="6"/>
  <c r="AT21" i="6"/>
  <c r="AT23" i="6"/>
  <c r="AT26" i="6"/>
  <c r="BE26" i="6" a="1"/>
  <c r="BE26" i="6" s="1"/>
  <c r="BE24" i="6" a="1"/>
  <c r="BE24" i="6" s="1"/>
  <c r="BE23" i="6" a="1"/>
  <c r="BE23" i="6" s="1"/>
  <c r="BE21" i="6" a="1"/>
  <c r="BE21" i="6" s="1"/>
  <c r="BE25" i="6" a="1"/>
  <c r="BE25" i="6" s="1"/>
  <c r="B21" i="9"/>
  <c r="AI16" i="6"/>
  <c r="O12" i="9"/>
  <c r="Y69" i="10"/>
  <c r="Y74" i="10" s="1"/>
  <c r="T11" i="11"/>
  <c r="BE12" i="6"/>
  <c r="AT12" i="6"/>
  <c r="AJ13" i="6"/>
  <c r="AJ12" i="6" s="1"/>
  <c r="BF13" i="6"/>
  <c r="AD12" i="8"/>
  <c r="AJ13" i="12"/>
  <c r="AU13" i="6"/>
  <c r="P12" i="10"/>
  <c r="P11" i="10" s="1" a="1"/>
  <c r="P11" i="10" s="1"/>
  <c r="L44" i="6" l="1"/>
  <c r="BF33" i="6" a="1"/>
  <c r="BF33" i="6" s="1"/>
  <c r="BF32" i="6" a="1"/>
  <c r="BF32" i="6" s="1"/>
  <c r="AU31" i="6"/>
  <c r="AU32" i="6"/>
  <c r="AU33" i="6"/>
  <c r="AJ32" i="6"/>
  <c r="AJ33" i="6"/>
  <c r="AJ31" i="6"/>
  <c r="BF31" i="6" a="1"/>
  <c r="BF31" i="6" s="1"/>
  <c r="AU29" i="6"/>
  <c r="AU30" i="6"/>
  <c r="BF29" i="6" a="1"/>
  <c r="BF29" i="6" s="1"/>
  <c r="BF30" i="6" a="1"/>
  <c r="BF30" i="6" s="1"/>
  <c r="AJ29" i="6"/>
  <c r="AJ30" i="6"/>
  <c r="BF28" i="6" a="1"/>
  <c r="BF28" i="6" s="1"/>
  <c r="AJ28" i="6"/>
  <c r="AU28" i="6"/>
  <c r="BF22" i="6" a="1"/>
  <c r="BF22" i="6" s="1"/>
  <c r="AU22" i="6"/>
  <c r="AJ22" i="6"/>
  <c r="BF27" i="6" a="1"/>
  <c r="BF27" i="6" s="1"/>
  <c r="BF18" i="6" a="1"/>
  <c r="BF18" i="6" s="1"/>
  <c r="BF20" i="6" a="1"/>
  <c r="BF20" i="6" s="1"/>
  <c r="BF19" i="6" a="1"/>
  <c r="BF19" i="6" s="1"/>
  <c r="AJ17" i="6"/>
  <c r="AJ18" i="6"/>
  <c r="AJ19" i="6"/>
  <c r="AJ20" i="6"/>
  <c r="AU27" i="6"/>
  <c r="AU18" i="6"/>
  <c r="AU20" i="6"/>
  <c r="AU19" i="6"/>
  <c r="AJ27" i="6"/>
  <c r="AU24" i="6"/>
  <c r="AU21" i="6"/>
  <c r="AU26" i="6"/>
  <c r="AU23" i="6"/>
  <c r="AU25" i="6"/>
  <c r="BF25" i="6" a="1"/>
  <c r="BF25" i="6" s="1"/>
  <c r="BF21" i="6" a="1"/>
  <c r="BF21" i="6" s="1"/>
  <c r="BF24" i="6" a="1"/>
  <c r="BF24" i="6" s="1"/>
  <c r="BF26" i="6" a="1"/>
  <c r="BF26" i="6" s="1"/>
  <c r="BF23" i="6" a="1"/>
  <c r="BF23" i="6" s="1"/>
  <c r="AJ16" i="6"/>
  <c r="B22" i="9"/>
  <c r="P12" i="9"/>
  <c r="AA69" i="10"/>
  <c r="AA74" i="10" s="1"/>
  <c r="BF12" i="6"/>
  <c r="AU12" i="6"/>
  <c r="AK13" i="6"/>
  <c r="BG13" i="6"/>
  <c r="AE12" i="8"/>
  <c r="AK13" i="12"/>
  <c r="AV13" i="6"/>
  <c r="Q12" i="10"/>
  <c r="Q11" i="10" s="1" a="1"/>
  <c r="Q11" i="10" s="1"/>
  <c r="BG32" i="6" l="1" a="1"/>
  <c r="BG32" i="6" s="1"/>
  <c r="BG33" i="6" a="1"/>
  <c r="BG33" i="6" s="1"/>
  <c r="AV33" i="6"/>
  <c r="AV32" i="6"/>
  <c r="AV31" i="6"/>
  <c r="BG31" i="6" a="1"/>
  <c r="BG31" i="6" s="1"/>
  <c r="AV29" i="6"/>
  <c r="AV30" i="6"/>
  <c r="BG29" i="6" a="1"/>
  <c r="BG29" i="6" s="1"/>
  <c r="BG30" i="6" a="1"/>
  <c r="BG30" i="6" s="1"/>
  <c r="AV28" i="6"/>
  <c r="BG28" i="6" a="1"/>
  <c r="BG28" i="6" s="1"/>
  <c r="AV22" i="6"/>
  <c r="BG22" i="6" a="1"/>
  <c r="BG22" i="6" s="1"/>
  <c r="BG18" i="6" a="1"/>
  <c r="BG18" i="6" s="1"/>
  <c r="BG19" i="6" a="1"/>
  <c r="BG19" i="6" s="1"/>
  <c r="BG20" i="6" a="1"/>
  <c r="BG20" i="6" s="1"/>
  <c r="AV18" i="6"/>
  <c r="AV19" i="6"/>
  <c r="AV20" i="6"/>
  <c r="BG27" i="6" a="1"/>
  <c r="BG27" i="6" s="1"/>
  <c r="AV27" i="6"/>
  <c r="AV26" i="6"/>
  <c r="AV24" i="6"/>
  <c r="AV21" i="6"/>
  <c r="AV23" i="6"/>
  <c r="AV25" i="6"/>
  <c r="B23" i="9"/>
  <c r="BG26" i="6" a="1"/>
  <c r="BG26" i="6" s="1"/>
  <c r="BG21" i="6" a="1"/>
  <c r="BG21" i="6" s="1"/>
  <c r="BG25" i="6" a="1"/>
  <c r="BG25" i="6" s="1"/>
  <c r="BG24" i="6" a="1"/>
  <c r="BG24" i="6" s="1"/>
  <c r="BG23" i="6" a="1"/>
  <c r="BG23" i="6" s="1"/>
  <c r="AK12" i="6"/>
  <c r="Q12" i="9"/>
  <c r="AC69" i="10"/>
  <c r="AC74" i="10" s="1"/>
  <c r="BG12" i="6"/>
  <c r="AV12" i="6"/>
  <c r="AF12" i="8"/>
  <c r="AL13" i="12"/>
  <c r="R12" i="10"/>
  <c r="R11" i="10" s="1" a="1"/>
  <c r="R11" i="10" s="1"/>
  <c r="AK32" i="6" l="1"/>
  <c r="AK33" i="6"/>
  <c r="AK31" i="6"/>
  <c r="AK29" i="6"/>
  <c r="AK30" i="6"/>
  <c r="AK28" i="6"/>
  <c r="AK22" i="6"/>
  <c r="E45" i="12"/>
  <c r="AK17" i="6"/>
  <c r="AK18" i="6"/>
  <c r="AK19" i="6"/>
  <c r="AK20" i="6"/>
  <c r="AK27" i="6"/>
  <c r="B24" i="9"/>
  <c r="AK16" i="6"/>
  <c r="R12" i="9"/>
  <c r="AE69" i="10"/>
  <c r="AE74" i="10" s="1"/>
  <c r="AM13" i="12"/>
  <c r="S12" i="10"/>
  <c r="S11" i="10" s="1" a="1"/>
  <c r="S11" i="10" s="1"/>
  <c r="J33" i="12" l="1" a="1"/>
  <c r="J33" i="12" s="1"/>
  <c r="L32" i="12" a="1"/>
  <c r="L32" i="12" s="1"/>
  <c r="L33" i="12" a="1"/>
  <c r="L33" i="12" s="1"/>
  <c r="K33" i="12" s="1"/>
  <c r="J32" i="12" a="1"/>
  <c r="J32" i="12" s="1"/>
  <c r="L31" i="12" a="1"/>
  <c r="L31" i="12" s="1"/>
  <c r="J31" i="12" a="1"/>
  <c r="J31" i="12" s="1"/>
  <c r="J30" i="12" a="1"/>
  <c r="J30" i="12" s="1"/>
  <c r="L30" i="12" a="1"/>
  <c r="L30" i="12" s="1"/>
  <c r="J29" i="12" a="1"/>
  <c r="J29" i="12" s="1"/>
  <c r="L29" i="12" a="1"/>
  <c r="L29" i="12" s="1"/>
  <c r="L28" i="12" a="1"/>
  <c r="L28" i="12" s="1"/>
  <c r="J28" i="12" a="1"/>
  <c r="J28" i="12" s="1"/>
  <c r="J22" i="12" a="1"/>
  <c r="J22" i="12" s="1"/>
  <c r="L22" i="12" a="1"/>
  <c r="L22" i="12" s="1"/>
  <c r="L20" i="12" a="1"/>
  <c r="L20" i="12" s="1"/>
  <c r="J18" i="12" a="1"/>
  <c r="J18" i="12" s="1"/>
  <c r="J20" i="12" a="1"/>
  <c r="J20" i="12" s="1"/>
  <c r="L19" i="12" a="1"/>
  <c r="L19" i="12" s="1"/>
  <c r="L18" i="12" a="1"/>
  <c r="L18" i="12" s="1"/>
  <c r="J19" i="12" a="1"/>
  <c r="J19" i="12" s="1"/>
  <c r="L27" i="12" a="1"/>
  <c r="L27" i="12" s="1"/>
  <c r="J27" i="12" a="1"/>
  <c r="J27" i="12" s="1"/>
  <c r="L26" i="12" a="1"/>
  <c r="L26" i="12" s="1"/>
  <c r="J23" i="12" a="1"/>
  <c r="J23" i="12" s="1"/>
  <c r="J26" i="12" a="1"/>
  <c r="J26" i="12" s="1"/>
  <c r="J24" i="12" a="1"/>
  <c r="J24" i="12" s="1"/>
  <c r="L25" i="12" a="1"/>
  <c r="L25" i="12" s="1"/>
  <c r="J25" i="12" a="1"/>
  <c r="J25" i="12" s="1"/>
  <c r="L24" i="12" a="1"/>
  <c r="L24" i="12" s="1"/>
  <c r="L23" i="12" a="1"/>
  <c r="L23" i="12" s="1"/>
  <c r="B25" i="9"/>
  <c r="AO7" i="12" a="1"/>
  <c r="AO7" i="12" s="1"/>
  <c r="L14" i="12" a="1"/>
  <c r="L14" i="12" s="1"/>
  <c r="J14" i="12" a="1"/>
  <c r="J14" i="12" s="1"/>
  <c r="S12" i="9"/>
  <c r="T12" i="10"/>
  <c r="T11" i="10" s="1" a="1"/>
  <c r="T11" i="10" s="1"/>
  <c r="K32" i="12" l="1"/>
  <c r="K31" i="12"/>
  <c r="K29" i="12"/>
  <c r="K30" i="12"/>
  <c r="K28" i="12"/>
  <c r="K22" i="12"/>
  <c r="K20" i="12"/>
  <c r="K18" i="12"/>
  <c r="K19" i="12"/>
  <c r="K27" i="12"/>
  <c r="K23" i="12"/>
  <c r="K24" i="12"/>
  <c r="K25" i="12"/>
  <c r="B26" i="9"/>
  <c r="K26" i="12"/>
  <c r="T12" i="9"/>
  <c r="K14" i="12"/>
  <c r="U12" i="10"/>
  <c r="U11" i="10" s="1" a="1"/>
  <c r="U11" i="10" s="1"/>
  <c r="L45" i="6" l="1"/>
  <c r="C34" i="5"/>
  <c r="C35" i="5" s="1"/>
  <c r="B27" i="9"/>
  <c r="U12" i="9"/>
  <c r="V12" i="10"/>
  <c r="V11" i="10" s="1" a="1"/>
  <c r="V11" i="10" s="1"/>
  <c r="N35" i="5" l="1"/>
  <c r="AD35" i="5"/>
  <c r="AE35" i="5" a="1"/>
  <c r="AE35" i="5" s="1"/>
  <c r="A35" i="12"/>
  <c r="K35" i="5"/>
  <c r="J35" i="5"/>
  <c r="C36" i="5"/>
  <c r="D35" i="5"/>
  <c r="B35" i="12" s="1"/>
  <c r="B35" i="6"/>
  <c r="F45" i="6"/>
  <c r="L46" i="6"/>
  <c r="L47" i="6" s="1"/>
  <c r="AF34" i="5" a="1"/>
  <c r="AF34" i="5" s="1"/>
  <c r="B34" i="6"/>
  <c r="A34" i="6" s="1"/>
  <c r="H34" i="5"/>
  <c r="H35" i="5" s="1"/>
  <c r="F34" i="5"/>
  <c r="F35" i="5" s="1"/>
  <c r="E34" i="5"/>
  <c r="E35" i="5" s="1"/>
  <c r="AD34" i="5"/>
  <c r="B34" i="5"/>
  <c r="B35" i="5" s="1"/>
  <c r="N34" i="5"/>
  <c r="D34" i="6" s="1"/>
  <c r="G34" i="5"/>
  <c r="G35" i="5" s="1"/>
  <c r="A34" i="12"/>
  <c r="AE34" i="5" a="1"/>
  <c r="AE34" i="5" s="1"/>
  <c r="B28" i="9"/>
  <c r="V12" i="9"/>
  <c r="W12" i="10"/>
  <c r="W11" i="10" s="1" a="1"/>
  <c r="W11" i="10" s="1"/>
  <c r="N36" i="5" l="1"/>
  <c r="AE36" i="5" a="1"/>
  <c r="AE36" i="5" s="1"/>
  <c r="H36" i="5"/>
  <c r="AD36" i="5"/>
  <c r="K36" i="5"/>
  <c r="J36" i="5"/>
  <c r="G36" i="5"/>
  <c r="F36" i="5"/>
  <c r="D36" i="5"/>
  <c r="B36" i="12" s="1"/>
  <c r="B36" i="5"/>
  <c r="E36" i="5"/>
  <c r="A36" i="12"/>
  <c r="B36" i="6"/>
  <c r="D35" i="6"/>
  <c r="A35" i="6" s="1"/>
  <c r="J35" i="12" a="1"/>
  <c r="J35" i="12" s="1"/>
  <c r="L35" i="12" a="1"/>
  <c r="L35" i="12" s="1"/>
  <c r="N34" i="6"/>
  <c r="G34" i="6"/>
  <c r="M34" i="6"/>
  <c r="BD34" i="6" s="1" a="1"/>
  <c r="BD34" i="6" s="1"/>
  <c r="AG34" i="5" a="1"/>
  <c r="AG34" i="5" s="1"/>
  <c r="U34" i="5" s="1"/>
  <c r="S34" i="5" a="1"/>
  <c r="S34" i="5" s="1"/>
  <c r="F34" i="12" s="1" a="1"/>
  <c r="F34" i="12" s="1"/>
  <c r="B29" i="9"/>
  <c r="W12" i="9"/>
  <c r="X12" i="10"/>
  <c r="X11" i="10" s="1" a="1"/>
  <c r="X11" i="10" s="1"/>
  <c r="K35" i="12" l="1"/>
  <c r="J36" i="12" a="1"/>
  <c r="J36" i="12" s="1"/>
  <c r="L36" i="12" a="1"/>
  <c r="L36" i="12" s="1"/>
  <c r="N35" i="6"/>
  <c r="M35" i="6"/>
  <c r="AO35" i="6" s="1"/>
  <c r="H35" i="6" a="1"/>
  <c r="H35" i="6" s="1"/>
  <c r="T35" i="5" s="1"/>
  <c r="D36" i="6"/>
  <c r="A36" i="6" s="1"/>
  <c r="AY34" i="6" a="1"/>
  <c r="AY34" i="6" s="1"/>
  <c r="AZ34" i="6" a="1"/>
  <c r="AZ34" i="6" s="1"/>
  <c r="AS34" i="6"/>
  <c r="BF34" i="6" a="1"/>
  <c r="BF34" i="6" s="1"/>
  <c r="BG34" i="6" a="1"/>
  <c r="BG34" i="6" s="1"/>
  <c r="AO34" i="6"/>
  <c r="BE34" i="6" a="1"/>
  <c r="BE34" i="6" s="1"/>
  <c r="BA34" i="6" a="1"/>
  <c r="BA34" i="6" s="1"/>
  <c r="AN34" i="6"/>
  <c r="AR34" i="6"/>
  <c r="AQ34" i="6"/>
  <c r="AP34" i="6"/>
  <c r="AT34" i="6"/>
  <c r="AX34" i="6" a="1"/>
  <c r="AX34" i="6" s="1"/>
  <c r="AU34" i="6"/>
  <c r="BB34" i="6" a="1"/>
  <c r="BB34" i="6" s="1"/>
  <c r="BC34" i="6" a="1"/>
  <c r="BC34" i="6" s="1"/>
  <c r="C37" i="5"/>
  <c r="C38" i="5" s="1"/>
  <c r="C39" i="5" s="1"/>
  <c r="C40" i="5" s="1"/>
  <c r="AM34" i="6"/>
  <c r="AV34" i="6"/>
  <c r="B30" i="9"/>
  <c r="X12" i="9"/>
  <c r="Y12" i="10"/>
  <c r="Y11" i="10" s="1" a="1"/>
  <c r="Y11" i="10" s="1"/>
  <c r="K36" i="12" l="1"/>
  <c r="C41" i="5"/>
  <c r="D40" i="5"/>
  <c r="B40" i="12" s="1"/>
  <c r="J40" i="5"/>
  <c r="A40" i="12"/>
  <c r="AE40" i="5" a="1"/>
  <c r="AE40" i="5" s="1"/>
  <c r="AD40" i="5"/>
  <c r="N40" i="5"/>
  <c r="K40" i="5"/>
  <c r="B40" i="6"/>
  <c r="AZ35" i="6" a="1"/>
  <c r="AZ35" i="6" s="1"/>
  <c r="AP35" i="6"/>
  <c r="AG35" i="6"/>
  <c r="BA35" i="6" a="1"/>
  <c r="BA35" i="6" s="1"/>
  <c r="BD35" i="6" a="1"/>
  <c r="BD35" i="6" s="1"/>
  <c r="AX35" i="6" a="1"/>
  <c r="AX35" i="6" s="1"/>
  <c r="AQ35" i="6"/>
  <c r="AI35" i="6"/>
  <c r="BB35" i="6" a="1"/>
  <c r="BB35" i="6" s="1"/>
  <c r="AE35" i="6"/>
  <c r="AV35" i="6"/>
  <c r="AS35" i="6"/>
  <c r="AK35" i="6"/>
  <c r="AT35" i="6"/>
  <c r="AU35" i="6"/>
  <c r="AM35" i="6"/>
  <c r="AB35" i="6"/>
  <c r="AY35" i="6" a="1"/>
  <c r="AY35" i="6" s="1"/>
  <c r="BE35" i="6" a="1"/>
  <c r="BE35" i="6" s="1"/>
  <c r="AR35" i="6"/>
  <c r="BF35" i="6" a="1"/>
  <c r="BF35" i="6" s="1"/>
  <c r="AH35" i="6"/>
  <c r="AJ35" i="6"/>
  <c r="BG35" i="6" a="1"/>
  <c r="BG35" i="6" s="1"/>
  <c r="BC35" i="6" a="1"/>
  <c r="BC35" i="6" s="1"/>
  <c r="AN35" i="6"/>
  <c r="AD35" i="6"/>
  <c r="AC35" i="6"/>
  <c r="G35" i="12" a="1"/>
  <c r="G35" i="12" s="1"/>
  <c r="M36" i="6"/>
  <c r="AN36" i="6" s="1"/>
  <c r="N36" i="6"/>
  <c r="H36" i="6" a="1"/>
  <c r="H36" i="6" s="1"/>
  <c r="T36" i="5" s="1"/>
  <c r="AF35" i="6"/>
  <c r="D39" i="5"/>
  <c r="B39" i="12" s="1"/>
  <c r="AD39" i="5"/>
  <c r="K39" i="5"/>
  <c r="A39" i="12"/>
  <c r="N39" i="5"/>
  <c r="AE39" i="5" a="1"/>
  <c r="AE39" i="5" s="1"/>
  <c r="J39" i="5"/>
  <c r="B39" i="6"/>
  <c r="D38" i="5"/>
  <c r="B38" i="12" s="1"/>
  <c r="AE38" i="5" a="1"/>
  <c r="AE38" i="5" s="1"/>
  <c r="AD38" i="5"/>
  <c r="A38" i="12"/>
  <c r="N38" i="5"/>
  <c r="J38" i="5"/>
  <c r="K38" i="5"/>
  <c r="B38" i="6"/>
  <c r="AE37" i="5" a="1"/>
  <c r="AE37" i="5" s="1"/>
  <c r="B37" i="5"/>
  <c r="B38" i="5" s="1"/>
  <c r="B39" i="5" s="1"/>
  <c r="B40" i="5" s="1"/>
  <c r="J37" i="5"/>
  <c r="AD37" i="5"/>
  <c r="E37" i="5"/>
  <c r="E38" i="5" s="1"/>
  <c r="E39" i="5" s="1"/>
  <c r="E40" i="5" s="1"/>
  <c r="B37" i="6"/>
  <c r="K37" i="5"/>
  <c r="A37" i="12"/>
  <c r="F37" i="5"/>
  <c r="F38" i="5" s="1"/>
  <c r="F39" i="5" s="1"/>
  <c r="F40" i="5" s="1"/>
  <c r="N37" i="5"/>
  <c r="D37" i="6" s="1"/>
  <c r="G37" i="5"/>
  <c r="G38" i="5" s="1"/>
  <c r="G39" i="5" s="1"/>
  <c r="G40" i="5" s="1"/>
  <c r="H37" i="5"/>
  <c r="H38" i="5" s="1"/>
  <c r="H39" i="5" s="1"/>
  <c r="H40" i="5" s="1"/>
  <c r="D37" i="5"/>
  <c r="B37" i="12" s="1"/>
  <c r="B31" i="9"/>
  <c r="Y12" i="9"/>
  <c r="Z12" i="10"/>
  <c r="Z11" i="10" s="1" a="1"/>
  <c r="Z11" i="10" s="1"/>
  <c r="E40" i="12" l="1"/>
  <c r="F40" i="6"/>
  <c r="D40" i="6"/>
  <c r="L40" i="12" a="1"/>
  <c r="L40" i="12" s="1"/>
  <c r="J40" i="12" a="1"/>
  <c r="J40" i="12" s="1"/>
  <c r="F40" i="12" a="1"/>
  <c r="F40" i="12" s="1"/>
  <c r="B41" i="5"/>
  <c r="A41" i="12"/>
  <c r="H41" i="5"/>
  <c r="G41" i="5"/>
  <c r="F41" i="5"/>
  <c r="C42" i="5"/>
  <c r="C43" i="5" s="1"/>
  <c r="E41" i="5"/>
  <c r="D41" i="5"/>
  <c r="B41" i="12" s="1"/>
  <c r="AE41" i="5" a="1"/>
  <c r="AE41" i="5" s="1"/>
  <c r="AD41" i="5"/>
  <c r="N41" i="5"/>
  <c r="K41" i="5"/>
  <c r="J41" i="5"/>
  <c r="B41" i="6"/>
  <c r="AT36" i="6"/>
  <c r="AU36" i="6"/>
  <c r="AV36" i="6"/>
  <c r="AX36" i="6" a="1"/>
  <c r="AX36" i="6" s="1"/>
  <c r="BG36" i="6" a="1"/>
  <c r="BG36" i="6" s="1"/>
  <c r="BD36" i="6" a="1"/>
  <c r="BD36" i="6" s="1"/>
  <c r="AY36" i="6" a="1"/>
  <c r="AY36" i="6" s="1"/>
  <c r="AZ36" i="6" a="1"/>
  <c r="AZ36" i="6" s="1"/>
  <c r="BE36" i="6" a="1"/>
  <c r="BE36" i="6" s="1"/>
  <c r="AP36" i="6"/>
  <c r="BC36" i="6" a="1"/>
  <c r="BC36" i="6" s="1"/>
  <c r="AO36" i="6"/>
  <c r="AR36" i="6"/>
  <c r="BB36" i="6" a="1"/>
  <c r="BB36" i="6" s="1"/>
  <c r="AS36" i="6"/>
  <c r="AQ36" i="6"/>
  <c r="BF36" i="6" a="1"/>
  <c r="BF36" i="6" s="1"/>
  <c r="AB36" i="6"/>
  <c r="AK36" i="6"/>
  <c r="AJ36" i="6"/>
  <c r="AC36" i="6"/>
  <c r="G36" i="12" a="1"/>
  <c r="G36" i="12" s="1"/>
  <c r="AM36" i="6"/>
  <c r="AH36" i="6"/>
  <c r="AE36" i="6"/>
  <c r="BA36" i="6" a="1"/>
  <c r="BA36" i="6" s="1"/>
  <c r="AF36" i="6"/>
  <c r="AI36" i="6"/>
  <c r="AD36" i="6"/>
  <c r="AG36" i="6"/>
  <c r="D39" i="6"/>
  <c r="J39" i="12" a="1"/>
  <c r="J39" i="12" s="1"/>
  <c r="L39" i="12" a="1"/>
  <c r="L39" i="12" s="1"/>
  <c r="D38" i="6"/>
  <c r="J38" i="12" a="1"/>
  <c r="J38" i="12" s="1"/>
  <c r="L38" i="12" a="1"/>
  <c r="L38" i="12" s="1"/>
  <c r="J37" i="12" a="1"/>
  <c r="J37" i="12" s="1"/>
  <c r="L37" i="12" a="1"/>
  <c r="L37" i="12" s="1"/>
  <c r="A37" i="6"/>
  <c r="N37" i="6" s="1"/>
  <c r="B32" i="9"/>
  <c r="Z12" i="9"/>
  <c r="AA12" i="10"/>
  <c r="AA11" i="10" s="1" a="1"/>
  <c r="AA11" i="10" s="1"/>
  <c r="N43" i="5" l="1"/>
  <c r="AE43" i="5" a="1"/>
  <c r="AE43" i="5" s="1"/>
  <c r="A43" i="12"/>
  <c r="AD43" i="5"/>
  <c r="K43" i="5"/>
  <c r="C44" i="5"/>
  <c r="D43" i="5"/>
  <c r="B43" i="12" s="1"/>
  <c r="J43" i="5"/>
  <c r="B43" i="6"/>
  <c r="L41" i="12" a="1"/>
  <c r="L41" i="12" s="1"/>
  <c r="J41" i="12" a="1"/>
  <c r="J41" i="12" s="1"/>
  <c r="F41" i="12" a="1"/>
  <c r="F41" i="12" s="1"/>
  <c r="H40" i="6" a="1"/>
  <c r="H40" i="6" s="1"/>
  <c r="T40" i="5" s="1"/>
  <c r="G40" i="6"/>
  <c r="B42" i="5"/>
  <c r="B43" i="5" s="1"/>
  <c r="N42" i="5"/>
  <c r="F42" i="5"/>
  <c r="F43" i="5" s="1"/>
  <c r="E42" i="5"/>
  <c r="E43" i="5" s="1"/>
  <c r="D42" i="5"/>
  <c r="B42" i="12" s="1"/>
  <c r="AE42" i="5" a="1"/>
  <c r="AE42" i="5" s="1"/>
  <c r="AD42" i="5"/>
  <c r="K42" i="5"/>
  <c r="J42" i="5"/>
  <c r="A42" i="12"/>
  <c r="H42" i="5"/>
  <c r="H43" i="5" s="1"/>
  <c r="G42" i="5"/>
  <c r="G43" i="5" s="1"/>
  <c r="B42" i="6"/>
  <c r="K40" i="12"/>
  <c r="D41" i="6"/>
  <c r="K39" i="12"/>
  <c r="H39" i="6" a="1"/>
  <c r="H39" i="6" s="1"/>
  <c r="T39" i="5" s="1"/>
  <c r="K38" i="12"/>
  <c r="A38" i="6"/>
  <c r="H38" i="6" a="1"/>
  <c r="H38" i="6" s="1"/>
  <c r="T38" i="5" s="1"/>
  <c r="K37" i="12"/>
  <c r="B33" i="9"/>
  <c r="AA12" i="9"/>
  <c r="AB12" i="10"/>
  <c r="AB11" i="10" s="1" a="1"/>
  <c r="AB11" i="10" s="1"/>
  <c r="AF43" i="5" a="1"/>
  <c r="AF43" i="5" l="1"/>
  <c r="N44" i="5"/>
  <c r="AE44" i="5" a="1"/>
  <c r="AE44" i="5" s="1"/>
  <c r="AD44" i="5"/>
  <c r="K44" i="5"/>
  <c r="J44" i="5"/>
  <c r="E44" i="5"/>
  <c r="D44" i="5"/>
  <c r="B44" i="12" s="1"/>
  <c r="A44" i="12"/>
  <c r="G44" i="5"/>
  <c r="F44" i="5"/>
  <c r="B44" i="5"/>
  <c r="H44" i="5"/>
  <c r="B44" i="6"/>
  <c r="D43" i="6"/>
  <c r="L43" i="12" a="1"/>
  <c r="L43" i="12" s="1"/>
  <c r="J43" i="12" a="1"/>
  <c r="J43" i="12" s="1"/>
  <c r="AG43" i="5" a="1"/>
  <c r="AG43" i="5" s="1"/>
  <c r="F43" i="12" a="1"/>
  <c r="F43" i="12" s="1"/>
  <c r="G40" i="12" a="1"/>
  <c r="G40" i="12" s="1"/>
  <c r="G41" i="6"/>
  <c r="H41" i="6" a="1"/>
  <c r="H41" i="6" s="1"/>
  <c r="T41" i="5" s="1"/>
  <c r="J42" i="12" a="1"/>
  <c r="J42" i="12" s="1"/>
  <c r="L42" i="12" a="1"/>
  <c r="L42" i="12" s="1"/>
  <c r="D42" i="6"/>
  <c r="E42" i="12"/>
  <c r="F42" i="6"/>
  <c r="E41" i="12"/>
  <c r="F41" i="6"/>
  <c r="F42" i="12" a="1"/>
  <c r="F42" i="12" s="1"/>
  <c r="K41" i="12"/>
  <c r="N38" i="6"/>
  <c r="A39" i="6"/>
  <c r="A40" i="6" s="1"/>
  <c r="G39" i="12" a="1"/>
  <c r="G39" i="12" s="1"/>
  <c r="G38" i="12" a="1"/>
  <c r="G38" i="12" s="1"/>
  <c r="B34" i="9"/>
  <c r="AB12" i="9"/>
  <c r="AC12" i="10"/>
  <c r="AC11" i="10" s="1" a="1"/>
  <c r="AC11" i="10" s="1"/>
  <c r="AF44" i="5" a="1"/>
  <c r="AF44" i="5" l="1"/>
  <c r="J44" i="12" a="1"/>
  <c r="J44" i="12" s="1"/>
  <c r="L44" i="12" a="1"/>
  <c r="L44" i="12" s="1"/>
  <c r="D44" i="6"/>
  <c r="K43" i="12"/>
  <c r="E43" i="12"/>
  <c r="F43" i="6"/>
  <c r="H43" i="6" a="1"/>
  <c r="H43" i="6" s="1"/>
  <c r="T43" i="5" s="1"/>
  <c r="G43" i="6"/>
  <c r="F44" i="12" a="1"/>
  <c r="F44" i="12" s="1"/>
  <c r="AG44" i="5" a="1"/>
  <c r="AG44" i="5" s="1"/>
  <c r="K42" i="12"/>
  <c r="G41" i="12" a="1"/>
  <c r="G41" i="12" s="1"/>
  <c r="H42" i="6" a="1"/>
  <c r="H42" i="6" s="1"/>
  <c r="T42" i="5" s="1"/>
  <c r="G42" i="6"/>
  <c r="A41" i="6"/>
  <c r="N40" i="6"/>
  <c r="M40" i="6"/>
  <c r="N39" i="6"/>
  <c r="M37" i="6"/>
  <c r="M38" i="6" s="1"/>
  <c r="B35" i="9"/>
  <c r="AC12" i="9"/>
  <c r="AD12" i="10"/>
  <c r="AD11" i="10" s="1" a="1"/>
  <c r="AD11" i="10" s="1"/>
  <c r="K44" i="12" l="1"/>
  <c r="H44" i="6" a="1"/>
  <c r="H44" i="6" s="1"/>
  <c r="T44" i="5" s="1"/>
  <c r="G44" i="6"/>
  <c r="E44" i="12"/>
  <c r="F44" i="6"/>
  <c r="G43" i="12" a="1"/>
  <c r="G43" i="12" s="1"/>
  <c r="AX40" i="6" a="1"/>
  <c r="AX40" i="6" s="1"/>
  <c r="AM40" i="6"/>
  <c r="AV40" i="6"/>
  <c r="AU40" i="6"/>
  <c r="AT40" i="6"/>
  <c r="BC40" i="6" a="1"/>
  <c r="BC40" i="6" s="1"/>
  <c r="AR40" i="6"/>
  <c r="AQ40" i="6"/>
  <c r="BE40" i="6" a="1"/>
  <c r="BE40" i="6" s="1"/>
  <c r="BB40" i="6" a="1"/>
  <c r="BB40" i="6" s="1"/>
  <c r="AS40" i="6"/>
  <c r="AY40" i="6" a="1"/>
  <c r="AY40" i="6" s="1"/>
  <c r="BG40" i="6" a="1"/>
  <c r="BG40" i="6" s="1"/>
  <c r="BA40" i="6" a="1"/>
  <c r="BA40" i="6" s="1"/>
  <c r="AO40" i="6"/>
  <c r="AP40" i="6"/>
  <c r="BD40" i="6" a="1"/>
  <c r="BD40" i="6" s="1"/>
  <c r="AZ40" i="6" a="1"/>
  <c r="AZ40" i="6" s="1"/>
  <c r="BF40" i="6" a="1"/>
  <c r="BF40" i="6" s="1"/>
  <c r="AN40" i="6"/>
  <c r="AI40" i="6"/>
  <c r="AK40" i="6"/>
  <c r="AC40" i="6"/>
  <c r="AB40" i="6"/>
  <c r="AE40" i="6"/>
  <c r="AH40" i="6"/>
  <c r="AD40" i="6"/>
  <c r="AJ40" i="6"/>
  <c r="AF40" i="6"/>
  <c r="AG40" i="6"/>
  <c r="A42" i="6"/>
  <c r="A43" i="6" s="1"/>
  <c r="M41" i="6"/>
  <c r="N41" i="6"/>
  <c r="G42" i="12" a="1"/>
  <c r="G42" i="12" s="1"/>
  <c r="M39" i="6"/>
  <c r="BE38" i="6" a="1"/>
  <c r="BE38" i="6" s="1"/>
  <c r="AY38" i="6" a="1"/>
  <c r="AY38" i="6" s="1"/>
  <c r="AN38" i="6"/>
  <c r="AM38" i="6"/>
  <c r="BB38" i="6" a="1"/>
  <c r="BB38" i="6" s="1"/>
  <c r="BF38" i="6" a="1"/>
  <c r="BF38" i="6" s="1"/>
  <c r="BA38" i="6" a="1"/>
  <c r="BA38" i="6" s="1"/>
  <c r="AT38" i="6"/>
  <c r="AF38" i="6"/>
  <c r="BD38" i="6" a="1"/>
  <c r="BD38" i="6" s="1"/>
  <c r="BC38" i="6" a="1"/>
  <c r="BC38" i="6" s="1"/>
  <c r="AK38" i="6"/>
  <c r="AI38" i="6"/>
  <c r="AU38" i="6"/>
  <c r="AH38" i="6"/>
  <c r="AP38" i="6"/>
  <c r="AR38" i="6"/>
  <c r="AO38" i="6"/>
  <c r="AC38" i="6"/>
  <c r="AX38" i="6" a="1"/>
  <c r="AX38" i="6" s="1"/>
  <c r="AZ38" i="6" a="1"/>
  <c r="AZ38" i="6" s="1"/>
  <c r="AV38" i="6"/>
  <c r="AS38" i="6"/>
  <c r="AD38" i="6"/>
  <c r="AB38" i="6"/>
  <c r="AJ38" i="6"/>
  <c r="BG38" i="6" a="1"/>
  <c r="BG38" i="6" s="1"/>
  <c r="AQ38" i="6"/>
  <c r="AE38" i="6"/>
  <c r="AG38" i="6"/>
  <c r="BC37" i="6" a="1"/>
  <c r="BC37" i="6" s="1"/>
  <c r="AQ37" i="6"/>
  <c r="AZ37" i="6" a="1"/>
  <c r="AZ37" i="6" s="1"/>
  <c r="AV37" i="6"/>
  <c r="BG37" i="6" a="1"/>
  <c r="BG37" i="6" s="1"/>
  <c r="BA37" i="6" a="1"/>
  <c r="BA37" i="6" s="1"/>
  <c r="AX37" i="6" a="1"/>
  <c r="AX37" i="6" s="1"/>
  <c r="AS37" i="6"/>
  <c r="AP37" i="6"/>
  <c r="BD37" i="6" a="1"/>
  <c r="BD37" i="6" s="1"/>
  <c r="AU37" i="6"/>
  <c r="AY37" i="6" a="1"/>
  <c r="AY37" i="6" s="1"/>
  <c r="AM37" i="6"/>
  <c r="BF37" i="6" a="1"/>
  <c r="BF37" i="6" s="1"/>
  <c r="AR37" i="6"/>
  <c r="AN37" i="6"/>
  <c r="AT37" i="6"/>
  <c r="BB37" i="6" a="1"/>
  <c r="BB37" i="6" s="1"/>
  <c r="AO37" i="6"/>
  <c r="BE37" i="6" a="1"/>
  <c r="BE37" i="6" s="1"/>
  <c r="B36" i="9"/>
  <c r="AD12" i="9"/>
  <c r="AE12" i="10"/>
  <c r="AE11" i="10" s="1" a="1"/>
  <c r="AE11" i="10" s="1"/>
  <c r="A44" i="6" l="1"/>
  <c r="N43" i="6"/>
  <c r="M43" i="6"/>
  <c r="G44" i="12" a="1"/>
  <c r="G44" i="12" s="1"/>
  <c r="M42" i="6"/>
  <c r="N42" i="6"/>
  <c r="BA41" i="6" a="1"/>
  <c r="BA41" i="6" s="1"/>
  <c r="BE41" i="6" a="1"/>
  <c r="BE41" i="6" s="1"/>
  <c r="AS41" i="6"/>
  <c r="AR41" i="6"/>
  <c r="AP41" i="6"/>
  <c r="BD41" i="6" a="1"/>
  <c r="BD41" i="6" s="1"/>
  <c r="AU41" i="6"/>
  <c r="AT41" i="6"/>
  <c r="AY41" i="6" a="1"/>
  <c r="AY41" i="6" s="1"/>
  <c r="BG41" i="6" a="1"/>
  <c r="BG41" i="6" s="1"/>
  <c r="BF41" i="6" a="1"/>
  <c r="BF41" i="6" s="1"/>
  <c r="AQ41" i="6"/>
  <c r="AN41" i="6"/>
  <c r="AI41" i="6"/>
  <c r="AO41" i="6"/>
  <c r="BC41" i="6" a="1"/>
  <c r="BC41" i="6" s="1"/>
  <c r="AM41" i="6"/>
  <c r="AX41" i="6" a="1"/>
  <c r="AX41" i="6" s="1"/>
  <c r="AV41" i="6"/>
  <c r="AZ41" i="6" a="1"/>
  <c r="AZ41" i="6" s="1"/>
  <c r="AJ41" i="6"/>
  <c r="BB41" i="6" a="1"/>
  <c r="BB41" i="6" s="1"/>
  <c r="AK41" i="6"/>
  <c r="AD41" i="6"/>
  <c r="AH41" i="6"/>
  <c r="AB41" i="6"/>
  <c r="AE41" i="6"/>
  <c r="AG41" i="6"/>
  <c r="AC41" i="6"/>
  <c r="AF41" i="6"/>
  <c r="BD39" i="6" a="1"/>
  <c r="BD39" i="6" s="1"/>
  <c r="AS39" i="6"/>
  <c r="BC39" i="6" a="1"/>
  <c r="BC39" i="6" s="1"/>
  <c r="AM39" i="6"/>
  <c r="AP39" i="6"/>
  <c r="AK39" i="6"/>
  <c r="AI39" i="6"/>
  <c r="BB39" i="6" a="1"/>
  <c r="BB39" i="6" s="1"/>
  <c r="AD39" i="6"/>
  <c r="BA39" i="6" a="1"/>
  <c r="BA39" i="6" s="1"/>
  <c r="AH39" i="6"/>
  <c r="AZ39" i="6" a="1"/>
  <c r="AZ39" i="6" s="1"/>
  <c r="AV39" i="6"/>
  <c r="AO39" i="6"/>
  <c r="AR39" i="6"/>
  <c r="BE39" i="6" a="1"/>
  <c r="BE39" i="6" s="1"/>
  <c r="AN39" i="6"/>
  <c r="AQ39" i="6"/>
  <c r="AG39" i="6"/>
  <c r="AC39" i="6"/>
  <c r="AX39" i="6" a="1"/>
  <c r="AX39" i="6" s="1"/>
  <c r="AF39" i="6"/>
  <c r="AE39" i="6"/>
  <c r="BF39" i="6" a="1"/>
  <c r="BF39" i="6" s="1"/>
  <c r="AJ39" i="6"/>
  <c r="AB39" i="6"/>
  <c r="AT39" i="6"/>
  <c r="AY39" i="6" a="1"/>
  <c r="AY39" i="6" s="1"/>
  <c r="BG39" i="6" a="1"/>
  <c r="BG39" i="6" s="1"/>
  <c r="AU39" i="6"/>
  <c r="B37" i="9"/>
  <c r="AE12" i="9"/>
  <c r="AF12" i="10"/>
  <c r="AF11" i="10" s="1" a="1"/>
  <c r="AF11" i="10" s="1"/>
  <c r="M44" i="6" l="1"/>
  <c r="N44" i="6"/>
  <c r="AS43" i="6"/>
  <c r="BD43" i="6" a="1"/>
  <c r="BD43" i="6" s="1"/>
  <c r="AG43" i="6"/>
  <c r="AX43" i="6" a="1"/>
  <c r="AX43" i="6" s="1"/>
  <c r="AN43" i="6"/>
  <c r="AM43" i="6"/>
  <c r="AR43" i="6"/>
  <c r="BB43" i="6" a="1"/>
  <c r="BB43" i="6" s="1"/>
  <c r="AO43" i="6"/>
  <c r="AV43" i="6"/>
  <c r="BG43" i="6" a="1"/>
  <c r="BG43" i="6" s="1"/>
  <c r="AT43" i="6"/>
  <c r="BF43" i="6" a="1"/>
  <c r="BF43" i="6" s="1"/>
  <c r="BE43" i="6" a="1"/>
  <c r="BE43" i="6" s="1"/>
  <c r="AQ43" i="6"/>
  <c r="BA43" i="6" a="1"/>
  <c r="BA43" i="6" s="1"/>
  <c r="AZ43" i="6" a="1"/>
  <c r="AZ43" i="6" s="1"/>
  <c r="AY43" i="6" a="1"/>
  <c r="AY43" i="6" s="1"/>
  <c r="AP43" i="6"/>
  <c r="BC43" i="6" a="1"/>
  <c r="BC43" i="6" s="1"/>
  <c r="AE43" i="6"/>
  <c r="AU43" i="6"/>
  <c r="AC43" i="6"/>
  <c r="AF43" i="6"/>
  <c r="AJ43" i="6"/>
  <c r="AH43" i="6"/>
  <c r="AB43" i="6"/>
  <c r="AK43" i="6"/>
  <c r="AD43" i="6"/>
  <c r="AI43" i="6"/>
  <c r="AM42" i="6"/>
  <c r="AX42" i="6" a="1"/>
  <c r="AX42" i="6" s="1"/>
  <c r="AP42" i="6"/>
  <c r="AK42" i="6"/>
  <c r="AD42" i="6"/>
  <c r="BG42" i="6" a="1"/>
  <c r="BG42" i="6" s="1"/>
  <c r="AC42" i="6"/>
  <c r="AB42" i="6"/>
  <c r="AT42" i="6"/>
  <c r="BA42" i="6" a="1"/>
  <c r="BA42" i="6" s="1"/>
  <c r="AS42" i="6"/>
  <c r="AV42" i="6"/>
  <c r="AR42" i="6"/>
  <c r="AQ42" i="6"/>
  <c r="BB42" i="6" a="1"/>
  <c r="BB42" i="6" s="1"/>
  <c r="BD42" i="6" a="1"/>
  <c r="BD42" i="6" s="1"/>
  <c r="AY42" i="6" a="1"/>
  <c r="AY42" i="6" s="1"/>
  <c r="AO42" i="6"/>
  <c r="BC42" i="6" a="1"/>
  <c r="BC42" i="6" s="1"/>
  <c r="AJ42" i="6"/>
  <c r="AI42" i="6"/>
  <c r="AE42" i="6"/>
  <c r="AN42" i="6"/>
  <c r="AU42" i="6"/>
  <c r="BF42" i="6" a="1"/>
  <c r="BF42" i="6" s="1"/>
  <c r="AH42" i="6"/>
  <c r="AZ42" i="6" a="1"/>
  <c r="AZ42" i="6" s="1"/>
  <c r="BE42" i="6" a="1"/>
  <c r="BE42" i="6" s="1"/>
  <c r="AF42" i="6"/>
  <c r="AG42" i="6"/>
  <c r="B38" i="9"/>
  <c r="M1" i="6"/>
  <c r="J43" i="6" l="1" a="1"/>
  <c r="J43" i="6" s="1"/>
  <c r="J44" i="6" a="1"/>
  <c r="J44" i="6" s="1"/>
  <c r="BG44" i="6" a="1"/>
  <c r="BG44" i="6" s="1"/>
  <c r="AQ44" i="6"/>
  <c r="AZ44" i="6" a="1"/>
  <c r="AZ44" i="6" s="1"/>
  <c r="BC44" i="6" a="1"/>
  <c r="BC44" i="6" s="1"/>
  <c r="AU44" i="6"/>
  <c r="BF44" i="6" a="1"/>
  <c r="BF44" i="6" s="1"/>
  <c r="BD44" i="6" a="1"/>
  <c r="BD44" i="6" s="1"/>
  <c r="AY44" i="6" a="1"/>
  <c r="AY44" i="6" s="1"/>
  <c r="AS44" i="6"/>
  <c r="AN44" i="6"/>
  <c r="AX44" i="6" a="1"/>
  <c r="AX44" i="6" s="1"/>
  <c r="AM44" i="6"/>
  <c r="AT44" i="6"/>
  <c r="AK44" i="6"/>
  <c r="AJ44" i="6"/>
  <c r="AV44" i="6"/>
  <c r="BE44" i="6" a="1"/>
  <c r="BE44" i="6" s="1"/>
  <c r="AO44" i="6"/>
  <c r="AR44" i="6"/>
  <c r="BB44" i="6" a="1"/>
  <c r="BB44" i="6" s="1"/>
  <c r="BA44" i="6" a="1"/>
  <c r="BA44" i="6" s="1"/>
  <c r="AP44" i="6"/>
  <c r="AH44" i="6"/>
  <c r="AE44" i="6"/>
  <c r="AB44" i="6"/>
  <c r="AC44" i="6"/>
  <c r="AF44" i="6"/>
  <c r="AI44" i="6"/>
  <c r="AD44" i="6"/>
  <c r="AG44" i="6"/>
  <c r="J32" i="6" a="1"/>
  <c r="J32" i="6" s="1"/>
  <c r="J33" i="6" a="1"/>
  <c r="J33" i="6" s="1"/>
  <c r="J40" i="6" a="1"/>
  <c r="J40" i="6" s="1"/>
  <c r="J41" i="6" a="1"/>
  <c r="J41" i="6" s="1"/>
  <c r="J42" i="6" a="1"/>
  <c r="J42" i="6" s="1"/>
  <c r="J35" i="6" a="1"/>
  <c r="J35" i="6" s="1"/>
  <c r="J36" i="6" a="1"/>
  <c r="J36" i="6" s="1"/>
  <c r="J31" i="6" a="1"/>
  <c r="J31" i="6" s="1"/>
  <c r="J39" i="6" a="1"/>
  <c r="J39" i="6" s="1"/>
  <c r="J30" i="6" a="1"/>
  <c r="J30" i="6" s="1"/>
  <c r="J38" i="6" a="1"/>
  <c r="J38" i="6" s="1"/>
  <c r="J29" i="6" a="1"/>
  <c r="J29" i="6" s="1"/>
  <c r="J28" i="6" a="1"/>
  <c r="J28" i="6" s="1"/>
  <c r="J22" i="6" a="1"/>
  <c r="J22" i="6" s="1"/>
  <c r="J17" i="6" a="1"/>
  <c r="J17" i="6" s="1"/>
  <c r="J18" i="6" a="1"/>
  <c r="J18" i="6" s="1"/>
  <c r="J19" i="6" a="1"/>
  <c r="J19" i="6" s="1"/>
  <c r="J20" i="6" a="1"/>
  <c r="J20" i="6" s="1"/>
  <c r="J27" i="6" a="1"/>
  <c r="J27" i="6" s="1"/>
  <c r="B39" i="9"/>
  <c r="J16" i="6" a="1"/>
  <c r="J16" i="6" s="1"/>
  <c r="J21" i="6" a="1"/>
  <c r="J21" i="6" s="1"/>
  <c r="J23" i="6" a="1"/>
  <c r="J23" i="6" s="1"/>
  <c r="J24" i="6" a="1"/>
  <c r="J24" i="6" s="1"/>
  <c r="J25" i="6" a="1"/>
  <c r="J25" i="6" s="1"/>
  <c r="J26" i="6" a="1"/>
  <c r="J26" i="6" s="1"/>
  <c r="H23" i="6" a="1"/>
  <c r="H23" i="6" s="1"/>
  <c r="H24" i="6" a="1"/>
  <c r="H24" i="6" s="1"/>
  <c r="H25" i="6" a="1"/>
  <c r="H25" i="6" s="1"/>
  <c r="H26" i="6" a="1"/>
  <c r="H26" i="6" s="1"/>
  <c r="H21" i="6" a="1"/>
  <c r="H21" i="6" s="1"/>
  <c r="J34" i="6" a="1"/>
  <c r="J34" i="6" s="1"/>
  <c r="H34" i="6" a="1"/>
  <c r="H34" i="6" s="1"/>
  <c r="J37" i="6" a="1"/>
  <c r="J37" i="6" s="1"/>
  <c r="H37" i="6" a="1"/>
  <c r="H3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5" i="5" l="1"/>
  <c r="AB25" i="6"/>
  <c r="AC25" i="6"/>
  <c r="AD25" i="6"/>
  <c r="AF25" i="6"/>
  <c r="AE25" i="6"/>
  <c r="AG25" i="6"/>
  <c r="AH25" i="6"/>
  <c r="AI25" i="6"/>
  <c r="AJ25" i="6"/>
  <c r="AK25" i="6"/>
  <c r="B40" i="9"/>
  <c r="T34" i="5"/>
  <c r="AB34" i="6"/>
  <c r="AC34" i="6"/>
  <c r="AD34" i="6"/>
  <c r="AF34" i="6"/>
  <c r="AE34" i="6"/>
  <c r="AG34" i="6"/>
  <c r="AH34" i="6"/>
  <c r="AI34" i="6"/>
  <c r="AJ34" i="6"/>
  <c r="AK34" i="6"/>
  <c r="T24" i="5"/>
  <c r="AB24" i="6"/>
  <c r="AC24" i="6"/>
  <c r="AD24" i="6"/>
  <c r="AE24" i="6"/>
  <c r="AF24" i="6"/>
  <c r="AG24" i="6"/>
  <c r="AH24" i="6"/>
  <c r="AI24" i="6"/>
  <c r="AJ24" i="6"/>
  <c r="AK24" i="6"/>
  <c r="T37" i="5"/>
  <c r="AB37" i="6"/>
  <c r="AC37" i="6"/>
  <c r="AD37" i="6"/>
  <c r="AE37" i="6"/>
  <c r="AF37" i="6"/>
  <c r="AG37" i="6"/>
  <c r="AH37" i="6"/>
  <c r="AI37" i="6"/>
  <c r="AJ37" i="6"/>
  <c r="AK37" i="6"/>
  <c r="T23" i="5"/>
  <c r="AB23" i="6"/>
  <c r="AC23" i="6"/>
  <c r="AD23" i="6"/>
  <c r="AF23" i="6"/>
  <c r="AE23" i="6"/>
  <c r="AG23" i="6"/>
  <c r="AH23" i="6"/>
  <c r="AI23" i="6"/>
  <c r="AJ23" i="6"/>
  <c r="AK23" i="6"/>
  <c r="T21" i="5"/>
  <c r="AB21" i="6"/>
  <c r="AC21" i="6"/>
  <c r="AD21" i="6"/>
  <c r="AF21" i="6"/>
  <c r="AE21" i="6"/>
  <c r="AG21" i="6"/>
  <c r="AH21" i="6"/>
  <c r="AI21" i="6"/>
  <c r="AJ21" i="6"/>
  <c r="AK21" i="6"/>
  <c r="T26" i="5"/>
  <c r="AB26" i="6"/>
  <c r="AC26" i="6"/>
  <c r="AD26" i="6"/>
  <c r="AF26" i="6"/>
  <c r="AE26" i="6"/>
  <c r="AG26" i="6"/>
  <c r="AH26" i="6"/>
  <c r="AI26" i="6"/>
  <c r="AJ26" i="6"/>
  <c r="AK26" i="6"/>
  <c r="I10" i="7"/>
  <c r="K13" i="7"/>
  <c r="L13" i="7" s="1"/>
  <c r="J10" i="7"/>
  <c r="C45" i="5" l="1"/>
  <c r="G21" i="12" a="1"/>
  <c r="G21" i="12" s="1"/>
  <c r="B41" i="9"/>
  <c r="G23" i="12" a="1"/>
  <c r="G23" i="12" s="1"/>
  <c r="G37" i="12" a="1"/>
  <c r="G37" i="12" s="1"/>
  <c r="G34" i="12" a="1"/>
  <c r="G34" i="12" s="1"/>
  <c r="G26" i="12" a="1"/>
  <c r="G26" i="12" s="1"/>
  <c r="G24" i="12" a="1"/>
  <c r="G24" i="12" s="1"/>
  <c r="G25" i="12" a="1"/>
  <c r="G25" i="12" s="1"/>
  <c r="M13" i="7"/>
  <c r="L10" i="7"/>
  <c r="AF45" i="5" l="1" a="1"/>
  <c r="AF45" i="5" s="1"/>
  <c r="F45" i="5"/>
  <c r="A45" i="12"/>
  <c r="N45" i="5"/>
  <c r="D45" i="6" s="1"/>
  <c r="G45" i="5"/>
  <c r="AD45" i="5"/>
  <c r="E45" i="5"/>
  <c r="H45" i="5"/>
  <c r="B45" i="5"/>
  <c r="B45" i="6"/>
  <c r="C46" i="5"/>
  <c r="C47" i="5" s="1"/>
  <c r="AE45" i="5" a="1"/>
  <c r="AE45" i="5" s="1"/>
  <c r="B42" i="9"/>
  <c r="N13" i="7"/>
  <c r="M10" i="7"/>
  <c r="A47" i="12" l="1"/>
  <c r="D47" i="5"/>
  <c r="B47" i="12" s="1"/>
  <c r="N47" i="5"/>
  <c r="AE47" i="5" a="1"/>
  <c r="AE47" i="5" s="1"/>
  <c r="AD47" i="5"/>
  <c r="K47" i="5"/>
  <c r="J47" i="5"/>
  <c r="B47" i="6"/>
  <c r="J45" i="6" a="1"/>
  <c r="J45" i="6" s="1"/>
  <c r="A45" i="6"/>
  <c r="K46" i="5"/>
  <c r="AD46" i="5"/>
  <c r="G46" i="5"/>
  <c r="G47" i="5" s="1"/>
  <c r="A46" i="12"/>
  <c r="J46" i="5"/>
  <c r="F46" i="5"/>
  <c r="F47" i="5" s="1"/>
  <c r="N46" i="5"/>
  <c r="D46" i="6" s="1"/>
  <c r="AE46" i="5" a="1"/>
  <c r="AE46" i="5" s="1"/>
  <c r="D46" i="5"/>
  <c r="B46" i="12" s="1"/>
  <c r="B46" i="6"/>
  <c r="H46" i="5"/>
  <c r="H47" i="5" s="1"/>
  <c r="E46" i="5"/>
  <c r="E47" i="5" s="1"/>
  <c r="B46" i="5"/>
  <c r="B47" i="5" s="1"/>
  <c r="G45" i="6"/>
  <c r="M45" i="6"/>
  <c r="BB45" i="6" s="1" a="1"/>
  <c r="BB45" i="6" s="1"/>
  <c r="N45" i="6"/>
  <c r="H45" i="6" a="1"/>
  <c r="H45" i="6" s="1"/>
  <c r="S45" i="5" a="1"/>
  <c r="S45" i="5" s="1"/>
  <c r="F45" i="12" s="1" a="1"/>
  <c r="F45" i="12" s="1"/>
  <c r="AG45" i="5" a="1"/>
  <c r="AG45" i="5" s="1"/>
  <c r="B43" i="9"/>
  <c r="O13" i="7"/>
  <c r="N10" i="7"/>
  <c r="E47" i="12" l="1"/>
  <c r="F47" i="6"/>
  <c r="J47" i="12" a="1"/>
  <c r="J47" i="12" s="1"/>
  <c r="L47" i="12" a="1"/>
  <c r="L47" i="12" s="1"/>
  <c r="J47" i="6" a="1"/>
  <c r="J47" i="6" s="1"/>
  <c r="D47" i="6"/>
  <c r="AD45" i="6"/>
  <c r="AQ45" i="6"/>
  <c r="BE45" i="6" a="1"/>
  <c r="BE45" i="6" s="1"/>
  <c r="AK45" i="6"/>
  <c r="BC45" i="6" a="1"/>
  <c r="BC45" i="6" s="1"/>
  <c r="AI45" i="6"/>
  <c r="AR45" i="6"/>
  <c r="AS45" i="6"/>
  <c r="AB45" i="6"/>
  <c r="AC45" i="6"/>
  <c r="AV45" i="6"/>
  <c r="A46" i="6"/>
  <c r="N46" i="6" s="1"/>
  <c r="J46" i="6" a="1"/>
  <c r="J46" i="6" s="1"/>
  <c r="J46" i="12" a="1"/>
  <c r="J46" i="12" s="1"/>
  <c r="L46" i="12" a="1"/>
  <c r="L46" i="12" s="1"/>
  <c r="AH45" i="6"/>
  <c r="AE45" i="6"/>
  <c r="AG45" i="6"/>
  <c r="T45" i="5"/>
  <c r="G45" i="12" s="1" a="1"/>
  <c r="G45" i="12" s="1"/>
  <c r="AF45" i="6"/>
  <c r="BG45" i="6" a="1"/>
  <c r="BG45" i="6" s="1"/>
  <c r="BD45" i="6" a="1"/>
  <c r="BD45" i="6" s="1"/>
  <c r="AM45" i="6"/>
  <c r="BF45" i="6" a="1"/>
  <c r="BF45" i="6" s="1"/>
  <c r="BA45" i="6" a="1"/>
  <c r="BA45" i="6" s="1"/>
  <c r="AP45" i="6"/>
  <c r="AY45" i="6" a="1"/>
  <c r="AY45" i="6" s="1"/>
  <c r="AZ45" i="6" a="1"/>
  <c r="AZ45" i="6" s="1"/>
  <c r="AT45" i="6"/>
  <c r="AO45" i="6"/>
  <c r="AN45" i="6"/>
  <c r="AU45" i="6"/>
  <c r="H46" i="6" a="1"/>
  <c r="H46" i="6" s="1"/>
  <c r="AX45" i="6" a="1"/>
  <c r="AX45" i="6" s="1"/>
  <c r="AJ45" i="6"/>
  <c r="B44" i="9"/>
  <c r="P13" i="7"/>
  <c r="O10" i="7"/>
  <c r="K47" i="12" l="1"/>
  <c r="H47" i="6" a="1"/>
  <c r="H47" i="6" s="1"/>
  <c r="T47" i="5" s="1"/>
  <c r="A47" i="6"/>
  <c r="N47" i="6" s="1"/>
  <c r="M46" i="6"/>
  <c r="AC46" i="6" s="1"/>
  <c r="K46" i="12"/>
  <c r="T46" i="5"/>
  <c r="G46" i="12" s="1" a="1"/>
  <c r="G46" i="12" s="1"/>
  <c r="B45" i="9"/>
  <c r="Q13" i="7"/>
  <c r="P10" i="7"/>
  <c r="M47" i="6" l="1"/>
  <c r="BD47" i="6" s="1" a="1"/>
  <c r="BD47" i="6" s="1"/>
  <c r="G47" i="12" a="1"/>
  <c r="G47" i="12" s="1"/>
  <c r="AN46" i="6"/>
  <c r="AY46" i="6" a="1"/>
  <c r="AY46" i="6" s="1"/>
  <c r="AX46" i="6" a="1"/>
  <c r="AX46" i="6" s="1"/>
  <c r="AQ46" i="6"/>
  <c r="AZ46" i="6" a="1"/>
  <c r="AZ46" i="6" s="1"/>
  <c r="AB46" i="6"/>
  <c r="AH46" i="6"/>
  <c r="AV46" i="6"/>
  <c r="AM46" i="6"/>
  <c r="AO46" i="6"/>
  <c r="AT46" i="6"/>
  <c r="AD46" i="6"/>
  <c r="AR46" i="6"/>
  <c r="BC46" i="6" a="1"/>
  <c r="BC46" i="6" s="1"/>
  <c r="BD46" i="6" a="1"/>
  <c r="BD46" i="6" s="1"/>
  <c r="AJ46" i="6"/>
  <c r="AK46" i="6"/>
  <c r="AG46" i="6"/>
  <c r="BA46" i="6" a="1"/>
  <c r="BA46" i="6" s="1"/>
  <c r="BG46" i="6" a="1"/>
  <c r="BG46" i="6" s="1"/>
  <c r="AI46" i="6"/>
  <c r="AU46" i="6"/>
  <c r="AE46" i="6"/>
  <c r="BB46" i="6" a="1"/>
  <c r="BB46" i="6" s="1"/>
  <c r="BF46" i="6" a="1"/>
  <c r="BF46" i="6" s="1"/>
  <c r="BE46" i="6" a="1"/>
  <c r="BE46" i="6" s="1"/>
  <c r="AS46" i="6"/>
  <c r="AF46" i="6"/>
  <c r="AP46" i="6"/>
  <c r="B46" i="9"/>
  <c r="R13" i="7"/>
  <c r="Q10" i="7"/>
  <c r="AP47" i="6" l="1"/>
  <c r="AC47" i="6"/>
  <c r="AB47" i="6"/>
  <c r="BA47" i="6" a="1"/>
  <c r="BA47" i="6" s="1"/>
  <c r="AK47" i="6"/>
  <c r="AZ47" i="6" a="1"/>
  <c r="AZ47" i="6" s="1"/>
  <c r="AJ47" i="6"/>
  <c r="AG47" i="6"/>
  <c r="AE47" i="6"/>
  <c r="AX47" i="6" a="1"/>
  <c r="AX47" i="6" s="1"/>
  <c r="BG47" i="6" a="1"/>
  <c r="BG47" i="6" s="1"/>
  <c r="AO47" i="6"/>
  <c r="BF47" i="6" a="1"/>
  <c r="BF47" i="6" s="1"/>
  <c r="AS47" i="6"/>
  <c r="AN47" i="6"/>
  <c r="AR47" i="6"/>
  <c r="BE47" i="6" a="1"/>
  <c r="BE47" i="6" s="1"/>
  <c r="AT47" i="6"/>
  <c r="AM47" i="6"/>
  <c r="BC47" i="6" a="1"/>
  <c r="BC47" i="6" s="1"/>
  <c r="AY47" i="6" a="1"/>
  <c r="AY47" i="6" s="1"/>
  <c r="AQ47" i="6"/>
  <c r="BB47" i="6" a="1"/>
  <c r="BB47" i="6" s="1"/>
  <c r="AI47" i="6"/>
  <c r="AD47" i="6"/>
  <c r="AV47" i="6"/>
  <c r="AF47" i="6"/>
  <c r="AH47" i="6"/>
  <c r="AU47" i="6"/>
  <c r="B47" i="9"/>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40" i="8" s="1"/>
  <c r="B26" i="7" l="1"/>
  <c r="C27" i="7" a="1"/>
  <c r="C27" i="7" s="1"/>
  <c r="B27" i="10"/>
  <c r="A11" i="12"/>
  <c r="B28" i="10" l="1"/>
  <c r="B27" i="7"/>
  <c r="C28" i="7" a="1"/>
  <c r="C28" i="7" s="1"/>
  <c r="B29" i="10" l="1"/>
  <c r="C29" i="7" a="1"/>
  <c r="C29" i="7" s="1"/>
  <c r="B28" i="7"/>
  <c r="B30" i="10" l="1"/>
  <c r="C30" i="7" a="1"/>
  <c r="C30" i="7" s="1"/>
  <c r="B29" i="7"/>
  <c r="J14" i="6" a="1"/>
  <c r="J14" i="6" s="1"/>
  <c r="B31" i="10" l="1"/>
  <c r="C31" i="7" a="1"/>
  <c r="C31" i="7" s="1"/>
  <c r="B30" i="7"/>
  <c r="C32" i="7" l="1" a="1"/>
  <c r="C32" i="7" s="1"/>
  <c r="B31" i="7"/>
  <c r="B32" i="10"/>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C36" i="7" l="1" a="1"/>
  <c r="C36" i="7" s="1"/>
  <c r="B35" i="7"/>
  <c r="B36" i="10"/>
  <c r="C37" i="7" l="1" a="1"/>
  <c r="C37" i="7" s="1"/>
  <c r="B36" i="7"/>
  <c r="B37" i="10"/>
  <c r="C38" i="7" l="1" a="1"/>
  <c r="C38" i="7" s="1"/>
  <c r="B37" i="7"/>
  <c r="B38" i="10"/>
  <c r="C39" i="7" l="1" a="1"/>
  <c r="C39" i="7" s="1"/>
  <c r="B38" i="7"/>
  <c r="B39" i="10"/>
  <c r="B40" i="10" l="1"/>
  <c r="B39" i="7"/>
  <c r="C40" i="7" a="1"/>
  <c r="C40" i="7" s="1"/>
  <c r="B40" i="7" l="1"/>
  <c r="C41" i="7" a="1"/>
  <c r="C41" i="7" s="1"/>
  <c r="B41" i="10"/>
  <c r="AG14" i="5" a="1"/>
  <c r="AG14" i="5" s="1"/>
  <c r="S14" i="5" a="1"/>
  <c r="S14" i="5" s="1"/>
  <c r="F14" i="12" s="1" a="1"/>
  <c r="F14" i="12" s="1"/>
  <c r="C42" i="7" l="1" a="1"/>
  <c r="C42" i="7" s="1"/>
  <c r="B41" i="7"/>
  <c r="B42" i="10"/>
  <c r="E14" i="12"/>
  <c r="C43" i="7" l="1" a="1"/>
  <c r="C43" i="7" s="1"/>
  <c r="B42" i="7"/>
  <c r="B43" i="10"/>
  <c r="I1" i="7" a="1"/>
  <c r="I1" i="7" s="1"/>
  <c r="B43" i="7" l="1"/>
  <c r="C44" i="7" a="1"/>
  <c r="C44" i="7" s="1"/>
  <c r="B44" i="10"/>
  <c r="F1" i="7"/>
  <c r="E1" i="7" a="1"/>
  <c r="E1" i="7" s="1"/>
  <c r="H1" i="7" a="1"/>
  <c r="H1" i="7" s="1"/>
  <c r="I14" i="7"/>
  <c r="B44" i="7" l="1"/>
  <c r="C45" i="7" a="1"/>
  <c r="C45" i="7" s="1"/>
  <c r="B45" i="10"/>
  <c r="I74" i="10"/>
  <c r="F14" i="7"/>
  <c r="AF40" i="8"/>
  <c r="Y40" i="8"/>
  <c r="H14" i="7"/>
  <c r="W40" i="8"/>
  <c r="AE40" i="8"/>
  <c r="X40" i="8"/>
  <c r="AD40" i="8"/>
  <c r="AC40" i="8"/>
  <c r="U40" i="8"/>
  <c r="V40" i="8"/>
  <c r="Z40" i="8"/>
  <c r="AB40" i="8"/>
  <c r="AA40"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41" i="8"/>
  <c r="V41" i="8"/>
  <c r="B50" i="10" l="1"/>
  <c r="C50" i="7" a="1"/>
  <c r="C50" i="7" s="1"/>
  <c r="B49" i="7"/>
  <c r="X41" i="8"/>
  <c r="W41" i="8"/>
  <c r="B51" i="10" l="1"/>
  <c r="C51" i="7" a="1"/>
  <c r="C51" i="7" s="1"/>
  <c r="B50" i="7"/>
  <c r="Y41" i="8"/>
  <c r="B52" i="10" l="1"/>
  <c r="C52" i="7" a="1"/>
  <c r="C52" i="7" s="1"/>
  <c r="B51" i="7"/>
  <c r="Z41" i="8"/>
  <c r="B52" i="7" l="1"/>
  <c r="C53" i="7" a="1"/>
  <c r="C53" i="7" s="1"/>
  <c r="B53" i="10"/>
  <c r="AB41" i="8"/>
  <c r="B54" i="10" l="1"/>
  <c r="C54" i="7" a="1"/>
  <c r="C54" i="7" s="1"/>
  <c r="B53" i="7"/>
  <c r="AC41" i="8"/>
  <c r="B54" i="7" l="1"/>
  <c r="C55" i="7" a="1"/>
  <c r="C55" i="7" s="1"/>
  <c r="B55" i="10"/>
  <c r="AD41" i="8"/>
  <c r="AE41"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41" i="8" l="1"/>
  <c r="AF41" i="8" l="1"/>
  <c r="T41" i="8" s="1"/>
  <c r="K21" i="5" l="1"/>
  <c r="AH12" i="13" l="1"/>
  <c r="AE20" i="13" l="1"/>
  <c r="AD20" i="13" a="1"/>
  <c r="AD20" i="13" s="1"/>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K34" i="5" l="1"/>
  <c r="AC15" i="13" l="1" a="1"/>
  <c r="AC15" i="13" s="1"/>
  <c r="AC21" i="13" a="1"/>
  <c r="AC21" i="13" s="1"/>
  <c r="AG18" i="13" l="1" a="1"/>
  <c r="AG18" i="13" s="1"/>
  <c r="K17" i="5" l="1"/>
  <c r="L48" i="6" l="1"/>
  <c r="AE23" i="13"/>
  <c r="AG20" i="13" l="1" a="1"/>
  <c r="AG20" i="13" s="1"/>
  <c r="AG19" i="13" a="1"/>
  <c r="AG19" i="13" s="1"/>
  <c r="A19" i="13" l="1"/>
  <c r="AL19" i="13" s="1"/>
  <c r="A5" i="5"/>
  <c r="J34" i="5" l="1"/>
  <c r="D34" i="5" s="1"/>
  <c r="B34" i="12" s="1"/>
  <c r="J17" i="5"/>
  <c r="D17" i="5" s="1"/>
  <c r="B17" i="12" s="1"/>
  <c r="F23" i="8" a="1"/>
  <c r="F23" i="8" s="1"/>
  <c r="F24" i="8" s="1"/>
  <c r="J16" i="5"/>
  <c r="A20" i="13"/>
  <c r="A22" i="13"/>
  <c r="A23" i="13"/>
  <c r="B16" i="11"/>
  <c r="A15" i="13"/>
  <c r="B19" i="11"/>
  <c r="B23" i="11"/>
  <c r="A17" i="13"/>
  <c r="B12" i="11"/>
  <c r="B17" i="11"/>
  <c r="B15" i="11"/>
  <c r="B18" i="11"/>
  <c r="K45" i="5"/>
  <c r="F26" i="8" a="1"/>
  <c r="F26" i="8" s="1"/>
  <c r="F27" i="8" s="1"/>
  <c r="B19" i="13"/>
  <c r="F14" i="8" a="1"/>
  <c r="F14" i="8" s="1"/>
  <c r="F15" i="8" s="1"/>
  <c r="A16" i="13"/>
  <c r="B22" i="11"/>
  <c r="K16" i="5"/>
  <c r="AO19" i="13"/>
  <c r="F17" i="8" a="1"/>
  <c r="F17" i="8" s="1"/>
  <c r="F18" i="8" s="1"/>
  <c r="A12" i="13"/>
  <c r="A18" i="13"/>
  <c r="F1" i="8" a="1"/>
  <c r="F1" i="8" s="1"/>
  <c r="F2" i="8" s="1"/>
  <c r="A21" i="13"/>
  <c r="B21" i="11"/>
  <c r="J21" i="5"/>
  <c r="D21" i="5" s="1"/>
  <c r="B21" i="12" s="1"/>
  <c r="J45" i="5"/>
  <c r="B20" i="11"/>
  <c r="F20" i="8" a="1"/>
  <c r="F20" i="8" s="1"/>
  <c r="F21" i="8" s="1"/>
  <c r="D16" i="5" l="1"/>
  <c r="B14" i="13" s="1"/>
  <c r="A58" i="9"/>
  <c r="C24" i="9"/>
  <c r="F24" i="9" s="1"/>
  <c r="C64" i="9"/>
  <c r="F64" i="9" s="1"/>
  <c r="C39" i="9"/>
  <c r="F39" i="9" s="1"/>
  <c r="A63" i="9"/>
  <c r="A27" i="9"/>
  <c r="C47" i="9"/>
  <c r="F47" i="9" s="1"/>
  <c r="C36" i="10"/>
  <c r="A36" i="10" s="1"/>
  <c r="C45" i="9"/>
  <c r="F45" i="9" s="1"/>
  <c r="C19" i="10"/>
  <c r="A19" i="10" s="1"/>
  <c r="C58" i="10"/>
  <c r="A58" i="10" s="1"/>
  <c r="A36" i="9"/>
  <c r="A18" i="9"/>
  <c r="G17" i="11"/>
  <c r="F17" i="13" s="1"/>
  <c r="O17" i="11" a="1"/>
  <c r="O17" i="11" s="1"/>
  <c r="K17" i="11" a="1"/>
  <c r="K17" i="11" s="1"/>
  <c r="J17" i="13" s="1"/>
  <c r="C17" i="13"/>
  <c r="AA17" i="11" a="1"/>
  <c r="AA17" i="11" s="1"/>
  <c r="AB17" i="11" a="1"/>
  <c r="AB17" i="11" s="1"/>
  <c r="N17" i="11" s="1"/>
  <c r="J17" i="8"/>
  <c r="M17" i="8"/>
  <c r="S19" i="8" s="1"/>
  <c r="K12" i="11" a="1"/>
  <c r="K12" i="11" s="1"/>
  <c r="J12" i="13" s="1"/>
  <c r="C12" i="13"/>
  <c r="O12" i="11" a="1"/>
  <c r="O12" i="11" s="1"/>
  <c r="AB12" i="11" a="1"/>
  <c r="AB12" i="11" s="1"/>
  <c r="N12" i="11" s="1"/>
  <c r="G12" i="11"/>
  <c r="F12" i="13" s="1"/>
  <c r="AA12" i="11" a="1"/>
  <c r="AA12" i="11" s="1"/>
  <c r="AA15" i="11" a="1"/>
  <c r="AA15" i="11" s="1"/>
  <c r="F10" i="8" a="1"/>
  <c r="F10" i="8" s="1"/>
  <c r="G15" i="11"/>
  <c r="F15" i="13" s="1"/>
  <c r="C15" i="13"/>
  <c r="AB15" i="11" a="1"/>
  <c r="AB15" i="11" s="1"/>
  <c r="N15" i="11" s="1"/>
  <c r="O15" i="11" a="1"/>
  <c r="O15" i="11" s="1"/>
  <c r="K15" i="11" a="1"/>
  <c r="K15" i="11" s="1"/>
  <c r="J15" i="13" s="1"/>
  <c r="M14" i="8"/>
  <c r="O14" i="8" s="1"/>
  <c r="J14" i="8"/>
  <c r="AO17" i="13"/>
  <c r="AL17" i="13"/>
  <c r="B17" i="13"/>
  <c r="AF17" i="13" s="1" a="1"/>
  <c r="AF17" i="13" s="1"/>
  <c r="O23" i="11" a="1"/>
  <c r="O23" i="11" s="1"/>
  <c r="AA23" i="11" a="1"/>
  <c r="AA23" i="11" s="1"/>
  <c r="K23" i="11" a="1"/>
  <c r="K23" i="11" s="1"/>
  <c r="J23" i="13" s="1"/>
  <c r="AB23" i="11" a="1"/>
  <c r="AB23" i="11" s="1"/>
  <c r="N23" i="11" s="1"/>
  <c r="G23" i="11"/>
  <c r="F23" i="13" s="1"/>
  <c r="C23" i="13"/>
  <c r="AO16" i="13"/>
  <c r="AL16" i="13"/>
  <c r="B16" i="13"/>
  <c r="AC16" i="13" s="1" a="1"/>
  <c r="AC16" i="13" s="1"/>
  <c r="K19" i="11" a="1"/>
  <c r="K19" i="11" s="1"/>
  <c r="J19" i="13" s="1"/>
  <c r="G19" i="11"/>
  <c r="F19" i="13" s="1"/>
  <c r="C19" i="13"/>
  <c r="O19" i="11" a="1"/>
  <c r="O19" i="11" s="1"/>
  <c r="AB19" i="11" a="1"/>
  <c r="AB19" i="11" s="1"/>
  <c r="N19" i="11" s="1"/>
  <c r="AA19" i="11" a="1"/>
  <c r="AA19" i="11" s="1"/>
  <c r="J23" i="8"/>
  <c r="M23" i="8"/>
  <c r="AJ19" i="13" a="1"/>
  <c r="AJ19" i="13" s="1"/>
  <c r="AK19" i="13" a="1"/>
  <c r="AK19" i="13" s="1"/>
  <c r="AM19" i="13" a="1"/>
  <c r="AM19" i="13" s="1"/>
  <c r="AL15" i="13"/>
  <c r="B15" i="13"/>
  <c r="AO15" i="13"/>
  <c r="J26" i="8"/>
  <c r="M26" i="8"/>
  <c r="K16" i="11" a="1"/>
  <c r="K16" i="11" s="1"/>
  <c r="J16" i="13" s="1"/>
  <c r="G16" i="11"/>
  <c r="F16" i="13" s="1"/>
  <c r="O16" i="11" a="1"/>
  <c r="O16" i="11" s="1"/>
  <c r="AB16" i="11" a="1"/>
  <c r="AB16" i="11" s="1"/>
  <c r="N16" i="11" s="1"/>
  <c r="AA16" i="11" a="1"/>
  <c r="AA16" i="11" s="1"/>
  <c r="C16" i="13"/>
  <c r="AB21" i="11" a="1"/>
  <c r="AB21" i="11" s="1"/>
  <c r="N21" i="11" s="1"/>
  <c r="O21" i="11" a="1"/>
  <c r="O21" i="11" s="1"/>
  <c r="AA21" i="11" a="1"/>
  <c r="AA21" i="11" s="1"/>
  <c r="G21" i="11"/>
  <c r="F21" i="13" s="1"/>
  <c r="K21" i="11" a="1"/>
  <c r="K21" i="11" s="1"/>
  <c r="J21" i="13" s="1"/>
  <c r="C21" i="13"/>
  <c r="AO23" i="13"/>
  <c r="AL23" i="13"/>
  <c r="B23" i="13"/>
  <c r="AM23" i="13" s="1" a="1"/>
  <c r="AM23" i="13" s="1"/>
  <c r="AO21" i="13"/>
  <c r="AL21" i="13"/>
  <c r="B21" i="13"/>
  <c r="AK21" i="13" s="1" a="1"/>
  <c r="AK21" i="13" s="1"/>
  <c r="B22" i="13"/>
  <c r="AD22" i="13" s="1" a="1"/>
  <c r="AD22" i="13" s="1"/>
  <c r="AO22" i="13"/>
  <c r="AL22" i="13"/>
  <c r="AO20" i="13"/>
  <c r="B20" i="13"/>
  <c r="AN20" i="13" s="1" a="1"/>
  <c r="AN20" i="13" s="1"/>
  <c r="AL20" i="13"/>
  <c r="AN19" i="13" a="1"/>
  <c r="AN19" i="13" s="1"/>
  <c r="M20" i="8"/>
  <c r="J20" i="8"/>
  <c r="A56" i="9"/>
  <c r="C48" i="10"/>
  <c r="A48" i="10" s="1"/>
  <c r="B16" i="12"/>
  <c r="I1" i="8"/>
  <c r="S1" i="8"/>
  <c r="G1" i="8" s="1"/>
  <c r="G2" i="8" s="1" a="1"/>
  <c r="G2" i="8" s="1"/>
  <c r="J1" i="8"/>
  <c r="O1" i="8"/>
  <c r="P1" i="8"/>
  <c r="N1" i="8"/>
  <c r="M1" i="8"/>
  <c r="Q1" i="8"/>
  <c r="C49" i="9"/>
  <c r="F49" i="9" s="1"/>
  <c r="C59" i="9"/>
  <c r="F59" i="9" s="1"/>
  <c r="D45" i="5"/>
  <c r="B45" i="12" s="1"/>
  <c r="K20" i="11" a="1"/>
  <c r="K20" i="11" s="1"/>
  <c r="J20" i="13" s="1"/>
  <c r="AA20" i="11" a="1"/>
  <c r="AA20" i="11" s="1"/>
  <c r="C20" i="13"/>
  <c r="O20" i="11" a="1"/>
  <c r="O20" i="11" s="1"/>
  <c r="AB20" i="11" a="1"/>
  <c r="AB20" i="11" s="1"/>
  <c r="N20" i="11" s="1"/>
  <c r="G20" i="11"/>
  <c r="F20" i="13" s="1"/>
  <c r="AO18" i="13"/>
  <c r="AL18" i="13"/>
  <c r="B18" i="13"/>
  <c r="AK18" i="13" s="1" a="1"/>
  <c r="AK18" i="13" s="1"/>
  <c r="C40" i="10"/>
  <c r="A40" i="10" s="1"/>
  <c r="A32" i="9"/>
  <c r="C46" i="9"/>
  <c r="F46" i="9" s="1"/>
  <c r="C37" i="9"/>
  <c r="F37" i="9" s="1"/>
  <c r="G22" i="11"/>
  <c r="F22" i="13" s="1"/>
  <c r="C22" i="13"/>
  <c r="O22" i="11" a="1"/>
  <c r="O22" i="11" s="1"/>
  <c r="AA22" i="11" a="1"/>
  <c r="AA22" i="11" s="1"/>
  <c r="K22" i="11" a="1"/>
  <c r="K22" i="11" s="1"/>
  <c r="J22" i="13" s="1"/>
  <c r="AB22" i="11" a="1"/>
  <c r="AB22" i="11" s="1"/>
  <c r="N22" i="11" s="1"/>
  <c r="O18" i="11" a="1"/>
  <c r="O18" i="11" s="1"/>
  <c r="AA18" i="11" a="1"/>
  <c r="AA18" i="11" s="1"/>
  <c r="K18" i="11" a="1"/>
  <c r="K18" i="11" s="1"/>
  <c r="J18" i="13" s="1"/>
  <c r="C18" i="13"/>
  <c r="AB18" i="11" a="1"/>
  <c r="AB18" i="11" s="1"/>
  <c r="N18" i="11" s="1"/>
  <c r="G18" i="11"/>
  <c r="F18" i="13" s="1"/>
  <c r="A50" i="9"/>
  <c r="A46" i="9"/>
  <c r="AL12" i="13"/>
  <c r="AO12" i="13"/>
  <c r="B12" i="13"/>
  <c r="AK12" i="13" s="1" a="1"/>
  <c r="AK12" i="13" s="1"/>
  <c r="C31" i="10"/>
  <c r="A31" i="10" s="1"/>
  <c r="C20" i="10"/>
  <c r="A20" i="10" s="1"/>
  <c r="C35" i="9"/>
  <c r="F35" i="9" s="1"/>
  <c r="A64" i="9"/>
  <c r="C16" i="9"/>
  <c r="F16" i="9" s="1"/>
  <c r="A55" i="9"/>
  <c r="C41" i="9"/>
  <c r="F41" i="9" s="1"/>
  <c r="C30" i="9"/>
  <c r="F30" i="9" s="1"/>
  <c r="A26" i="9"/>
  <c r="C23" i="9"/>
  <c r="F23" i="9" s="1"/>
  <c r="C59" i="10"/>
  <c r="A59" i="10" s="1"/>
  <c r="A51" i="9"/>
  <c r="A53" i="9"/>
  <c r="C27" i="9"/>
  <c r="F27" i="9" s="1"/>
  <c r="A40" i="9"/>
  <c r="C28" i="10"/>
  <c r="A28" i="10" s="1"/>
  <c r="C47" i="10"/>
  <c r="A47" i="10" s="1"/>
  <c r="C51" i="9"/>
  <c r="F51" i="9" s="1"/>
  <c r="C39" i="10"/>
  <c r="A39" i="10" s="1"/>
  <c r="A43" i="9"/>
  <c r="A31" i="9"/>
  <c r="C52" i="10"/>
  <c r="A52" i="10" s="1"/>
  <c r="C56" i="10"/>
  <c r="A56" i="10" s="1"/>
  <c r="C40" i="9"/>
  <c r="F40" i="9" s="1"/>
  <c r="C34" i="10"/>
  <c r="A34" i="10" s="1"/>
  <c r="C44" i="9"/>
  <c r="F44" i="9" s="1"/>
  <c r="A23" i="9"/>
  <c r="C60" i="10"/>
  <c r="A60" i="10" s="1"/>
  <c r="A1" i="9"/>
  <c r="C29" i="10"/>
  <c r="A29" i="10" s="1"/>
  <c r="A24" i="9"/>
  <c r="A20" i="9"/>
  <c r="C42" i="10"/>
  <c r="A42" i="10" s="1"/>
  <c r="A15" i="9"/>
  <c r="A39" i="9"/>
  <c r="C55" i="10"/>
  <c r="A55" i="10" s="1"/>
  <c r="C44" i="10"/>
  <c r="A44" i="10" s="1"/>
  <c r="A21" i="9"/>
  <c r="C29" i="9"/>
  <c r="F29" i="9" s="1"/>
  <c r="C61" i="9"/>
  <c r="F61" i="9" s="1"/>
  <c r="C46" i="10"/>
  <c r="A46" i="10" s="1"/>
  <c r="C17" i="10"/>
  <c r="A17" i="10" s="1"/>
  <c r="A62" i="9"/>
  <c r="A29" i="9"/>
  <c r="C32" i="9"/>
  <c r="F32" i="9" s="1"/>
  <c r="A34" i="9"/>
  <c r="C43" i="9"/>
  <c r="F43" i="9" s="1"/>
  <c r="A48" i="9"/>
  <c r="C63" i="9"/>
  <c r="F63" i="9" s="1"/>
  <c r="A22" i="9"/>
  <c r="A28" i="9"/>
  <c r="C18" i="10"/>
  <c r="A18" i="10" s="1"/>
  <c r="C22" i="10"/>
  <c r="A22" i="10" s="1"/>
  <c r="C33" i="10"/>
  <c r="A33" i="10" s="1"/>
  <c r="C64" i="10"/>
  <c r="A64" i="10" s="1"/>
  <c r="C28" i="9"/>
  <c r="F28" i="9" s="1"/>
  <c r="C38" i="9"/>
  <c r="F38" i="9" s="1"/>
  <c r="C62" i="9"/>
  <c r="F62" i="9" s="1"/>
  <c r="A41" i="9"/>
  <c r="C23" i="10"/>
  <c r="A23" i="10" s="1"/>
  <c r="A47" i="9"/>
  <c r="A17" i="9"/>
  <c r="C53" i="10"/>
  <c r="A53" i="10" s="1"/>
  <c r="A57" i="9"/>
  <c r="C1" i="9"/>
  <c r="F1" i="9" s="1"/>
  <c r="C57" i="9"/>
  <c r="F57" i="9" s="1"/>
  <c r="C52" i="9"/>
  <c r="F52" i="9" s="1"/>
  <c r="C60" i="9"/>
  <c r="F60" i="9" s="1"/>
  <c r="A49" i="9"/>
  <c r="C55" i="9"/>
  <c r="F55" i="9" s="1"/>
  <c r="C20" i="9"/>
  <c r="F20" i="9" s="1"/>
  <c r="C62" i="10"/>
  <c r="A62" i="10" s="1"/>
  <c r="A61" i="9"/>
  <c r="C36" i="9"/>
  <c r="F36" i="9" s="1"/>
  <c r="C33" i="9"/>
  <c r="F33" i="9" s="1"/>
  <c r="A35" i="9"/>
  <c r="C22" i="9"/>
  <c r="F22" i="9" s="1"/>
  <c r="C30" i="10"/>
  <c r="A30" i="10" s="1"/>
  <c r="C32" i="10"/>
  <c r="A32" i="10" s="1"/>
  <c r="C51" i="10"/>
  <c r="A51" i="10" s="1"/>
  <c r="C17" i="9"/>
  <c r="F17" i="9" s="1"/>
  <c r="C54" i="9"/>
  <c r="F54" i="9" s="1"/>
  <c r="A45" i="9"/>
  <c r="C19" i="9"/>
  <c r="F19" i="9" s="1"/>
  <c r="A25" i="9"/>
  <c r="C48" i="9"/>
  <c r="F48" i="9" s="1"/>
  <c r="C25" i="10"/>
  <c r="A25" i="10" s="1"/>
  <c r="C35" i="10"/>
  <c r="A35" i="10" s="1"/>
  <c r="C37" i="10"/>
  <c r="A37" i="10" s="1"/>
  <c r="A59" i="9"/>
  <c r="C61" i="10"/>
  <c r="A61" i="10" s="1"/>
  <c r="C56" i="9"/>
  <c r="F56" i="9" s="1"/>
  <c r="C45" i="10"/>
  <c r="A45" i="10" s="1"/>
  <c r="A52" i="9"/>
  <c r="C50" i="9"/>
  <c r="F50" i="9" s="1"/>
  <c r="C43" i="10"/>
  <c r="A43" i="10" s="1"/>
  <c r="C63" i="10"/>
  <c r="A63" i="10" s="1"/>
  <c r="A42" i="9"/>
  <c r="C25" i="9"/>
  <c r="F25" i="9" s="1"/>
  <c r="C21" i="10"/>
  <c r="A21" i="10" s="1"/>
  <c r="A38" i="9"/>
  <c r="C16" i="10"/>
  <c r="A16" i="10" s="1"/>
  <c r="A37" i="9" l="1"/>
  <c r="A33" i="9"/>
  <c r="I73" i="10" a="1"/>
  <c r="I73" i="10" s="1"/>
  <c r="I71" i="10" s="1" a="1"/>
  <c r="I71" i="10" s="1"/>
  <c r="C27" i="10"/>
  <c r="A27" i="10" s="1"/>
  <c r="C54" i="10"/>
  <c r="A54" i="10" s="1"/>
  <c r="C57" i="10"/>
  <c r="A57" i="10" s="1"/>
  <c r="A60" i="9"/>
  <c r="AI15" i="6"/>
  <c r="X15" i="6" s="1"/>
  <c r="X11" i="6" s="1"/>
  <c r="C53" i="9"/>
  <c r="F53" i="9" s="1"/>
  <c r="C21" i="9"/>
  <c r="F21" i="9" s="1"/>
  <c r="C18" i="9"/>
  <c r="F18" i="9" s="1"/>
  <c r="C1" i="10"/>
  <c r="A1" i="10" s="1"/>
  <c r="C58" i="9"/>
  <c r="F58" i="9" s="1"/>
  <c r="A54" i="9"/>
  <c r="C42" i="9"/>
  <c r="F42" i="9" s="1"/>
  <c r="A19" i="9"/>
  <c r="AJ15" i="6"/>
  <c r="Y15" i="6" s="1"/>
  <c r="Y11" i="6" s="1"/>
  <c r="C41" i="10"/>
  <c r="A41" i="10" s="1"/>
  <c r="C38" i="10"/>
  <c r="A38" i="10" s="1"/>
  <c r="Q73" i="10" a="1"/>
  <c r="Q73" i="10" s="1"/>
  <c r="Q14" i="8"/>
  <c r="AN12" i="13" a="1"/>
  <c r="AN12" i="13" s="1"/>
  <c r="P14" i="8"/>
  <c r="A44" i="9"/>
  <c r="C24" i="10"/>
  <c r="A24" i="10" s="1"/>
  <c r="AK15" i="6"/>
  <c r="Z15" i="6" s="1"/>
  <c r="Z11" i="6" s="1"/>
  <c r="C26" i="10"/>
  <c r="A26" i="10" s="1"/>
  <c r="A30" i="9"/>
  <c r="C26" i="9"/>
  <c r="F26" i="9" s="1"/>
  <c r="C34" i="9"/>
  <c r="F34" i="9" s="1"/>
  <c r="C31" i="9"/>
  <c r="F31" i="9" s="1"/>
  <c r="A16" i="9"/>
  <c r="C49" i="10"/>
  <c r="A49" i="10" s="1"/>
  <c r="C50" i="10"/>
  <c r="A50" i="10" s="1"/>
  <c r="AG15" i="6"/>
  <c r="V15" i="6" s="1"/>
  <c r="V11" i="6" s="1"/>
  <c r="AD15" i="6"/>
  <c r="S15" i="6" s="1"/>
  <c r="S11" i="6" s="1"/>
  <c r="AJ12" i="13" a="1"/>
  <c r="AJ12" i="13" s="1"/>
  <c r="AE15" i="6"/>
  <c r="T15" i="6" s="1"/>
  <c r="T11" i="6" s="1"/>
  <c r="AK20" i="13" a="1"/>
  <c r="AK20" i="13" s="1"/>
  <c r="AK17" i="13" a="1"/>
  <c r="AK17" i="13" s="1"/>
  <c r="AM20" i="13" a="1"/>
  <c r="AM20" i="13" s="1"/>
  <c r="AJ20" i="13" a="1"/>
  <c r="AJ20" i="13" s="1"/>
  <c r="AN22" i="13" a="1"/>
  <c r="AN22" i="13" s="1"/>
  <c r="AK22" i="13" a="1"/>
  <c r="AK22" i="13" s="1"/>
  <c r="D15" i="5"/>
  <c r="AJ22" i="13" a="1"/>
  <c r="AJ22" i="13" s="1"/>
  <c r="P17" i="8"/>
  <c r="AJ23" i="13" a="1"/>
  <c r="AJ23" i="13" s="1"/>
  <c r="AN23" i="13" a="1"/>
  <c r="AN23" i="13" s="1"/>
  <c r="AJ17" i="13" a="1"/>
  <c r="AJ17" i="13" s="1"/>
  <c r="AM17" i="13" a="1"/>
  <c r="AM17" i="13" s="1"/>
  <c r="H1" i="8" a="1"/>
  <c r="H1" i="8" s="1"/>
  <c r="J2" i="8" s="1"/>
  <c r="H2" i="8" a="1"/>
  <c r="H2" i="8" s="1"/>
  <c r="AM21" i="13" a="1"/>
  <c r="AM21" i="13" s="1"/>
  <c r="AN18" i="13" a="1"/>
  <c r="AN18" i="13" s="1"/>
  <c r="K19" i="13" a="1"/>
  <c r="K19" i="13" s="1"/>
  <c r="R19" i="13"/>
  <c r="M19" i="13"/>
  <c r="U19" i="13"/>
  <c r="T19" i="13"/>
  <c r="S19" i="13"/>
  <c r="O19" i="13"/>
  <c r="Z16" i="11"/>
  <c r="P16" i="11"/>
  <c r="L16" i="13"/>
  <c r="D16" i="13" s="1"/>
  <c r="C16" i="11"/>
  <c r="Z12" i="11"/>
  <c r="C12" i="11"/>
  <c r="L12" i="13"/>
  <c r="P12" i="11"/>
  <c r="AN17" i="13" a="1"/>
  <c r="AN17" i="13" s="1"/>
  <c r="T12" i="13"/>
  <c r="M12" i="13"/>
  <c r="U12" i="13"/>
  <c r="R12" i="13"/>
  <c r="O12" i="13"/>
  <c r="K12" i="13" a="1"/>
  <c r="K12" i="13" s="1"/>
  <c r="S12" i="13"/>
  <c r="P19" i="11"/>
  <c r="Z19" i="11"/>
  <c r="L19" i="13"/>
  <c r="D19" i="13" s="1"/>
  <c r="C19" i="11"/>
  <c r="S28" i="8"/>
  <c r="Q26" i="8"/>
  <c r="A26" i="8"/>
  <c r="AK16" i="13" a="1"/>
  <c r="AK16" i="13" s="1"/>
  <c r="P26" i="8"/>
  <c r="AM16" i="13" a="1"/>
  <c r="AM16" i="13" s="1"/>
  <c r="AB15" i="6"/>
  <c r="Q15" i="6" s="1"/>
  <c r="Q11" i="6" s="1"/>
  <c r="AF15" i="6"/>
  <c r="U15" i="6" s="1"/>
  <c r="U11" i="6" s="1"/>
  <c r="AK23" i="13" a="1"/>
  <c r="AK23" i="13" s="1"/>
  <c r="AN16" i="13" a="1"/>
  <c r="AN16" i="13" s="1"/>
  <c r="S16" i="8"/>
  <c r="A14" i="8"/>
  <c r="AM18" i="13" a="1"/>
  <c r="AM18" i="13" s="1"/>
  <c r="AJ18" i="13" a="1"/>
  <c r="AJ18" i="13" s="1"/>
  <c r="AJ15" i="13" a="1"/>
  <c r="AJ15" i="13" s="1"/>
  <c r="AN15" i="13" a="1"/>
  <c r="AN15" i="13" s="1"/>
  <c r="AJ16" i="13" a="1"/>
  <c r="AJ16" i="13" s="1"/>
  <c r="T21" i="13"/>
  <c r="U21" i="13"/>
  <c r="M21" i="13"/>
  <c r="K21" i="13" a="1"/>
  <c r="K21" i="13" s="1"/>
  <c r="O21" i="13"/>
  <c r="R21" i="13"/>
  <c r="S21" i="13"/>
  <c r="R23" i="13"/>
  <c r="T23" i="13"/>
  <c r="S23" i="13"/>
  <c r="O23" i="13"/>
  <c r="U23" i="13"/>
  <c r="K23" i="13" a="1"/>
  <c r="K23" i="13" s="1"/>
  <c r="M23" i="13"/>
  <c r="Z15" i="11"/>
  <c r="C15" i="11"/>
  <c r="P15" i="11"/>
  <c r="L15" i="13"/>
  <c r="D15" i="13" s="1"/>
  <c r="AJ21" i="13" a="1"/>
  <c r="AJ21" i="13" s="1"/>
  <c r="P22" i="11"/>
  <c r="C22" i="11"/>
  <c r="Z22" i="11"/>
  <c r="L22" i="13"/>
  <c r="D22" i="13" s="1"/>
  <c r="M16" i="13"/>
  <c r="T16" i="13"/>
  <c r="R16" i="13"/>
  <c r="K16" i="13" a="1"/>
  <c r="K16" i="13" s="1"/>
  <c r="O16" i="13"/>
  <c r="S16" i="13"/>
  <c r="U16" i="13"/>
  <c r="R15" i="13"/>
  <c r="O15" i="13"/>
  <c r="S15" i="13"/>
  <c r="M15" i="13"/>
  <c r="T15" i="13"/>
  <c r="U15" i="13"/>
  <c r="K15" i="13" a="1"/>
  <c r="K15" i="13" s="1"/>
  <c r="U17" i="13"/>
  <c r="R17" i="13"/>
  <c r="S17" i="13"/>
  <c r="T17" i="13"/>
  <c r="M17" i="13"/>
  <c r="K17" i="13" a="1"/>
  <c r="K17" i="13" s="1"/>
  <c r="O17" i="13"/>
  <c r="K20" i="13" a="1"/>
  <c r="K20" i="13" s="1"/>
  <c r="T20" i="13"/>
  <c r="S20" i="13"/>
  <c r="M20" i="13"/>
  <c r="U20" i="13"/>
  <c r="O20" i="13"/>
  <c r="R20" i="13"/>
  <c r="M18" i="13"/>
  <c r="T18" i="13"/>
  <c r="R18" i="13"/>
  <c r="U18" i="13"/>
  <c r="S18" i="13"/>
  <c r="K18" i="13" a="1"/>
  <c r="K18" i="13" s="1"/>
  <c r="O18" i="13"/>
  <c r="L18" i="13"/>
  <c r="D18" i="13" s="1"/>
  <c r="Z18" i="11"/>
  <c r="P18" i="11"/>
  <c r="C18" i="11"/>
  <c r="L21" i="13"/>
  <c r="D21" i="13" s="1"/>
  <c r="P21" i="11"/>
  <c r="Z21" i="11"/>
  <c r="C21" i="11"/>
  <c r="A23" i="8"/>
  <c r="Q23" i="8"/>
  <c r="S25" i="8"/>
  <c r="C17" i="11"/>
  <c r="Z17" i="11"/>
  <c r="P17" i="11"/>
  <c r="L17" i="13"/>
  <c r="D17" i="13" s="1"/>
  <c r="C20" i="11"/>
  <c r="P20" i="11"/>
  <c r="L20" i="13"/>
  <c r="D20" i="13" s="1"/>
  <c r="Z20" i="11"/>
  <c r="S3" i="8"/>
  <c r="A1" i="8"/>
  <c r="R1" i="8"/>
  <c r="P20" i="8"/>
  <c r="Q20" i="8"/>
  <c r="S22" i="8"/>
  <c r="A20" i="8"/>
  <c r="Z23" i="11"/>
  <c r="C23" i="11"/>
  <c r="P23" i="11"/>
  <c r="L23" i="13"/>
  <c r="D23" i="13" s="1"/>
  <c r="S73" i="10" a="1"/>
  <c r="S73" i="10" s="1"/>
  <c r="W73" i="10" a="1"/>
  <c r="W73" i="10" s="1"/>
  <c r="AC73" i="10" a="1"/>
  <c r="AC73" i="10" s="1"/>
  <c r="R22" i="13"/>
  <c r="K22" i="13" a="1"/>
  <c r="K22" i="13" s="1"/>
  <c r="T22" i="13"/>
  <c r="O22" i="13"/>
  <c r="U22" i="13"/>
  <c r="M22" i="13"/>
  <c r="S22" i="13"/>
  <c r="AN21" i="13" a="1"/>
  <c r="AN21" i="13" s="1"/>
  <c r="AH15" i="6"/>
  <c r="W15" i="6" s="1"/>
  <c r="W11" i="6" s="1"/>
  <c r="AM12" i="13" a="1"/>
  <c r="AM12" i="13" s="1"/>
  <c r="AC15" i="6"/>
  <c r="R15" i="6" s="1"/>
  <c r="R11" i="6" s="1"/>
  <c r="AK15" i="13" a="1"/>
  <c r="AK15" i="13" s="1"/>
  <c r="AM15" i="13" a="1"/>
  <c r="AM15" i="13" s="1"/>
  <c r="AM22" i="13" a="1"/>
  <c r="AM22" i="13" s="1"/>
  <c r="P23" i="8"/>
  <c r="Q17" i="8"/>
  <c r="U73" i="10" l="1" a="1"/>
  <c r="U73" i="10" s="1"/>
  <c r="U71" i="10" s="1"/>
  <c r="AA73" i="10" a="1"/>
  <c r="AA73" i="10" s="1"/>
  <c r="AC71" i="10" s="1"/>
  <c r="O73" i="10" a="1"/>
  <c r="O73" i="10" s="1"/>
  <c r="Q71" i="10" s="1"/>
  <c r="Y73" i="10" a="1"/>
  <c r="Y73" i="10" s="1"/>
  <c r="Y71" i="10" s="1"/>
  <c r="AE73" i="10" a="1"/>
  <c r="AE73" i="10" s="1"/>
  <c r="AE71" i="10" s="1"/>
  <c r="M73" i="10" a="1"/>
  <c r="M73" i="10" s="1"/>
  <c r="K73" i="10" a="1"/>
  <c r="K73" i="10" s="1"/>
  <c r="K71" i="10" s="1"/>
  <c r="I12" i="6"/>
  <c r="S71" i="10"/>
  <c r="AF3" i="8" a="1"/>
  <c r="AF3" i="8" s="1"/>
  <c r="U1" i="8" a="1"/>
  <c r="U1" i="8" s="1"/>
  <c r="AE1" i="8" a="1"/>
  <c r="AE1" i="8" s="1"/>
  <c r="U3" i="8" a="1"/>
  <c r="U3" i="8" s="1"/>
  <c r="AC1" i="8" a="1"/>
  <c r="AC1" i="8" s="1"/>
  <c r="Z1" i="8" a="1"/>
  <c r="Z1" i="8" s="1"/>
  <c r="W3" i="8" a="1"/>
  <c r="W3" i="8" s="1"/>
  <c r="C1" i="8"/>
  <c r="AF1" i="8" a="1"/>
  <c r="AF1" i="8" s="1"/>
  <c r="Y3" i="8" a="1"/>
  <c r="Y3" i="8" s="1"/>
  <c r="AD1" i="8" a="1"/>
  <c r="AD1" i="8" s="1"/>
  <c r="E1" i="8" a="1"/>
  <c r="E1" i="8" s="1"/>
  <c r="AA1" i="8" a="1"/>
  <c r="AA1" i="8" s="1"/>
  <c r="V1" i="8" a="1"/>
  <c r="V1" i="8" s="1"/>
  <c r="W1" i="8" a="1"/>
  <c r="W1" i="8" s="1"/>
  <c r="AA3" i="8" a="1"/>
  <c r="AA3" i="8" s="1"/>
  <c r="Y1" i="8" a="1"/>
  <c r="Y1" i="8" s="1"/>
  <c r="Z3" i="8" a="1"/>
  <c r="Z3" i="8" s="1"/>
  <c r="E3" i="8" a="1"/>
  <c r="E3" i="8" s="1"/>
  <c r="X1" i="8" a="1"/>
  <c r="X1" i="8" s="1"/>
  <c r="AB1" i="8" a="1"/>
  <c r="AB1" i="8" s="1"/>
  <c r="F3" i="8"/>
  <c r="AB3" i="8" a="1"/>
  <c r="AB3" i="8" s="1"/>
  <c r="X3" i="8" a="1"/>
  <c r="X3" i="8" s="1"/>
  <c r="V3" i="8" a="1"/>
  <c r="V3" i="8" s="1"/>
  <c r="AD3" i="8" a="1"/>
  <c r="AD3" i="8" s="1"/>
  <c r="AE3" i="8" a="1"/>
  <c r="AE3" i="8" s="1"/>
  <c r="D1" i="8"/>
  <c r="AC3" i="8" a="1"/>
  <c r="AC3" i="8" s="1"/>
  <c r="P18" i="13"/>
  <c r="N18" i="13"/>
  <c r="P19" i="13"/>
  <c r="N19" i="13"/>
  <c r="F11" i="6"/>
  <c r="N11" i="6"/>
  <c r="P22" i="13"/>
  <c r="N22" i="13"/>
  <c r="N21" i="13"/>
  <c r="P21" i="13"/>
  <c r="P12" i="13"/>
  <c r="N12" i="13"/>
  <c r="V12" i="13"/>
  <c r="D12" i="13"/>
  <c r="P16" i="13"/>
  <c r="N16" i="13"/>
  <c r="P15" i="13"/>
  <c r="N15" i="13"/>
  <c r="N20" i="13"/>
  <c r="P20" i="13"/>
  <c r="N17" i="13"/>
  <c r="P17" i="13"/>
  <c r="P23" i="13"/>
  <c r="N23" i="13"/>
  <c r="W71" i="10" l="1"/>
  <c r="O71" i="10"/>
  <c r="AA71" i="10"/>
  <c r="M71" i="10"/>
  <c r="N23" i="8" l="1"/>
  <c r="N17" i="8"/>
  <c r="N26" i="8"/>
  <c r="N20" i="8"/>
  <c r="N14" i="8"/>
  <c r="R14" i="8" s="1"/>
  <c r="D14" i="8" l="1"/>
  <c r="C14" i="8"/>
  <c r="F16" i="8"/>
  <c r="O26" i="8" l="1"/>
  <c r="R26" i="8" s="1"/>
  <c r="F28" i="8" s="1"/>
  <c r="O20" i="8"/>
  <c r="R20" i="8" s="1"/>
  <c r="F22" i="8" s="1"/>
  <c r="O23" i="8"/>
  <c r="R23" i="8" s="1"/>
  <c r="O17" i="8"/>
  <c r="R17" i="8" s="1"/>
  <c r="F25" i="8" l="1"/>
  <c r="F19" i="8"/>
  <c r="S27" i="4" l="1"/>
  <c r="U27" i="4" s="1"/>
  <c r="S29" i="4" l="1"/>
  <c r="U17" i="4" s="1"/>
  <c r="T17" i="4" s="1"/>
  <c r="S30" i="4"/>
  <c r="F5" i="5" l="1"/>
  <c r="U14" i="4"/>
  <c r="T23" i="4" s="1"/>
  <c r="U23" i="4" s="1"/>
  <c r="W21" i="5" a="1"/>
  <c r="W21" i="5" s="1"/>
  <c r="U29" i="4"/>
  <c r="AH44" i="5" l="1"/>
  <c r="AH43" i="5"/>
  <c r="AH33" i="5"/>
  <c r="AH32" i="5"/>
  <c r="AH42" i="5"/>
  <c r="AH41" i="5"/>
  <c r="AH40" i="5"/>
  <c r="AH35" i="5"/>
  <c r="AH36" i="5"/>
  <c r="AH39" i="5"/>
  <c r="AH31" i="5"/>
  <c r="AH29" i="5"/>
  <c r="AN29" i="5" s="1" a="1"/>
  <c r="AN29" i="5" s="1"/>
  <c r="AH30" i="5"/>
  <c r="AH38" i="5"/>
  <c r="AH47" i="5"/>
  <c r="AN47" i="5" s="1" a="1"/>
  <c r="AN47" i="5" s="1"/>
  <c r="AH28" i="5"/>
  <c r="AH22" i="5"/>
  <c r="AH27" i="5"/>
  <c r="AH37" i="5"/>
  <c r="AH45" i="5"/>
  <c r="AN45" i="5" s="1" a="1"/>
  <c r="AN45" i="5" s="1"/>
  <c r="AH34" i="5"/>
  <c r="AN34" i="5" s="1" a="1"/>
  <c r="AN34" i="5" s="1"/>
  <c r="AH46" i="5"/>
  <c r="AH16" i="5"/>
  <c r="AN16" i="5" s="1" a="1"/>
  <c r="AN16" i="5" s="1"/>
  <c r="AH21" i="5"/>
  <c r="AN21" i="5" s="1" a="1"/>
  <c r="AN21" i="5" s="1"/>
  <c r="AH26" i="5"/>
  <c r="AH25" i="5"/>
  <c r="AH14" i="5"/>
  <c r="AN14" i="5" s="1" a="1"/>
  <c r="AN14" i="5" s="1"/>
  <c r="V8" i="5" a="1"/>
  <c r="V8" i="5" s="1"/>
  <c r="AH24" i="5"/>
  <c r="AH19" i="5"/>
  <c r="AH18" i="5"/>
  <c r="AH17" i="5"/>
  <c r="AN17" i="5" s="1" a="1"/>
  <c r="AN17" i="5" s="1"/>
  <c r="AH20" i="5"/>
  <c r="AH23" i="5"/>
  <c r="T24" i="4"/>
  <c r="U24" i="4" s="1"/>
  <c r="T25" i="4"/>
  <c r="U25" i="4" s="1"/>
  <c r="T26" i="4"/>
  <c r="U26" i="4" s="1"/>
  <c r="U7" i="4"/>
  <c r="T22" i="4"/>
  <c r="U22" i="4" s="1"/>
  <c r="T21" i="4"/>
  <c r="U21" i="4" s="1"/>
  <c r="W34" i="5" a="1"/>
  <c r="W34" i="5" s="1"/>
  <c r="H34" i="12" s="1" a="1"/>
  <c r="H34" i="12" s="1"/>
  <c r="H21" i="12" a="1"/>
  <c r="H21" i="12" s="1"/>
  <c r="U8" i="4"/>
  <c r="J32" i="4"/>
  <c r="K32" i="4"/>
  <c r="AN43" i="5" l="1" a="1"/>
  <c r="AN43" i="5" s="1"/>
  <c r="W43" i="5" a="1"/>
  <c r="W43" i="5" s="1"/>
  <c r="AN44" i="5" a="1"/>
  <c r="AN44" i="5" s="1"/>
  <c r="W44" i="5" a="1"/>
  <c r="W44" i="5" s="1"/>
  <c r="AN32" i="5" a="1"/>
  <c r="AN32" i="5" s="1"/>
  <c r="W32" i="5" a="1"/>
  <c r="W32" i="5" s="1"/>
  <c r="AN33" i="5" a="1"/>
  <c r="AN33" i="5" s="1"/>
  <c r="W33" i="5" a="1"/>
  <c r="W33" i="5" s="1"/>
  <c r="AN40" i="5" a="1"/>
  <c r="AN40" i="5" s="1"/>
  <c r="W40" i="5" a="1"/>
  <c r="W40" i="5" s="1"/>
  <c r="AN41" i="5" a="1"/>
  <c r="AN41" i="5" s="1"/>
  <c r="W41" i="5" a="1"/>
  <c r="W41" i="5" s="1"/>
  <c r="AN42" i="5" a="1"/>
  <c r="AN42" i="5" s="1"/>
  <c r="W42" i="5" a="1"/>
  <c r="W42" i="5" s="1"/>
  <c r="W29" i="5" a="1"/>
  <c r="W29" i="5" s="1"/>
  <c r="X29" i="5" s="1" a="1"/>
  <c r="X29" i="5" s="1"/>
  <c r="W47" i="5" a="1"/>
  <c r="W47" i="5" s="1"/>
  <c r="H47" i="12" s="1" a="1"/>
  <c r="H47" i="12" s="1"/>
  <c r="AN28" i="5" a="1"/>
  <c r="AN28" i="5" s="1"/>
  <c r="W28" i="5" a="1"/>
  <c r="W28" i="5" s="1"/>
  <c r="W14" i="5" a="1"/>
  <c r="W14" i="5" s="1"/>
  <c r="H14" i="12" s="1" a="1"/>
  <c r="H14" i="12" s="1"/>
  <c r="W45" i="5" a="1"/>
  <c r="W45" i="5" s="1"/>
  <c r="I21" i="5"/>
  <c r="H44" i="12" l="1" a="1"/>
  <c r="H44" i="12" s="1"/>
  <c r="X44" i="5" a="1"/>
  <c r="X44" i="5" s="1"/>
  <c r="H43" i="12" a="1"/>
  <c r="H43" i="12" s="1"/>
  <c r="X43" i="5" a="1"/>
  <c r="X43" i="5" s="1"/>
  <c r="H33" i="12" a="1"/>
  <c r="H33" i="12" s="1"/>
  <c r="X33" i="5" a="1"/>
  <c r="X33" i="5" s="1"/>
  <c r="H32" i="12" a="1"/>
  <c r="H32" i="12" s="1"/>
  <c r="X32" i="5" a="1"/>
  <c r="X32" i="5" s="1"/>
  <c r="H41" i="12" a="1"/>
  <c r="H41" i="12" s="1"/>
  <c r="X41" i="5" a="1"/>
  <c r="X41" i="5" s="1"/>
  <c r="H40" i="12" a="1"/>
  <c r="H40" i="12" s="1"/>
  <c r="X40" i="5" a="1"/>
  <c r="X40" i="5" s="1"/>
  <c r="H42" i="12" a="1"/>
  <c r="H42" i="12" s="1"/>
  <c r="X42" i="5" a="1"/>
  <c r="X42" i="5" s="1"/>
  <c r="H29" i="12" a="1"/>
  <c r="H29" i="12" s="1"/>
  <c r="I29" i="12"/>
  <c r="AM29" i="5"/>
  <c r="L29" i="5"/>
  <c r="Z29" i="5"/>
  <c r="X47" i="5" a="1"/>
  <c r="X47" i="5" s="1"/>
  <c r="L47" i="5" s="1"/>
  <c r="H28" i="12" a="1"/>
  <c r="H28" i="12" s="1"/>
  <c r="X28" i="5" a="1"/>
  <c r="X28" i="5" s="1"/>
  <c r="X14" i="5" a="1"/>
  <c r="X14" i="5" s="1"/>
  <c r="Z14" i="5" s="1"/>
  <c r="H45" i="12" a="1"/>
  <c r="H45" i="12" s="1"/>
  <c r="I44" i="12" l="1"/>
  <c r="L44" i="5"/>
  <c r="AM44" i="5"/>
  <c r="Z44" i="5"/>
  <c r="L43" i="5"/>
  <c r="I43" i="12"/>
  <c r="AM43" i="5"/>
  <c r="Z43" i="5"/>
  <c r="I33" i="12"/>
  <c r="L33" i="5"/>
  <c r="AM33" i="5"/>
  <c r="Z33" i="5"/>
  <c r="L32" i="5"/>
  <c r="I32" i="12"/>
  <c r="AM32" i="5"/>
  <c r="Z32" i="5"/>
  <c r="AM41" i="5"/>
  <c r="I41" i="12"/>
  <c r="L41" i="5"/>
  <c r="Z41" i="5"/>
  <c r="I42" i="12"/>
  <c r="AM42" i="5"/>
  <c r="L42" i="5"/>
  <c r="Z42" i="5"/>
  <c r="AM40" i="5"/>
  <c r="I40" i="12"/>
  <c r="L40" i="5"/>
  <c r="Z40" i="5"/>
  <c r="C29" i="6"/>
  <c r="AB29" i="5" a="1"/>
  <c r="AB29" i="5" s="1"/>
  <c r="C29" i="12"/>
  <c r="O29" i="12" a="1"/>
  <c r="O29" i="12" s="1"/>
  <c r="M29" i="12" a="1"/>
  <c r="M29" i="12" s="1"/>
  <c r="AO29" i="12" a="1"/>
  <c r="AO29" i="12" s="1"/>
  <c r="AM47" i="5"/>
  <c r="I47" i="12"/>
  <c r="C47" i="12" s="1"/>
  <c r="Z47" i="5"/>
  <c r="AB47" i="5" s="1" a="1"/>
  <c r="AB47" i="5" s="1"/>
  <c r="C47" i="6"/>
  <c r="I28" i="12"/>
  <c r="AM28" i="5"/>
  <c r="L28" i="5"/>
  <c r="Z28" i="5"/>
  <c r="I14" i="12"/>
  <c r="AO14" i="12" s="1" a="1"/>
  <c r="AO14" i="12" s="1"/>
  <c r="I14" i="5"/>
  <c r="AM14" i="5"/>
  <c r="L14" i="5"/>
  <c r="AC14" i="5" s="1" a="1"/>
  <c r="AC14" i="5" s="1"/>
  <c r="I15" i="12" a="1"/>
  <c r="I15" i="12" s="1"/>
  <c r="P11" i="12" s="1"/>
  <c r="O11" i="12" s="1"/>
  <c r="AB14" i="5" a="1"/>
  <c r="AB14" i="5" s="1"/>
  <c r="AA14" i="5" a="1"/>
  <c r="AA14" i="5" s="1"/>
  <c r="C43" i="6" l="1"/>
  <c r="AC43" i="5" a="1"/>
  <c r="AC43" i="5" s="1"/>
  <c r="AB43" i="5" a="1"/>
  <c r="AB43" i="5" s="1"/>
  <c r="C43" i="12"/>
  <c r="O43" i="12" a="1"/>
  <c r="O43" i="12" s="1"/>
  <c r="M43" i="12" a="1"/>
  <c r="M43" i="12" s="1"/>
  <c r="AO43" i="12" a="1"/>
  <c r="AO43" i="12" s="1"/>
  <c r="Y43" i="12" s="1"/>
  <c r="AB44" i="5" a="1"/>
  <c r="AB44" i="5" s="1"/>
  <c r="C44" i="6"/>
  <c r="AC44" i="5" a="1"/>
  <c r="AC44" i="5" s="1"/>
  <c r="C44" i="12"/>
  <c r="M44" i="12" a="1"/>
  <c r="M44" i="12" s="1"/>
  <c r="O44" i="12" a="1"/>
  <c r="O44" i="12" s="1"/>
  <c r="AO44" i="12" a="1"/>
  <c r="AO44" i="12" s="1"/>
  <c r="Y44" i="12" s="1"/>
  <c r="AB32" i="5" a="1"/>
  <c r="AB32" i="5" s="1"/>
  <c r="AB33" i="5" a="1"/>
  <c r="AB33" i="5" s="1"/>
  <c r="C32" i="12"/>
  <c r="O32" i="12" a="1"/>
  <c r="O32" i="12" s="1"/>
  <c r="AO32" i="12" a="1"/>
  <c r="AO32" i="12" s="1"/>
  <c r="M32" i="12" a="1"/>
  <c r="M32" i="12" s="1"/>
  <c r="C32" i="6"/>
  <c r="AC32" i="5" a="1"/>
  <c r="AC32" i="5" s="1"/>
  <c r="C33" i="6"/>
  <c r="AC33" i="5" a="1"/>
  <c r="AC33" i="5" s="1"/>
  <c r="C33" i="12"/>
  <c r="AO33" i="12" a="1"/>
  <c r="AO33" i="12" s="1"/>
  <c r="O33" i="12" a="1"/>
  <c r="O33" i="12" s="1"/>
  <c r="M33" i="12" a="1"/>
  <c r="M33" i="12" s="1"/>
  <c r="AB40" i="5" a="1"/>
  <c r="AB40" i="5" s="1"/>
  <c r="C40" i="6"/>
  <c r="AB42" i="5" a="1"/>
  <c r="AB42" i="5" s="1"/>
  <c r="C42" i="12"/>
  <c r="O42" i="12" a="1"/>
  <c r="O42" i="12" s="1"/>
  <c r="M42" i="12" a="1"/>
  <c r="M42" i="12" s="1"/>
  <c r="AO42" i="12" a="1"/>
  <c r="AO42" i="12" s="1"/>
  <c r="AB41" i="5" a="1"/>
  <c r="AB41" i="5" s="1"/>
  <c r="C41" i="6"/>
  <c r="C41" i="12"/>
  <c r="O41" i="12" a="1"/>
  <c r="O41" i="12" s="1"/>
  <c r="M41" i="12" a="1"/>
  <c r="M41" i="12" s="1"/>
  <c r="AO41" i="12" a="1"/>
  <c r="AO41" i="12" s="1"/>
  <c r="C40" i="12"/>
  <c r="O40" i="12" a="1"/>
  <c r="O40" i="12" s="1"/>
  <c r="M40" i="12" a="1"/>
  <c r="M40" i="12" s="1"/>
  <c r="AO40" i="12" a="1"/>
  <c r="AO40" i="12" s="1"/>
  <c r="C42" i="6"/>
  <c r="Y29" i="12"/>
  <c r="W29" i="12" s="1" a="1"/>
  <c r="W29" i="12" s="1"/>
  <c r="X29" i="12" a="1"/>
  <c r="X29" i="12" s="1"/>
  <c r="O47" i="12" a="1"/>
  <c r="O47" i="12" s="1"/>
  <c r="N29" i="12"/>
  <c r="M47" i="12" a="1"/>
  <c r="M47" i="12" s="1"/>
  <c r="AO47" i="12" a="1"/>
  <c r="AO47" i="12" s="1"/>
  <c r="AB28" i="5" a="1"/>
  <c r="AB28" i="5" s="1"/>
  <c r="C28" i="6"/>
  <c r="C28" i="12"/>
  <c r="AO28" i="12" a="1"/>
  <c r="AO28" i="12" s="1"/>
  <c r="M28" i="12" a="1"/>
  <c r="M28" i="12" s="1"/>
  <c r="O28" i="12" a="1"/>
  <c r="O28" i="12" s="1"/>
  <c r="O14" i="5"/>
  <c r="D14" i="12" s="1"/>
  <c r="C14" i="12"/>
  <c r="O14" i="12" a="1"/>
  <c r="O14" i="12" s="1"/>
  <c r="M14" i="12" a="1"/>
  <c r="M14" i="12" s="1"/>
  <c r="M15" i="12" a="1"/>
  <c r="M15" i="12" s="1"/>
  <c r="J15" i="12" s="1" a="1"/>
  <c r="J15" i="12" s="1"/>
  <c r="O15" i="12" a="1"/>
  <c r="O15" i="12" s="1"/>
  <c r="AG14" i="13" a="1"/>
  <c r="AG14" i="13" s="1"/>
  <c r="AD14" i="13" a="1"/>
  <c r="AD14" i="13" s="1"/>
  <c r="AB17" i="8" a="1"/>
  <c r="AB17" i="8" s="1"/>
  <c r="Y17" i="8" a="1"/>
  <c r="Y17" i="8" s="1"/>
  <c r="Y32" i="12" l="1"/>
  <c r="X32" i="12" s="1" a="1"/>
  <c r="X32" i="12" s="1"/>
  <c r="N44" i="12"/>
  <c r="N43" i="12"/>
  <c r="X43" i="12" a="1"/>
  <c r="X43" i="12" s="1"/>
  <c r="W43" i="12" a="1"/>
  <c r="W43" i="12" s="1"/>
  <c r="X44" i="12" a="1"/>
  <c r="X44" i="12" s="1"/>
  <c r="W44" i="12" a="1"/>
  <c r="W44" i="12" s="1"/>
  <c r="N32" i="12"/>
  <c r="N33" i="12"/>
  <c r="W32" i="12" a="1"/>
  <c r="W32" i="12" s="1"/>
  <c r="Y33" i="12"/>
  <c r="Y40" i="12"/>
  <c r="W40" i="12" s="1" a="1"/>
  <c r="W40" i="12" s="1"/>
  <c r="Y41" i="12"/>
  <c r="X41" i="12" s="1" a="1"/>
  <c r="X41" i="12" s="1"/>
  <c r="Y42" i="12"/>
  <c r="X42" i="12" s="1" a="1"/>
  <c r="X42" i="12" s="1"/>
  <c r="W41" i="12" a="1"/>
  <c r="W41" i="12" s="1"/>
  <c r="N42" i="12"/>
  <c r="N41" i="12"/>
  <c r="N40" i="12"/>
  <c r="Y47" i="12"/>
  <c r="W47" i="12" s="1" a="1"/>
  <c r="W47" i="12" s="1"/>
  <c r="N47" i="12"/>
  <c r="V29" i="12" a="1"/>
  <c r="V29" i="12" s="1"/>
  <c r="U29" i="12"/>
  <c r="T29" i="12"/>
  <c r="N28" i="12"/>
  <c r="Y28" i="12"/>
  <c r="N14" i="12"/>
  <c r="Y14" i="12"/>
  <c r="X14" i="12" s="1" a="1"/>
  <c r="X14" i="12" s="1"/>
  <c r="L15" i="12" a="1"/>
  <c r="L15" i="12" s="1"/>
  <c r="K15" i="12" s="1"/>
  <c r="N15" i="12"/>
  <c r="P10" i="12"/>
  <c r="O10" i="12" s="1"/>
  <c r="AA17" i="8" a="1"/>
  <c r="AA17" i="8" s="1"/>
  <c r="E17" i="8" a="1"/>
  <c r="E17" i="8" s="1"/>
  <c r="Z17" i="8" a="1"/>
  <c r="Z17" i="8" s="1"/>
  <c r="AF17" i="8" a="1"/>
  <c r="AF17" i="8" s="1"/>
  <c r="V17" i="8" a="1"/>
  <c r="V17" i="8" s="1"/>
  <c r="AD17" i="8" a="1"/>
  <c r="AD17" i="8" s="1"/>
  <c r="U17" i="8" a="1"/>
  <c r="U17" i="8" s="1"/>
  <c r="W17" i="8" a="1"/>
  <c r="W17" i="8" s="1"/>
  <c r="AC17" i="8" a="1"/>
  <c r="AC17" i="8" s="1"/>
  <c r="AE17" i="8" a="1"/>
  <c r="AE17" i="8" s="1"/>
  <c r="X17" i="8" a="1"/>
  <c r="X17" i="8" s="1"/>
  <c r="AC14" i="13" a="1"/>
  <c r="AC14" i="13" s="1"/>
  <c r="AF14" i="13" a="1"/>
  <c r="AF14" i="13" s="1"/>
  <c r="T44" i="12" l="1"/>
  <c r="U44" i="12"/>
  <c r="V44" i="12" a="1"/>
  <c r="V44" i="12" s="1"/>
  <c r="V43" i="12" a="1"/>
  <c r="V43" i="12" s="1"/>
  <c r="U43" i="12"/>
  <c r="T43" i="12"/>
  <c r="X40" i="12" a="1"/>
  <c r="X40" i="12" s="1"/>
  <c r="W42" i="12" a="1"/>
  <c r="W42" i="12" s="1"/>
  <c r="U42" i="12" s="1"/>
  <c r="X33" i="12" a="1"/>
  <c r="X33" i="12" s="1"/>
  <c r="W33" i="12" a="1"/>
  <c r="W33" i="12" s="1"/>
  <c r="V32" i="12" a="1"/>
  <c r="V32" i="12" s="1"/>
  <c r="U32" i="12"/>
  <c r="T32" i="12"/>
  <c r="V40" i="12" a="1"/>
  <c r="V40" i="12" s="1"/>
  <c r="U40" i="12"/>
  <c r="T40" i="12"/>
  <c r="V42" i="12" a="1"/>
  <c r="V42" i="12" s="1"/>
  <c r="V41" i="12" a="1"/>
  <c r="V41" i="12" s="1"/>
  <c r="U41" i="12"/>
  <c r="T41" i="12"/>
  <c r="X47" i="12" a="1"/>
  <c r="X47" i="12" s="1"/>
  <c r="U47" i="12"/>
  <c r="T47" i="12"/>
  <c r="V47" i="12" a="1"/>
  <c r="V47" i="12" s="1"/>
  <c r="X28" i="12" a="1"/>
  <c r="X28" i="12" s="1"/>
  <c r="W28" i="12" a="1"/>
  <c r="W28" i="12" s="1"/>
  <c r="W14" i="12" a="1"/>
  <c r="W14" i="12" s="1"/>
  <c r="T14" i="12" s="1"/>
  <c r="T42" i="12" l="1"/>
  <c r="V33" i="12" a="1"/>
  <c r="V33" i="12" s="1"/>
  <c r="U33" i="12"/>
  <c r="T33" i="12"/>
  <c r="U28" i="12"/>
  <c r="V28" i="12" a="1"/>
  <c r="V28" i="12" s="1"/>
  <c r="T28" i="12"/>
  <c r="V14" i="12" a="1"/>
  <c r="V14" i="12" s="1"/>
  <c r="U14" i="12"/>
  <c r="B6" i="9" l="1" a="1"/>
  <c r="B6" i="9" s="1"/>
  <c r="M13" i="9" s="1"/>
  <c r="I45" i="5" l="1"/>
  <c r="G18" i="6" l="1"/>
  <c r="F18" i="12" l="1" a="1"/>
  <c r="F18" i="12" s="1"/>
  <c r="AF23" i="8" l="1" a="1"/>
  <c r="AF23" i="8" s="1"/>
  <c r="Y23" i="8" a="1"/>
  <c r="Y23" i="8" s="1"/>
  <c r="AD73" i="9" l="1"/>
  <c r="H73" i="9"/>
  <c r="J73" i="9"/>
  <c r="L73" i="9"/>
  <c r="N73" i="9"/>
  <c r="P73" i="9"/>
  <c r="R73" i="9"/>
  <c r="T73" i="9"/>
  <c r="V73" i="9"/>
  <c r="X73" i="9"/>
  <c r="Z73" i="9"/>
  <c r="AB73" i="9"/>
  <c r="U23" i="8" a="1"/>
  <c r="U23" i="8" s="1"/>
  <c r="V23" i="8" a="1"/>
  <c r="V23" i="8" s="1"/>
  <c r="W23" i="8" a="1"/>
  <c r="W23" i="8" s="1"/>
  <c r="X23" i="8" a="1"/>
  <c r="X23" i="8" s="1"/>
  <c r="Z23" i="8" a="1"/>
  <c r="Z23" i="8" s="1"/>
  <c r="AA23" i="8" a="1"/>
  <c r="AA23" i="8" s="1"/>
  <c r="AB23" i="8" a="1"/>
  <c r="AB23" i="8" s="1"/>
  <c r="AC23" i="8" a="1"/>
  <c r="AC23" i="8" s="1"/>
  <c r="AD23" i="8" a="1"/>
  <c r="AD23" i="8" s="1"/>
  <c r="AE23" i="8" a="1"/>
  <c r="AE23" i="8" s="1"/>
  <c r="E23" i="8" a="1"/>
  <c r="E23" i="8" s="1"/>
  <c r="E40" i="8"/>
  <c r="C11" i="10" a="1"/>
  <c r="C11" i="10"/>
  <c r="G73" i="9" l="1"/>
  <c r="U20" i="8" l="1" a="1"/>
  <c r="U20" i="8" s="1"/>
  <c r="V20" i="8" a="1"/>
  <c r="V20" i="8" s="1"/>
  <c r="W20" i="8" a="1"/>
  <c r="W20" i="8" s="1"/>
  <c r="X20" i="8" a="1"/>
  <c r="X20" i="8" s="1"/>
  <c r="Y20" i="8" a="1"/>
  <c r="Y20" i="8" s="1"/>
  <c r="Z20" i="8" a="1"/>
  <c r="Z20" i="8" s="1"/>
  <c r="AA20" i="8" a="1"/>
  <c r="AA20" i="8" s="1"/>
  <c r="AB20" i="8" a="1"/>
  <c r="AB20" i="8" s="1"/>
  <c r="AC20" i="8" a="1"/>
  <c r="AC20" i="8" s="1"/>
  <c r="AD20" i="8" a="1"/>
  <c r="AD20" i="8" s="1"/>
  <c r="AE20" i="8" a="1"/>
  <c r="AE20" i="8" s="1"/>
  <c r="AF20" i="8" a="1"/>
  <c r="AF20" i="8" s="1"/>
  <c r="E20" i="8" a="1"/>
  <c r="E20" i="8" s="1"/>
  <c r="I34" i="5" l="1"/>
  <c r="F29" i="12" l="1" a="1"/>
  <c r="F29" i="12" s="1"/>
  <c r="G29" i="6"/>
  <c r="E29" i="12"/>
  <c r="F29" i="6"/>
  <c r="F47" i="12" a="1"/>
  <c r="F47" i="12" s="1"/>
  <c r="G47" i="6"/>
  <c r="E46" i="12"/>
  <c r="F46" i="6"/>
  <c r="G46" i="6"/>
  <c r="F46" i="12" a="1"/>
  <c r="F46" i="12" s="1"/>
  <c r="AN46" i="5" a="1"/>
  <c r="AN46" i="5" s="1"/>
  <c r="W46" i="5" a="1"/>
  <c r="W46" i="5" s="1"/>
  <c r="H46" i="12" l="1" a="1"/>
  <c r="H46" i="12" s="1"/>
  <c r="X46" i="5" a="1"/>
  <c r="X46" i="5" s="1"/>
  <c r="Z46" i="5" l="1"/>
  <c r="I46" i="12"/>
  <c r="L46" i="5"/>
  <c r="AM46" i="5"/>
  <c r="I46" i="5"/>
  <c r="I47" i="5" s="1"/>
  <c r="O47" i="5" s="1"/>
  <c r="X45" i="5" a="1"/>
  <c r="X45" i="5" s="1"/>
  <c r="D47" i="12" l="1"/>
  <c r="E47" i="6"/>
  <c r="AM45" i="5"/>
  <c r="Z45" i="5"/>
  <c r="L45" i="5"/>
  <c r="I45" i="12"/>
  <c r="AO46" i="12" a="1"/>
  <c r="AO46" i="12" s="1"/>
  <c r="AO45" i="12" s="1" a="1"/>
  <c r="AO45" i="12" s="1"/>
  <c r="O46" i="12" a="1"/>
  <c r="O46" i="12" s="1"/>
  <c r="C46" i="12"/>
  <c r="M46" i="12" a="1"/>
  <c r="M46" i="12" s="1"/>
  <c r="M45" i="12" s="1" a="1"/>
  <c r="M45" i="12" s="1"/>
  <c r="C46" i="6"/>
  <c r="O46" i="5"/>
  <c r="AB46" i="5" a="1"/>
  <c r="AB46" i="5" s="1"/>
  <c r="AB45" i="5" s="1" a="1"/>
  <c r="AB45" i="5" s="1"/>
  <c r="J45" i="12" l="1" a="1"/>
  <c r="J45" i="12" s="1"/>
  <c r="L45" i="12" a="1"/>
  <c r="L45" i="12" s="1"/>
  <c r="C45" i="12"/>
  <c r="D46" i="12"/>
  <c r="E46" i="6"/>
  <c r="AC45" i="5" a="1"/>
  <c r="AC45" i="5" s="1"/>
  <c r="C45" i="6"/>
  <c r="O45" i="5"/>
  <c r="Y46" i="12"/>
  <c r="N46" i="12"/>
  <c r="O45" i="12" a="1"/>
  <c r="O45" i="12" s="1"/>
  <c r="N45" i="12" s="1"/>
  <c r="Y45" i="12" l="1"/>
  <c r="W45" i="12" s="1" a="1"/>
  <c r="W45" i="12" s="1"/>
  <c r="K45" i="12"/>
  <c r="D45" i="12"/>
  <c r="E45" i="6"/>
  <c r="X46" i="12" a="1"/>
  <c r="X46" i="12" s="1"/>
  <c r="W46" i="12" a="1"/>
  <c r="W46" i="12" s="1"/>
  <c r="X45" i="12" l="1" a="1"/>
  <c r="X45" i="12" s="1"/>
  <c r="V46" i="12" a="1"/>
  <c r="V46" i="12" s="1"/>
  <c r="U46" i="12"/>
  <c r="T46" i="12"/>
  <c r="U45" i="12"/>
  <c r="V45" i="12" a="1"/>
  <c r="V45" i="12" s="1"/>
  <c r="T45" i="12"/>
  <c r="S26" i="8" l="1"/>
  <c r="AF42" i="5" a="1"/>
  <c r="AF19" i="5" a="1"/>
  <c r="AF39" i="5" a="1"/>
  <c r="AF31" i="5" a="1"/>
  <c r="AF46" i="5" a="1"/>
  <c r="AF40" i="5" a="1"/>
  <c r="AF37" i="5" a="1"/>
  <c r="AF36" i="5" a="1"/>
  <c r="AF23" i="5" a="1"/>
  <c r="AF38" i="5" a="1"/>
  <c r="AF28" i="5" a="1"/>
  <c r="AF27" i="5" a="1"/>
  <c r="AF29" i="5" a="1"/>
  <c r="AF18" i="5" a="1"/>
  <c r="AF41" i="5" a="1"/>
  <c r="AF30" i="5" a="1"/>
  <c r="AF26" i="5" a="1"/>
  <c r="AF22" i="5" a="1"/>
  <c r="AF24" i="5" a="1"/>
  <c r="AF25" i="5" a="1"/>
  <c r="AF35" i="5" a="1"/>
  <c r="AF47" i="5" a="1"/>
  <c r="AF20" i="5" a="1"/>
  <c r="AF27" i="5" l="1"/>
  <c r="AF20" i="5"/>
  <c r="AF28" i="5"/>
  <c r="AG28" i="5" s="1" a="1"/>
  <c r="AG28" i="5" s="1"/>
  <c r="AC28" i="5" s="1" a="1"/>
  <c r="AC28" i="5" s="1"/>
  <c r="AF47" i="5"/>
  <c r="AG47" i="5" s="1" a="1"/>
  <c r="AG47" i="5" s="1"/>
  <c r="AC47" i="5" s="1" a="1"/>
  <c r="AC47" i="5" s="1"/>
  <c r="AF38" i="5"/>
  <c r="AF35" i="5"/>
  <c r="AF23" i="5"/>
  <c r="AF25" i="5"/>
  <c r="AF36" i="5"/>
  <c r="AF24" i="5"/>
  <c r="AF37" i="5"/>
  <c r="AF22" i="5"/>
  <c r="AF40" i="5"/>
  <c r="AG40" i="5" s="1" a="1"/>
  <c r="AG40" i="5" s="1"/>
  <c r="AC40" i="5" s="1" a="1"/>
  <c r="AC40" i="5" s="1"/>
  <c r="AF26" i="5"/>
  <c r="AF46" i="5"/>
  <c r="AG46" i="5" s="1" a="1"/>
  <c r="AG46" i="5" s="1"/>
  <c r="AC46" i="5" s="1" a="1"/>
  <c r="AC46" i="5" s="1"/>
  <c r="AF30" i="5"/>
  <c r="AF31" i="5"/>
  <c r="AF41" i="5"/>
  <c r="AG41" i="5" s="1" a="1"/>
  <c r="AG41" i="5" s="1"/>
  <c r="AC41" i="5" s="1" a="1"/>
  <c r="AC41" i="5" s="1"/>
  <c r="AF39" i="5"/>
  <c r="AF18" i="5"/>
  <c r="AF19" i="5"/>
  <c r="AF29" i="5"/>
  <c r="AG29" i="5" s="1" a="1"/>
  <c r="AG29" i="5" s="1"/>
  <c r="AC29" i="5" s="1" a="1"/>
  <c r="AC29" i="5" s="1"/>
  <c r="AF42" i="5"/>
  <c r="AG42" i="5" s="1" a="1"/>
  <c r="AG42" i="5" s="1"/>
  <c r="AC42" i="5" s="1" a="1"/>
  <c r="AC42" i="5" s="1"/>
  <c r="D26" i="8"/>
  <c r="G26" i="8"/>
  <c r="G27" i="8" s="1" a="1"/>
  <c r="G27" i="8" s="1"/>
  <c r="AF28" i="8" a="1"/>
  <c r="AF28" i="8" s="1"/>
  <c r="AF26" i="8" s="1" a="1"/>
  <c r="AF26" i="8" s="1"/>
  <c r="E28" i="8" a="1"/>
  <c r="E28" i="8" s="1"/>
  <c r="E26" i="8" s="1" a="1"/>
  <c r="E26" i="8" s="1"/>
  <c r="V28" i="8" a="1"/>
  <c r="V28" i="8" s="1"/>
  <c r="V26" i="8" s="1" a="1"/>
  <c r="V26" i="8" s="1"/>
  <c r="W28" i="8" a="1"/>
  <c r="W28" i="8" s="1"/>
  <c r="W26" i="8" s="1" a="1"/>
  <c r="W26" i="8" s="1"/>
  <c r="X28" i="8" a="1"/>
  <c r="X28" i="8" s="1"/>
  <c r="X26" i="8" s="1" a="1"/>
  <c r="X26" i="8" s="1"/>
  <c r="Y28" i="8" a="1"/>
  <c r="Y28" i="8" s="1"/>
  <c r="Y26" i="8" s="1" a="1"/>
  <c r="Y26" i="8" s="1"/>
  <c r="AD28" i="8" a="1"/>
  <c r="AD28" i="8" s="1"/>
  <c r="AD26" i="8" s="1" a="1"/>
  <c r="AD26" i="8" s="1"/>
  <c r="U28" i="8" a="1"/>
  <c r="U28" i="8" s="1"/>
  <c r="U26" i="8" s="1" a="1"/>
  <c r="U26" i="8" s="1"/>
  <c r="AE28" i="8" a="1"/>
  <c r="AE28" i="8" s="1"/>
  <c r="AE26" i="8" s="1" a="1"/>
  <c r="AE26" i="8" s="1"/>
  <c r="AA28" i="8" a="1"/>
  <c r="AA28" i="8" s="1"/>
  <c r="AA26" i="8" s="1" a="1"/>
  <c r="AA26" i="8" s="1"/>
  <c r="AC28" i="8" a="1"/>
  <c r="AC28" i="8" s="1"/>
  <c r="AC26" i="8" s="1" a="1"/>
  <c r="AC26" i="8" s="1"/>
  <c r="H27" i="8" a="1"/>
  <c r="H27" i="8" s="1"/>
  <c r="AB28" i="8" a="1"/>
  <c r="AB28" i="8" s="1"/>
  <c r="AB26" i="8" s="1" a="1"/>
  <c r="AB26" i="8" s="1"/>
  <c r="Z28" i="8" a="1"/>
  <c r="Z28" i="8" s="1"/>
  <c r="Z26" i="8" s="1" a="1"/>
  <c r="Z26" i="8" s="1"/>
  <c r="H26" i="8" l="1" a="1"/>
  <c r="H26" i="8" s="1"/>
  <c r="J27" i="8" s="1"/>
  <c r="I26" i="8"/>
  <c r="R26" i="5" a="1"/>
  <c r="R35" i="5" a="1"/>
  <c r="AG30" i="5" a="1"/>
  <c r="R24" i="5" a="1"/>
  <c r="AG24" i="5" a="1"/>
  <c r="R25" i="5" a="1"/>
  <c r="S36" i="5" a="1"/>
  <c r="R36" i="5" a="1"/>
  <c r="R39" i="5" a="1"/>
  <c r="S20" i="5" a="1"/>
  <c r="R20" i="5" a="1"/>
  <c r="AG23" i="5" a="1"/>
  <c r="S26" i="5" a="1"/>
  <c r="S35" i="5" a="1"/>
  <c r="R19" i="5" a="1"/>
  <c r="AG35" i="5" a="1"/>
  <c r="R27" i="5" a="1"/>
  <c r="S27" i="5" a="1"/>
  <c r="R37" i="5" a="1"/>
  <c r="AG37" i="5" a="1"/>
  <c r="S38" i="5" a="1"/>
  <c r="AG38" i="5" a="1"/>
  <c r="S31" i="5" a="1"/>
  <c r="R23" i="5" a="1"/>
  <c r="AG26" i="5" a="1"/>
  <c r="S19" i="5" a="1"/>
  <c r="AG19" i="5" a="1"/>
  <c r="AG27" i="5" a="1"/>
  <c r="S39" i="5" a="1"/>
  <c r="AG31" i="5" a="1"/>
  <c r="R22" i="5" a="1"/>
  <c r="S24" i="5" a="1"/>
  <c r="S25" i="5" a="1"/>
  <c r="S23" i="5" a="1"/>
  <c r="S22" i="5" a="1"/>
  <c r="AG25" i="5" a="1"/>
  <c r="AG18" i="5" a="1"/>
  <c r="S30" i="5" a="1"/>
  <c r="R30" i="5" a="1"/>
  <c r="AG22" i="5" a="1"/>
  <c r="AG36" i="5" a="1"/>
  <c r="R31" i="5" a="1"/>
  <c r="AG20" i="5" a="1"/>
  <c r="S37" i="5" a="1"/>
  <c r="R38" i="5" a="1"/>
  <c r="R18" i="5" a="1"/>
  <c r="AG39" i="5" a="1"/>
  <c r="AG39" i="5" l="1"/>
  <c r="U39" i="5" s="1"/>
  <c r="R18" i="5"/>
  <c r="R38" i="5"/>
  <c r="S37" i="5"/>
  <c r="G37" i="6" s="1"/>
  <c r="AG20" i="5"/>
  <c r="U20" i="5" s="1"/>
  <c r="AN20" i="5" s="1" a="1"/>
  <c r="AN20" i="5" s="1"/>
  <c r="R31" i="5"/>
  <c r="AG36" i="5"/>
  <c r="U36" i="5" s="1"/>
  <c r="AG22" i="5"/>
  <c r="U22" i="5" s="1"/>
  <c r="W22" i="5" s="1" a="1"/>
  <c r="W22" i="5" s="1"/>
  <c r="R30" i="5"/>
  <c r="S30" i="5"/>
  <c r="G30" i="6" s="1"/>
  <c r="AG18" i="5"/>
  <c r="U18" i="5" s="1"/>
  <c r="W18" i="5" s="1" a="1"/>
  <c r="W18" i="5" s="1"/>
  <c r="AG25" i="5"/>
  <c r="U25" i="5" s="1"/>
  <c r="AN25" i="5" s="1" a="1"/>
  <c r="AN25" i="5" s="1"/>
  <c r="S22" i="5"/>
  <c r="G22" i="6" s="1"/>
  <c r="S23" i="5"/>
  <c r="G23" i="6" s="1"/>
  <c r="S25" i="5"/>
  <c r="G25" i="6" s="1"/>
  <c r="S24" i="5"/>
  <c r="F24" i="12" s="1" a="1"/>
  <c r="F24" i="12" s="1"/>
  <c r="R22" i="5"/>
  <c r="F22" i="6" s="1"/>
  <c r="AG31" i="5"/>
  <c r="U31" i="5" s="1"/>
  <c r="AN31" i="5" s="1" a="1"/>
  <c r="AN31" i="5" s="1"/>
  <c r="S39" i="5"/>
  <c r="G39" i="6" s="1"/>
  <c r="AG27" i="5"/>
  <c r="U27" i="5" s="1"/>
  <c r="W27" i="5" s="1" a="1"/>
  <c r="W27" i="5" s="1"/>
  <c r="AG19" i="5"/>
  <c r="U19" i="5" s="1"/>
  <c r="S19" i="5"/>
  <c r="G19" i="6" s="1"/>
  <c r="AG26" i="5"/>
  <c r="U26" i="5" s="1"/>
  <c r="R23" i="5"/>
  <c r="E23" i="12" s="1"/>
  <c r="S31" i="5"/>
  <c r="G31" i="6" s="1"/>
  <c r="AG38" i="5"/>
  <c r="U38" i="5" s="1"/>
  <c r="AN38" i="5" s="1" a="1"/>
  <c r="AN38" i="5" s="1"/>
  <c r="S38" i="5"/>
  <c r="AG37" i="5"/>
  <c r="U37" i="5" s="1"/>
  <c r="W37" i="5" s="1" a="1"/>
  <c r="W37" i="5" s="1"/>
  <c r="R37" i="5"/>
  <c r="F37" i="6" s="1"/>
  <c r="S27" i="5"/>
  <c r="G27" i="6" s="1"/>
  <c r="R27" i="5"/>
  <c r="E27" i="12" s="1"/>
  <c r="AG35" i="5"/>
  <c r="U35" i="5" s="1"/>
  <c r="AN35" i="5" s="1" a="1"/>
  <c r="AN35" i="5" s="1"/>
  <c r="R19" i="5"/>
  <c r="F19" i="6" s="1"/>
  <c r="S35" i="5"/>
  <c r="G35" i="6" s="1"/>
  <c r="S26" i="5"/>
  <c r="G26" i="6" s="1"/>
  <c r="AG23" i="5"/>
  <c r="U23" i="5" s="1"/>
  <c r="W23" i="5" s="1" a="1"/>
  <c r="W23" i="5" s="1"/>
  <c r="R20" i="5"/>
  <c r="E20" i="12" s="1"/>
  <c r="S20" i="5"/>
  <c r="G20" i="6" s="1"/>
  <c r="R39" i="5"/>
  <c r="F39" i="6" s="1"/>
  <c r="R36" i="5"/>
  <c r="E36" i="12" s="1"/>
  <c r="S36" i="5"/>
  <c r="R25" i="5"/>
  <c r="E25" i="12" s="1"/>
  <c r="AG24" i="5"/>
  <c r="U24" i="5" s="1"/>
  <c r="R24" i="5"/>
  <c r="E24" i="12" s="1"/>
  <c r="AG30" i="5"/>
  <c r="U30" i="5" s="1"/>
  <c r="W30" i="5" s="1" a="1"/>
  <c r="W30" i="5" s="1"/>
  <c r="R35" i="5"/>
  <c r="E35" i="12" s="1"/>
  <c r="R26" i="5"/>
  <c r="F26" i="6" s="1"/>
  <c r="F23" i="6"/>
  <c r="F38" i="12" a="1"/>
  <c r="F38" i="12" s="1"/>
  <c r="G38" i="6"/>
  <c r="AN36" i="5" a="1"/>
  <c r="AN36" i="5" s="1"/>
  <c r="W36" i="5" a="1"/>
  <c r="W36" i="5" s="1"/>
  <c r="F30" i="6"/>
  <c r="E30" i="12"/>
  <c r="F31" i="6"/>
  <c r="E31" i="12"/>
  <c r="F18" i="6"/>
  <c r="E18" i="12"/>
  <c r="F38" i="6"/>
  <c r="E38" i="12"/>
  <c r="AN19" i="5" a="1"/>
  <c r="AN19" i="5" s="1"/>
  <c r="W19" i="5" a="1"/>
  <c r="W19" i="5" s="1"/>
  <c r="AN39" i="5" a="1"/>
  <c r="AN39" i="5" s="1"/>
  <c r="W39" i="5" a="1"/>
  <c r="W39" i="5" s="1"/>
  <c r="F25" i="6"/>
  <c r="F19" i="12" a="1"/>
  <c r="F19" i="12" s="1"/>
  <c r="W26" i="5" a="1"/>
  <c r="W26" i="5" s="1"/>
  <c r="AN26" i="5" a="1"/>
  <c r="AN26" i="5" s="1"/>
  <c r="W38" i="5" a="1"/>
  <c r="W38" i="5" s="1"/>
  <c r="F36" i="12" a="1"/>
  <c r="F36" i="12" s="1"/>
  <c r="G36" i="6"/>
  <c r="W24" i="5" a="1"/>
  <c r="W24" i="5" s="1"/>
  <c r="AN24" i="5" a="1"/>
  <c r="AN24" i="5" s="1"/>
  <c r="F35" i="6" l="1"/>
  <c r="W20" i="5" a="1"/>
  <c r="W20" i="5" s="1"/>
  <c r="F24" i="6"/>
  <c r="AN30" i="5" a="1"/>
  <c r="AN30" i="5" s="1"/>
  <c r="F31" i="12" a="1"/>
  <c r="F31" i="12" s="1"/>
  <c r="F37" i="12" a="1"/>
  <c r="F37" i="12" s="1"/>
  <c r="E37" i="12"/>
  <c r="W25" i="5" a="1"/>
  <c r="W25" i="5" s="1"/>
  <c r="AN37" i="5" a="1"/>
  <c r="AN37" i="5" s="1"/>
  <c r="F22" i="12" a="1"/>
  <c r="F22" i="12" s="1"/>
  <c r="F20" i="12" a="1"/>
  <c r="F20" i="12" s="1"/>
  <c r="F25" i="12" a="1"/>
  <c r="F25" i="12" s="1"/>
  <c r="E26" i="12"/>
  <c r="F39" i="12" a="1"/>
  <c r="F39" i="12" s="1"/>
  <c r="W35" i="5" a="1"/>
  <c r="W35" i="5" s="1"/>
  <c r="X35" i="5" s="1" a="1"/>
  <c r="X35" i="5" s="1"/>
  <c r="F23" i="12" a="1"/>
  <c r="F23" i="12" s="1"/>
  <c r="F20" i="6"/>
  <c r="F27" i="6"/>
  <c r="AN18" i="5" a="1"/>
  <c r="AN18" i="5" s="1"/>
  <c r="F36" i="6"/>
  <c r="AN27" i="5" a="1"/>
  <c r="AN27" i="5" s="1"/>
  <c r="E22" i="12"/>
  <c r="W31" i="5" a="1"/>
  <c r="W31" i="5" s="1"/>
  <c r="X31" i="5" s="1" a="1"/>
  <c r="X31" i="5" s="1"/>
  <c r="F26" i="12" a="1"/>
  <c r="F26" i="12" s="1"/>
  <c r="F27" i="12" a="1"/>
  <c r="F27" i="12" s="1"/>
  <c r="AN22" i="5" a="1"/>
  <c r="AN22" i="5" s="1"/>
  <c r="AN23" i="5" a="1"/>
  <c r="AN23" i="5" s="1"/>
  <c r="G24" i="6"/>
  <c r="F35" i="12" a="1"/>
  <c r="F35" i="12" s="1"/>
  <c r="E19" i="12"/>
  <c r="F30" i="12" a="1"/>
  <c r="F30" i="12" s="1"/>
  <c r="E39" i="12"/>
  <c r="X19" i="5" a="1"/>
  <c r="X19" i="5" s="1"/>
  <c r="H19" i="12" a="1"/>
  <c r="H19" i="12" s="1"/>
  <c r="X20" i="5" a="1"/>
  <c r="X20" i="5" s="1"/>
  <c r="H20" i="12" a="1"/>
  <c r="H20" i="12" s="1"/>
  <c r="X23" i="5" a="1"/>
  <c r="X23" i="5" s="1"/>
  <c r="H23" i="12" a="1"/>
  <c r="H23" i="12" s="1"/>
  <c r="X39" i="5" a="1"/>
  <c r="X39" i="5" s="1"/>
  <c r="H39" i="12" a="1"/>
  <c r="H39" i="12" s="1"/>
  <c r="X37" i="5" a="1"/>
  <c r="X37" i="5" s="1"/>
  <c r="H37" i="12" a="1"/>
  <c r="H37" i="12" s="1"/>
  <c r="H24" i="12" a="1"/>
  <c r="H24" i="12" s="1"/>
  <c r="X24" i="5" a="1"/>
  <c r="X24" i="5" s="1"/>
  <c r="H22" i="12" a="1"/>
  <c r="H22" i="12" s="1"/>
  <c r="X22" i="5" a="1"/>
  <c r="X22" i="5" s="1"/>
  <c r="H27" i="12" a="1"/>
  <c r="H27" i="12" s="1"/>
  <c r="X27" i="5" a="1"/>
  <c r="X27" i="5" s="1"/>
  <c r="H25" i="12" a="1"/>
  <c r="H25" i="12" s="1"/>
  <c r="X25" i="5" a="1"/>
  <c r="X25" i="5" s="1"/>
  <c r="H38" i="12" a="1"/>
  <c r="H38" i="12" s="1"/>
  <c r="X38" i="5" a="1"/>
  <c r="X38" i="5" s="1"/>
  <c r="H30" i="12" a="1"/>
  <c r="H30" i="12" s="1"/>
  <c r="X30" i="5" a="1"/>
  <c r="X30" i="5" s="1"/>
  <c r="X26" i="5" a="1"/>
  <c r="X26" i="5" s="1"/>
  <c r="H26" i="12" a="1"/>
  <c r="H26" i="12" s="1"/>
  <c r="H36" i="12" a="1"/>
  <c r="H36" i="12" s="1"/>
  <c r="X36" i="5" a="1"/>
  <c r="X36" i="5" s="1"/>
  <c r="H18" i="12" a="1"/>
  <c r="H18" i="12" s="1"/>
  <c r="X18" i="5" a="1"/>
  <c r="X18" i="5" s="1"/>
  <c r="H35" i="12" l="1" a="1"/>
  <c r="H35" i="12" s="1"/>
  <c r="H31" i="12" a="1"/>
  <c r="H31" i="12" s="1"/>
  <c r="AM35" i="5"/>
  <c r="L35" i="5"/>
  <c r="Z35" i="5"/>
  <c r="I35" i="5"/>
  <c r="I36" i="5" s="1"/>
  <c r="I35" i="12"/>
  <c r="X34" i="5" a="1"/>
  <c r="X34" i="5" s="1"/>
  <c r="Z39" i="5"/>
  <c r="I39" i="12"/>
  <c r="AM39" i="5"/>
  <c r="L39" i="5"/>
  <c r="AC39" i="5" s="1" a="1"/>
  <c r="AC39" i="5" s="1"/>
  <c r="I36" i="12"/>
  <c r="Z36" i="5"/>
  <c r="L36" i="5"/>
  <c r="AM36" i="5"/>
  <c r="I30" i="12"/>
  <c r="AM30" i="5"/>
  <c r="Z30" i="5"/>
  <c r="L30" i="5"/>
  <c r="AC30" i="5" s="1" a="1"/>
  <c r="AC30" i="5" s="1"/>
  <c r="AM23" i="5"/>
  <c r="Z23" i="5"/>
  <c r="I23" i="12"/>
  <c r="L23" i="5"/>
  <c r="AC23" i="5" s="1" a="1"/>
  <c r="AC23" i="5" s="1"/>
  <c r="L31" i="5"/>
  <c r="I31" i="12"/>
  <c r="Z31" i="5"/>
  <c r="AM31" i="5"/>
  <c r="I25" i="12"/>
  <c r="AM25" i="5"/>
  <c r="L25" i="5"/>
  <c r="AC25" i="5" s="1" a="1"/>
  <c r="AC25" i="5" s="1"/>
  <c r="Z25" i="5"/>
  <c r="I22" i="12"/>
  <c r="AM22" i="5"/>
  <c r="L22" i="5"/>
  <c r="AC22" i="5" s="1" a="1"/>
  <c r="AC22" i="5" s="1"/>
  <c r="Z22" i="5"/>
  <c r="I22" i="5"/>
  <c r="I23" i="5" s="1"/>
  <c r="I24" i="5" s="1"/>
  <c r="I25" i="5" s="1"/>
  <c r="I26" i="5" s="1"/>
  <c r="I27" i="5" s="1"/>
  <c r="I28" i="5" s="1"/>
  <c r="X21" i="5" a="1"/>
  <c r="X21" i="5" s="1"/>
  <c r="AM18" i="5"/>
  <c r="X15" i="5"/>
  <c r="X17" i="5" a="1"/>
  <c r="X17" i="5" s="1"/>
  <c r="I18" i="12"/>
  <c r="L18" i="5"/>
  <c r="AC18" i="5" s="1" a="1"/>
  <c r="AC18" i="5" s="1"/>
  <c r="X16" i="5" a="1"/>
  <c r="X16" i="5" s="1"/>
  <c r="I18" i="5"/>
  <c r="I19" i="5" s="1"/>
  <c r="Z18" i="5"/>
  <c r="L37" i="5"/>
  <c r="AC37" i="5" s="1" a="1"/>
  <c r="AC37" i="5" s="1"/>
  <c r="Z37" i="5"/>
  <c r="AM37" i="5"/>
  <c r="I37" i="12"/>
  <c r="I37" i="5"/>
  <c r="I38" i="5" s="1"/>
  <c r="I39" i="5" s="1"/>
  <c r="I40" i="5" s="1"/>
  <c r="AM20" i="5"/>
  <c r="Z20" i="5"/>
  <c r="I20" i="12"/>
  <c r="L20" i="5"/>
  <c r="I20" i="5"/>
  <c r="I24" i="12"/>
  <c r="L24" i="5"/>
  <c r="AC24" i="5" s="1" a="1"/>
  <c r="AC24" i="5" s="1"/>
  <c r="Z24" i="5"/>
  <c r="AM24" i="5"/>
  <c r="I26" i="12"/>
  <c r="Z26" i="5"/>
  <c r="AM26" i="5"/>
  <c r="L26" i="5"/>
  <c r="AC26" i="5" s="1" a="1"/>
  <c r="AC26" i="5" s="1"/>
  <c r="AM38" i="5"/>
  <c r="Z38" i="5"/>
  <c r="I38" i="12"/>
  <c r="L38" i="5"/>
  <c r="AC38" i="5" s="1" a="1"/>
  <c r="AC38" i="5" s="1"/>
  <c r="Z27" i="5"/>
  <c r="L27" i="5"/>
  <c r="AC27" i="5" s="1" a="1"/>
  <c r="AC27" i="5" s="1"/>
  <c r="I27" i="12"/>
  <c r="AM27" i="5"/>
  <c r="I19" i="12"/>
  <c r="Z19" i="5"/>
  <c r="L19" i="5"/>
  <c r="AM19" i="5"/>
  <c r="O20" i="5" l="1"/>
  <c r="C31" i="6"/>
  <c r="AC31" i="5" a="1"/>
  <c r="AC31" i="5" s="1"/>
  <c r="C19" i="6"/>
  <c r="AC19" i="5" a="1"/>
  <c r="AC19" i="5" s="1"/>
  <c r="C20" i="6"/>
  <c r="AC20" i="5" a="1"/>
  <c r="AC20" i="5" s="1"/>
  <c r="I29" i="5"/>
  <c r="O28" i="5"/>
  <c r="C30" i="6"/>
  <c r="E20" i="6"/>
  <c r="D20" i="12"/>
  <c r="AO19" i="12" a="1"/>
  <c r="AO19" i="12" s="1"/>
  <c r="C19" i="12"/>
  <c r="M19" i="12" a="1"/>
  <c r="M19" i="12" s="1"/>
  <c r="O19" i="12" a="1"/>
  <c r="O19" i="12" s="1"/>
  <c r="C24" i="6"/>
  <c r="O24" i="5"/>
  <c r="C24" i="12"/>
  <c r="M24" i="12" a="1"/>
  <c r="M24" i="12" s="1"/>
  <c r="AO24" i="12" a="1"/>
  <c r="AO24" i="12" s="1"/>
  <c r="O24" i="12" a="1"/>
  <c r="O24" i="12" s="1"/>
  <c r="C36" i="12"/>
  <c r="M36" i="12" a="1"/>
  <c r="M36" i="12" s="1"/>
  <c r="O36" i="12" a="1"/>
  <c r="O36" i="12" s="1"/>
  <c r="AO36" i="12" a="1"/>
  <c r="AO36" i="12" s="1"/>
  <c r="AB38" i="5" a="1"/>
  <c r="AB38" i="5" s="1"/>
  <c r="AC72" i="10"/>
  <c r="AC75" i="10" s="1"/>
  <c r="I72" i="10"/>
  <c r="U70" i="10"/>
  <c r="W70" i="10"/>
  <c r="Q70" i="10"/>
  <c r="Y72" i="10"/>
  <c r="Y75" i="10" s="1"/>
  <c r="K72" i="10"/>
  <c r="K75" i="10" s="1"/>
  <c r="AE70" i="10"/>
  <c r="M70" i="10"/>
  <c r="O70" i="10"/>
  <c r="Y70" i="10"/>
  <c r="I70" i="10"/>
  <c r="Y9" i="10" s="1"/>
  <c r="W72" i="10"/>
  <c r="W75" i="10" s="1"/>
  <c r="Q72" i="10"/>
  <c r="Q75" i="10" s="1"/>
  <c r="AM15" i="5"/>
  <c r="AC70" i="10"/>
  <c r="AA72" i="10"/>
  <c r="AA75" i="10" s="1"/>
  <c r="S70" i="10"/>
  <c r="S72" i="10"/>
  <c r="S75" i="10" s="1"/>
  <c r="AE72" i="10"/>
  <c r="AE75" i="10" s="1"/>
  <c r="U72" i="10"/>
  <c r="U75" i="10" s="1"/>
  <c r="AA70" i="10"/>
  <c r="Z15" i="5"/>
  <c r="O72" i="10"/>
  <c r="O75" i="10" s="1"/>
  <c r="K70" i="10"/>
  <c r="M72" i="10"/>
  <c r="M75" i="10" s="1"/>
  <c r="AB24" i="5" a="1"/>
  <c r="AB24" i="5" s="1"/>
  <c r="AB19" i="5" a="1"/>
  <c r="AB19" i="5" s="1"/>
  <c r="AO30" i="12" a="1"/>
  <c r="AO30" i="12" s="1"/>
  <c r="C30" i="12"/>
  <c r="O30" i="12" a="1"/>
  <c r="O30" i="12" s="1"/>
  <c r="M30" i="12" a="1"/>
  <c r="M30" i="12" s="1"/>
  <c r="AB25" i="5" a="1"/>
  <c r="AB25" i="5" s="1"/>
  <c r="C38" i="6"/>
  <c r="O38" i="5"/>
  <c r="AB37" i="5" a="1"/>
  <c r="AB37" i="5" s="1"/>
  <c r="O39" i="12" a="1"/>
  <c r="O39" i="12" s="1"/>
  <c r="AO39" i="12" a="1"/>
  <c r="AO39" i="12" s="1"/>
  <c r="C39" i="12"/>
  <c r="M39" i="12" a="1"/>
  <c r="M39" i="12" s="1"/>
  <c r="AB18" i="5" a="1"/>
  <c r="AB18" i="5" s="1"/>
  <c r="AB31" i="5" a="1"/>
  <c r="AB31" i="5" s="1"/>
  <c r="L34" i="5"/>
  <c r="AM34" i="5"/>
  <c r="I34" i="12"/>
  <c r="S23" i="8"/>
  <c r="Z34" i="5"/>
  <c r="L21" i="5"/>
  <c r="AM21" i="5"/>
  <c r="S20" i="8"/>
  <c r="I21" i="12"/>
  <c r="Z21" i="5"/>
  <c r="I41" i="5"/>
  <c r="O40" i="5"/>
  <c r="AB39" i="5" a="1"/>
  <c r="AB39" i="5" s="1"/>
  <c r="C26" i="6"/>
  <c r="O26" i="5"/>
  <c r="O19" i="5"/>
  <c r="O31" i="12" a="1"/>
  <c r="O31" i="12" s="1"/>
  <c r="M31" i="12" a="1"/>
  <c r="M31" i="12" s="1"/>
  <c r="C31" i="12"/>
  <c r="AO31" i="12" a="1"/>
  <c r="AO31" i="12" s="1"/>
  <c r="Y31" i="12" s="1"/>
  <c r="C35" i="12"/>
  <c r="O35" i="12" a="1"/>
  <c r="O35" i="12" s="1"/>
  <c r="AO35" i="12" a="1"/>
  <c r="AO35" i="12" s="1"/>
  <c r="M35" i="12" a="1"/>
  <c r="M35" i="12" s="1"/>
  <c r="AB22" i="5" a="1"/>
  <c r="AB22" i="5" s="1"/>
  <c r="M22" i="12" a="1"/>
  <c r="M22" i="12" s="1"/>
  <c r="AO22" i="12" a="1"/>
  <c r="AO22" i="12" s="1"/>
  <c r="C22" i="12"/>
  <c r="O22" i="12" a="1"/>
  <c r="O22" i="12" s="1"/>
  <c r="O27" i="5"/>
  <c r="C27" i="6"/>
  <c r="C39" i="6"/>
  <c r="O39" i="5"/>
  <c r="O14" i="11" a="1"/>
  <c r="O14" i="11" s="1"/>
  <c r="AM16" i="5"/>
  <c r="I16" i="12"/>
  <c r="L16" i="5"/>
  <c r="Z16" i="5"/>
  <c r="S14" i="8"/>
  <c r="C22" i="6"/>
  <c r="O22" i="5"/>
  <c r="AB20" i="5" a="1"/>
  <c r="AB20" i="5" s="1"/>
  <c r="C37" i="12"/>
  <c r="O37" i="12" a="1"/>
  <c r="O37" i="12" s="1"/>
  <c r="M37" i="12" a="1"/>
  <c r="M37" i="12" s="1"/>
  <c r="AO37" i="12" a="1"/>
  <c r="AO37" i="12" s="1"/>
  <c r="Y37" i="12" s="1"/>
  <c r="O25" i="12" a="1"/>
  <c r="O25" i="12" s="1"/>
  <c r="AO25" i="12" a="1"/>
  <c r="AO25" i="12" s="1"/>
  <c r="C25" i="12"/>
  <c r="M25" i="12" a="1"/>
  <c r="M25" i="12" s="1"/>
  <c r="O38" i="12" a="1"/>
  <c r="O38" i="12" s="1"/>
  <c r="C38" i="12"/>
  <c r="M38" i="12" a="1"/>
  <c r="M38" i="12" s="1"/>
  <c r="AO38" i="12" a="1"/>
  <c r="AO38" i="12" s="1"/>
  <c r="O18" i="5"/>
  <c r="C18" i="6"/>
  <c r="C23" i="6"/>
  <c r="O23" i="5"/>
  <c r="AB35" i="5" a="1"/>
  <c r="AB35" i="5" s="1"/>
  <c r="AB30" i="5" a="1"/>
  <c r="AB30" i="5" s="1"/>
  <c r="AC36" i="5" a="1"/>
  <c r="AC36" i="5" s="1"/>
  <c r="C36" i="6"/>
  <c r="O36" i="5"/>
  <c r="C27" i="12"/>
  <c r="O27" i="12" a="1"/>
  <c r="O27" i="12" s="1"/>
  <c r="AO27" i="12" a="1"/>
  <c r="AO27" i="12" s="1"/>
  <c r="M27" i="12" a="1"/>
  <c r="M27" i="12" s="1"/>
  <c r="C25" i="6"/>
  <c r="O25" i="5"/>
  <c r="AB27" i="5" a="1"/>
  <c r="AB27" i="5" s="1"/>
  <c r="C37" i="6"/>
  <c r="O37" i="5"/>
  <c r="AB26" i="5" a="1"/>
  <c r="AB26" i="5" s="1"/>
  <c r="O18" i="12" a="1"/>
  <c r="O18" i="12" s="1"/>
  <c r="C18" i="12"/>
  <c r="M18" i="12" a="1"/>
  <c r="M18" i="12" s="1"/>
  <c r="AO18" i="12" a="1"/>
  <c r="AO18" i="12" s="1"/>
  <c r="C23" i="12"/>
  <c r="AO23" i="12" a="1"/>
  <c r="AO23" i="12" s="1"/>
  <c r="O23" i="12" a="1"/>
  <c r="O23" i="12" s="1"/>
  <c r="M23" i="12" a="1"/>
  <c r="M23" i="12" s="1"/>
  <c r="AC35" i="5" a="1"/>
  <c r="AC35" i="5" s="1"/>
  <c r="C35" i="6"/>
  <c r="O35" i="5"/>
  <c r="O20" i="12" a="1"/>
  <c r="O20" i="12" s="1"/>
  <c r="M20" i="12" a="1"/>
  <c r="M20" i="12" s="1"/>
  <c r="C20" i="12"/>
  <c r="AO20" i="12" a="1"/>
  <c r="AO20" i="12" s="1"/>
  <c r="AB36" i="5" a="1"/>
  <c r="AB36" i="5" s="1"/>
  <c r="AO26" i="12" a="1"/>
  <c r="AO26" i="12" s="1"/>
  <c r="M26" i="12" a="1"/>
  <c r="M26" i="12" s="1"/>
  <c r="O26" i="12" a="1"/>
  <c r="O26" i="12" s="1"/>
  <c r="C26" i="12"/>
  <c r="AM17" i="5"/>
  <c r="S17" i="8"/>
  <c r="Z17" i="5"/>
  <c r="I17" i="12"/>
  <c r="L17" i="5"/>
  <c r="AB23" i="5" a="1"/>
  <c r="AB23" i="5" s="1"/>
  <c r="N26" i="12" l="1"/>
  <c r="Y36" i="12"/>
  <c r="N19" i="12"/>
  <c r="AB34" i="5" a="1"/>
  <c r="AB34" i="5" s="1"/>
  <c r="N20" i="12"/>
  <c r="Y38" i="12"/>
  <c r="N27" i="12"/>
  <c r="M21" i="12" a="1"/>
  <c r="M21" i="12" s="1"/>
  <c r="N25" i="12"/>
  <c r="N24" i="12"/>
  <c r="N36" i="12"/>
  <c r="M34" i="12" a="1"/>
  <c r="M34" i="12" s="1"/>
  <c r="E22" i="6"/>
  <c r="D22" i="12"/>
  <c r="C34" i="6"/>
  <c r="AC34" i="5" a="1"/>
  <c r="AC34" i="5" s="1"/>
  <c r="O34" i="5"/>
  <c r="D38" i="12"/>
  <c r="E38" i="6"/>
  <c r="J21" i="12" a="1"/>
  <c r="J21" i="12" s="1"/>
  <c r="L21" i="12" a="1"/>
  <c r="L21" i="12" s="1"/>
  <c r="C21" i="12"/>
  <c r="H21" i="8" a="1"/>
  <c r="H21" i="8" s="1"/>
  <c r="V22" i="8" a="1"/>
  <c r="V22" i="8" s="1"/>
  <c r="AB22" i="8" a="1"/>
  <c r="AB22" i="8" s="1"/>
  <c r="H20" i="8" a="1"/>
  <c r="H20" i="8" s="1"/>
  <c r="J21" i="8" s="1"/>
  <c r="E22" i="8" a="1"/>
  <c r="E22" i="8" s="1"/>
  <c r="Z22" i="8" a="1"/>
  <c r="Z22" i="8" s="1"/>
  <c r="G20" i="8"/>
  <c r="G21" i="8" s="1" a="1"/>
  <c r="G21" i="8" s="1"/>
  <c r="X22" i="8" a="1"/>
  <c r="X22" i="8" s="1"/>
  <c r="U22" i="8" a="1"/>
  <c r="U22" i="8" s="1"/>
  <c r="AF22" i="8" a="1"/>
  <c r="AF22" i="8" s="1"/>
  <c r="AE22" i="8" a="1"/>
  <c r="AE22" i="8" s="1"/>
  <c r="AD22" i="8" a="1"/>
  <c r="AD22" i="8" s="1"/>
  <c r="AA22" i="8" a="1"/>
  <c r="AA22" i="8" s="1"/>
  <c r="Y22" i="8" a="1"/>
  <c r="Y22" i="8" s="1"/>
  <c r="W22" i="8" a="1"/>
  <c r="W22" i="8" s="1"/>
  <c r="AC22" i="8" a="1"/>
  <c r="AC22" i="8" s="1"/>
  <c r="N23" i="12"/>
  <c r="AC17" i="5" a="1"/>
  <c r="AC17" i="5" s="1"/>
  <c r="C17" i="6"/>
  <c r="O17" i="5"/>
  <c r="Y35" i="12"/>
  <c r="AO34" i="12" a="1"/>
  <c r="AO34" i="12" s="1"/>
  <c r="N35" i="12"/>
  <c r="O34" i="12" a="1"/>
  <c r="O34" i="12" s="1"/>
  <c r="G14" i="8"/>
  <c r="G15" i="8" s="1" a="1"/>
  <c r="G15" i="8" s="1"/>
  <c r="R30" i="8"/>
  <c r="I30" i="8" s="1"/>
  <c r="H15" i="8" a="1"/>
  <c r="H15" i="8" s="1"/>
  <c r="H14" i="8" a="1"/>
  <c r="H14" i="8" s="1"/>
  <c r="J15" i="8" s="1"/>
  <c r="Y26" i="12"/>
  <c r="X38" i="12" a="1"/>
  <c r="X38" i="12" s="1"/>
  <c r="W38" i="12" a="1"/>
  <c r="W38" i="12" s="1"/>
  <c r="AB15" i="5"/>
  <c r="AB17" i="5" a="1"/>
  <c r="AB17" i="5" s="1"/>
  <c r="D17" i="8" s="1"/>
  <c r="AB16" i="5" a="1"/>
  <c r="AB16" i="5" s="1"/>
  <c r="AB14" i="11" s="1" a="1"/>
  <c r="AB14" i="11" s="1"/>
  <c r="Y19" i="12"/>
  <c r="C21" i="6"/>
  <c r="O21" i="5"/>
  <c r="AC21" i="5" a="1"/>
  <c r="AC21" i="5" s="1"/>
  <c r="N30" i="12"/>
  <c r="E37" i="6"/>
  <c r="D37" i="12"/>
  <c r="J16" i="12" a="1"/>
  <c r="J16" i="12" s="1"/>
  <c r="L16" i="12" a="1"/>
  <c r="L16" i="12" s="1"/>
  <c r="C16" i="12"/>
  <c r="P14" i="11"/>
  <c r="G11" i="11" s="1"/>
  <c r="G9" i="11" s="1"/>
  <c r="C14" i="11"/>
  <c r="O24" i="11"/>
  <c r="L14" i="13"/>
  <c r="E26" i="6"/>
  <c r="D26" i="12"/>
  <c r="Y22" i="12"/>
  <c r="AO21" i="12" a="1"/>
  <c r="AO21" i="12" s="1"/>
  <c r="N37" i="12"/>
  <c r="AB25" i="8" a="1"/>
  <c r="AB25" i="8" s="1"/>
  <c r="H24" i="8" a="1"/>
  <c r="H24" i="8" s="1"/>
  <c r="Z25" i="8" a="1"/>
  <c r="Z25" i="8" s="1"/>
  <c r="Y25" i="8" a="1"/>
  <c r="Y25" i="8" s="1"/>
  <c r="AF25" i="8" a="1"/>
  <c r="AF25" i="8" s="1"/>
  <c r="G23" i="8"/>
  <c r="G24" i="8" s="1" a="1"/>
  <c r="G24" i="8" s="1"/>
  <c r="AD25" i="8" a="1"/>
  <c r="AD25" i="8" s="1"/>
  <c r="E25" i="8" a="1"/>
  <c r="E25" i="8" s="1"/>
  <c r="H23" i="8" a="1"/>
  <c r="H23" i="8" s="1"/>
  <c r="J24" i="8" s="1"/>
  <c r="AC25" i="8" a="1"/>
  <c r="AC25" i="8" s="1"/>
  <c r="AA25" i="8" a="1"/>
  <c r="AA25" i="8" s="1"/>
  <c r="U25" i="8" a="1"/>
  <c r="U25" i="8" s="1"/>
  <c r="W25" i="8" a="1"/>
  <c r="W25" i="8" s="1"/>
  <c r="X25" i="8" a="1"/>
  <c r="X25" i="8" s="1"/>
  <c r="V25" i="8" a="1"/>
  <c r="V25" i="8" s="1"/>
  <c r="AE25" i="8" a="1"/>
  <c r="AE25" i="8" s="1"/>
  <c r="D23" i="8"/>
  <c r="M16" i="12" a="1"/>
  <c r="M16" i="12" s="1"/>
  <c r="M17" i="12" a="1"/>
  <c r="M17" i="12" s="1"/>
  <c r="C34" i="12"/>
  <c r="J34" i="12" a="1"/>
  <c r="J34" i="12" s="1"/>
  <c r="L34" i="12" a="1"/>
  <c r="L34" i="12" s="1"/>
  <c r="D24" i="12"/>
  <c r="E24" i="6"/>
  <c r="O16" i="12" a="1"/>
  <c r="O16" i="12" s="1"/>
  <c r="N18" i="12"/>
  <c r="O17" i="12" a="1"/>
  <c r="O17" i="12" s="1"/>
  <c r="D18" i="12"/>
  <c r="E18" i="6"/>
  <c r="N31" i="12"/>
  <c r="D19" i="12"/>
  <c r="E19" i="6"/>
  <c r="Y20" i="12"/>
  <c r="D39" i="12"/>
  <c r="E39" i="6"/>
  <c r="C17" i="12"/>
  <c r="L17" i="12" a="1"/>
  <c r="L17" i="12" s="1"/>
  <c r="J17" i="12" a="1"/>
  <c r="J17" i="12" s="1"/>
  <c r="Y18" i="12"/>
  <c r="AO17" i="12" a="1"/>
  <c r="AO17" i="12" s="1"/>
  <c r="AO16" i="12" a="1"/>
  <c r="AO16" i="12" s="1"/>
  <c r="D23" i="12"/>
  <c r="E23" i="6"/>
  <c r="D25" i="12"/>
  <c r="E25" i="6"/>
  <c r="N38" i="12"/>
  <c r="Y39" i="12"/>
  <c r="AE9" i="10"/>
  <c r="I75" i="10"/>
  <c r="H75" i="10" s="1"/>
  <c r="X36" i="12" a="1"/>
  <c r="X36" i="12" s="1"/>
  <c r="W36" i="12" a="1"/>
  <c r="W36" i="12" s="1"/>
  <c r="X37" i="12" a="1"/>
  <c r="X37" i="12" s="1"/>
  <c r="W37" i="12" a="1"/>
  <c r="W37" i="12" s="1"/>
  <c r="AB21" i="5" a="1"/>
  <c r="AB21" i="5" s="1"/>
  <c r="D20" i="8" s="1"/>
  <c r="Y24" i="12"/>
  <c r="O16" i="5"/>
  <c r="C14" i="6"/>
  <c r="C16" i="6"/>
  <c r="AC16" i="5" a="1"/>
  <c r="AC16" i="5" s="1"/>
  <c r="N39" i="12"/>
  <c r="Y23" i="12"/>
  <c r="E27" i="6"/>
  <c r="D27" i="12"/>
  <c r="E40" i="6"/>
  <c r="D40" i="12"/>
  <c r="D28" i="12"/>
  <c r="E28" i="6"/>
  <c r="E36" i="6"/>
  <c r="D36" i="12"/>
  <c r="V19" i="8" a="1"/>
  <c r="V19" i="8" s="1"/>
  <c r="U19" i="8" a="1"/>
  <c r="U19" i="8" s="1"/>
  <c r="X19" i="8" a="1"/>
  <c r="X19" i="8" s="1"/>
  <c r="H18" i="8" a="1"/>
  <c r="H18" i="8" s="1"/>
  <c r="AD19" i="8" a="1"/>
  <c r="AD19" i="8" s="1"/>
  <c r="AB19" i="8" a="1"/>
  <c r="AB19" i="8" s="1"/>
  <c r="Y19" i="8" a="1"/>
  <c r="Y19" i="8" s="1"/>
  <c r="AA19" i="8" a="1"/>
  <c r="AA19" i="8" s="1"/>
  <c r="H17" i="8" a="1"/>
  <c r="H17" i="8" s="1"/>
  <c r="J18" i="8" s="1"/>
  <c r="W19" i="8" a="1"/>
  <c r="W19" i="8" s="1"/>
  <c r="E19" i="8" a="1"/>
  <c r="E19" i="8" s="1"/>
  <c r="AC19" i="8" a="1"/>
  <c r="AC19" i="8" s="1"/>
  <c r="AF19" i="8" a="1"/>
  <c r="AF19" i="8" s="1"/>
  <c r="Z19" i="8" a="1"/>
  <c r="Z19" i="8" s="1"/>
  <c r="G17" i="8"/>
  <c r="G18" i="8" s="1" a="1"/>
  <c r="G18" i="8" s="1"/>
  <c r="AE19" i="8" a="1"/>
  <c r="AE19" i="8" s="1"/>
  <c r="AE16" i="8" s="1" a="1"/>
  <c r="AE16" i="8" s="1"/>
  <c r="AE14" i="8" s="1" a="1"/>
  <c r="AE14" i="8" s="1"/>
  <c r="Y30" i="12"/>
  <c r="X31" i="12" a="1"/>
  <c r="X31" i="12" s="1"/>
  <c r="W31" i="12" a="1"/>
  <c r="W31" i="12" s="1"/>
  <c r="D35" i="12"/>
  <c r="E35" i="6"/>
  <c r="Y27" i="12"/>
  <c r="Y25" i="12"/>
  <c r="N22" i="12"/>
  <c r="O21" i="12" a="1"/>
  <c r="O21" i="12" s="1"/>
  <c r="N21" i="12" s="1"/>
  <c r="O41" i="5"/>
  <c r="I42" i="5"/>
  <c r="O29" i="5"/>
  <c r="I30" i="5"/>
  <c r="O42" i="5" l="1"/>
  <c r="I43" i="5"/>
  <c r="AB16" i="8" a="1"/>
  <c r="AB16" i="8" s="1"/>
  <c r="AB14" i="8" s="1" a="1"/>
  <c r="AB14" i="8" s="1"/>
  <c r="Y16" i="8" a="1"/>
  <c r="Y16" i="8" s="1"/>
  <c r="Y14" i="8" s="1" a="1"/>
  <c r="Y14" i="8" s="1"/>
  <c r="X16" i="8" a="1"/>
  <c r="X16" i="8" s="1"/>
  <c r="X14" i="8" s="1" a="1"/>
  <c r="X14" i="8" s="1"/>
  <c r="N34" i="12"/>
  <c r="AC16" i="8" a="1"/>
  <c r="AC16" i="8" s="1"/>
  <c r="AC14" i="8" s="1" a="1"/>
  <c r="AC14" i="8" s="1"/>
  <c r="I31" i="5"/>
  <c r="O30" i="5"/>
  <c r="Z16" i="8" a="1"/>
  <c r="Z16" i="8" s="1"/>
  <c r="Z14" i="8" s="1" a="1"/>
  <c r="Z14" i="8" s="1"/>
  <c r="K16" i="12"/>
  <c r="V16" i="8" a="1"/>
  <c r="V16" i="8" s="1"/>
  <c r="V14" i="8" s="1" a="1"/>
  <c r="V14" i="8" s="1"/>
  <c r="U16" i="8" a="1"/>
  <c r="U16" i="8" s="1"/>
  <c r="U14" i="8" s="1" a="1"/>
  <c r="U14" i="8" s="1"/>
  <c r="AF16" i="8" a="1"/>
  <c r="AF16" i="8" s="1"/>
  <c r="AF14" i="8" s="1" a="1"/>
  <c r="AF14" i="8" s="1"/>
  <c r="K21" i="12"/>
  <c r="E16" i="8" a="1"/>
  <c r="E16" i="8" s="1"/>
  <c r="E38" i="8" s="1" a="1"/>
  <c r="E38" i="8" s="1"/>
  <c r="E33" i="8" s="1"/>
  <c r="K34" i="12"/>
  <c r="W16" i="8" a="1"/>
  <c r="W16" i="8" s="1"/>
  <c r="W14" i="8" s="1" a="1"/>
  <c r="W14" i="8" s="1"/>
  <c r="AA16" i="8" a="1"/>
  <c r="AA16" i="8" s="1"/>
  <c r="AA14" i="8" s="1" a="1"/>
  <c r="AA14" i="8" s="1"/>
  <c r="AC11" i="5"/>
  <c r="Y17" i="12"/>
  <c r="W17" i="12" s="1" a="1"/>
  <c r="W17" i="12" s="1"/>
  <c r="Y21" i="12"/>
  <c r="X21" i="12" s="1" a="1"/>
  <c r="X21" i="12" s="1"/>
  <c r="AD16" i="8" a="1"/>
  <c r="AD16" i="8" s="1"/>
  <c r="AD14" i="8" s="1" a="1"/>
  <c r="AD14" i="8" s="1"/>
  <c r="Y34" i="12"/>
  <c r="W30" i="12" a="1"/>
  <c r="W30" i="12" s="1"/>
  <c r="X30" i="12" a="1"/>
  <c r="X30" i="12" s="1"/>
  <c r="D17" i="12"/>
  <c r="E17" i="6"/>
  <c r="I17" i="8"/>
  <c r="A17" i="8" s="1"/>
  <c r="W24" i="12" a="1"/>
  <c r="W24" i="12" s="1"/>
  <c r="X24" i="12" a="1"/>
  <c r="X24" i="12" s="1"/>
  <c r="W22" i="12" a="1"/>
  <c r="W22" i="12" s="1"/>
  <c r="X22" i="12" a="1"/>
  <c r="X22" i="12" s="1"/>
  <c r="D29" i="12"/>
  <c r="E29" i="6"/>
  <c r="V36" i="12" a="1"/>
  <c r="V36" i="12" s="1"/>
  <c r="T36" i="12"/>
  <c r="U36" i="12"/>
  <c r="X20" i="12" a="1"/>
  <c r="X20" i="12" s="1"/>
  <c r="W20" i="12" a="1"/>
  <c r="W20" i="12" s="1"/>
  <c r="D14" i="13"/>
  <c r="L28" i="13"/>
  <c r="V14" i="13"/>
  <c r="V15" i="13" s="1"/>
  <c r="V16" i="13" s="1"/>
  <c r="V17" i="13" s="1"/>
  <c r="V18" i="13" s="1"/>
  <c r="V19" i="13" s="1"/>
  <c r="V20" i="13" s="1"/>
  <c r="V21" i="13" s="1"/>
  <c r="V22" i="13" s="1"/>
  <c r="V23" i="13" s="1"/>
  <c r="U38" i="12"/>
  <c r="T38" i="12"/>
  <c r="V38" i="12" a="1"/>
  <c r="V38" i="12" s="1"/>
  <c r="E34" i="6"/>
  <c r="D34" i="12"/>
  <c r="I23" i="8"/>
  <c r="O12" i="5" a="1"/>
  <c r="O12" i="5" s="1"/>
  <c r="D16" i="12"/>
  <c r="E14" i="6"/>
  <c r="I14" i="8"/>
  <c r="E16" i="6"/>
  <c r="AN14" i="13" a="1"/>
  <c r="AN14" i="13" s="1"/>
  <c r="U14" i="13" s="1"/>
  <c r="AD4" i="13" s="1"/>
  <c r="AO14" i="13"/>
  <c r="O14" i="13" s="1"/>
  <c r="N16" i="12"/>
  <c r="E21" i="6"/>
  <c r="I20" i="8"/>
  <c r="D21" i="12"/>
  <c r="AA7" i="11"/>
  <c r="O25" i="11"/>
  <c r="X25" i="12" a="1"/>
  <c r="X25" i="12" s="1"/>
  <c r="W25" i="12" a="1"/>
  <c r="W25" i="12" s="1"/>
  <c r="X26" i="12" a="1"/>
  <c r="X26" i="12" s="1"/>
  <c r="W26" i="12" a="1"/>
  <c r="W26" i="12" s="1"/>
  <c r="AC7" i="5"/>
  <c r="AK14" i="13" a="1"/>
  <c r="AK14" i="13" s="1"/>
  <c r="S14" i="13" s="1"/>
  <c r="M27" i="13" s="1"/>
  <c r="AL14" i="13"/>
  <c r="M14" i="13" s="1"/>
  <c r="M28" i="13" s="1"/>
  <c r="AB24" i="11"/>
  <c r="AB7" i="11" s="1"/>
  <c r="N14" i="11"/>
  <c r="N24" i="11" s="1"/>
  <c r="V37" i="12" a="1"/>
  <c r="V37" i="12" s="1"/>
  <c r="U37" i="12"/>
  <c r="T37" i="12"/>
  <c r="X27" i="12" a="1"/>
  <c r="X27" i="12" s="1"/>
  <c r="W27" i="12" a="1"/>
  <c r="W27" i="12" s="1"/>
  <c r="Y16" i="12"/>
  <c r="X35" i="12" a="1"/>
  <c r="X35" i="12" s="1"/>
  <c r="W35" i="12" a="1"/>
  <c r="W35" i="12" s="1"/>
  <c r="K17" i="12"/>
  <c r="E41" i="6"/>
  <c r="D41" i="12"/>
  <c r="X23" i="12" a="1"/>
  <c r="X23" i="12" s="1"/>
  <c r="W23" i="12" a="1"/>
  <c r="W23" i="12" s="1"/>
  <c r="W18" i="12" a="1"/>
  <c r="W18" i="12" s="1"/>
  <c r="X18" i="12" a="1"/>
  <c r="X18" i="12" s="1"/>
  <c r="W19" i="12" a="1"/>
  <c r="W19" i="12" s="1"/>
  <c r="X19" i="12" a="1"/>
  <c r="X19" i="12" s="1"/>
  <c r="E42" i="6"/>
  <c r="D42" i="12"/>
  <c r="U31" i="12"/>
  <c r="V31" i="12" a="1"/>
  <c r="V31" i="12" s="1"/>
  <c r="T31" i="12"/>
  <c r="W39" i="12" a="1"/>
  <c r="W39" i="12" s="1"/>
  <c r="X39" i="12" a="1"/>
  <c r="X39" i="12" s="1"/>
  <c r="N17" i="12"/>
  <c r="I44" i="5" l="1"/>
  <c r="O44" i="5" s="1"/>
  <c r="O43" i="5"/>
  <c r="O31" i="5"/>
  <c r="I32" i="5"/>
  <c r="E14" i="8" a="1"/>
  <c r="E14" i="8" s="1"/>
  <c r="U39" i="8"/>
  <c r="U38" i="8" a="1"/>
  <c r="U38" i="8" s="1"/>
  <c r="U33" i="8" s="1"/>
  <c r="W21" i="12" a="1"/>
  <c r="W21" i="12" s="1"/>
  <c r="V21" i="12" s="1" a="1"/>
  <c r="V21" i="12" s="1"/>
  <c r="E39" i="8"/>
  <c r="E34" i="8" s="1"/>
  <c r="E30" i="8" s="1"/>
  <c r="Z3" i="11"/>
  <c r="AA3" i="11" s="1" a="1"/>
  <c r="AA3" i="11" s="1"/>
  <c r="E30" i="6"/>
  <c r="D30" i="12"/>
  <c r="X17" i="12" a="1"/>
  <c r="X17" i="12" s="1"/>
  <c r="U35" i="8"/>
  <c r="H70" i="9" s="1"/>
  <c r="H71" i="9"/>
  <c r="U34" i="8"/>
  <c r="U22" i="12"/>
  <c r="T22" i="12"/>
  <c r="V22" i="12" a="1"/>
  <c r="V22" i="12" s="1"/>
  <c r="V39" i="8"/>
  <c r="V25" i="12" a="1"/>
  <c r="V25" i="12" s="1"/>
  <c r="U25" i="12"/>
  <c r="T25" i="12"/>
  <c r="L24" i="13"/>
  <c r="D33" i="14"/>
  <c r="T26" i="12"/>
  <c r="U26" i="12"/>
  <c r="V26" i="12" a="1"/>
  <c r="V26" i="12" s="1"/>
  <c r="V35" i="12" a="1"/>
  <c r="V35" i="12" s="1"/>
  <c r="T35" i="12"/>
  <c r="U35" i="12"/>
  <c r="U39" i="12"/>
  <c r="V39" i="12" a="1"/>
  <c r="V39" i="12" s="1"/>
  <c r="T39" i="12"/>
  <c r="W16" i="12" a="1"/>
  <c r="W16" i="12" s="1"/>
  <c r="X16" i="12" a="1"/>
  <c r="X16" i="12" s="1"/>
  <c r="T30" i="12"/>
  <c r="U30" i="12"/>
  <c r="V30" i="12" a="1"/>
  <c r="V30" i="12" s="1"/>
  <c r="V19" i="12" a="1"/>
  <c r="V19" i="12" s="1"/>
  <c r="U19" i="12"/>
  <c r="T19" i="12"/>
  <c r="V27" i="12" a="1"/>
  <c r="V27" i="12" s="1"/>
  <c r="T27" i="12"/>
  <c r="U27" i="12"/>
  <c r="U20" i="12"/>
  <c r="T20" i="12"/>
  <c r="V20" i="12" a="1"/>
  <c r="V20" i="12" s="1"/>
  <c r="U18" i="12"/>
  <c r="V18" i="12" a="1"/>
  <c r="V18" i="12" s="1"/>
  <c r="T18" i="12"/>
  <c r="L27" i="13"/>
  <c r="D32" i="14" s="1"/>
  <c r="N25" i="11"/>
  <c r="O29" i="13"/>
  <c r="M24" i="13"/>
  <c r="T17" i="12"/>
  <c r="V17" i="12" a="1"/>
  <c r="V17" i="12" s="1"/>
  <c r="U17" i="12"/>
  <c r="U24" i="12"/>
  <c r="T24" i="12"/>
  <c r="V24" i="12" a="1"/>
  <c r="V24" i="12" s="1"/>
  <c r="W34" i="12" a="1"/>
  <c r="W34" i="12" s="1"/>
  <c r="X34" i="12" a="1"/>
  <c r="X34" i="12" s="1"/>
  <c r="U23" i="12"/>
  <c r="V23" i="12" a="1"/>
  <c r="V23" i="12" s="1"/>
  <c r="T23" i="12"/>
  <c r="N14" i="13"/>
  <c r="O28" i="13"/>
  <c r="P14" i="13"/>
  <c r="D43" i="12" l="1"/>
  <c r="E43" i="6"/>
  <c r="AA33" i="5" a="1"/>
  <c r="AA33" i="5" s="1"/>
  <c r="AA43" i="5" a="1"/>
  <c r="AA43" i="5" s="1"/>
  <c r="AA44" i="5" a="1"/>
  <c r="AA44" i="5" s="1"/>
  <c r="D44" i="12"/>
  <c r="E44" i="6"/>
  <c r="AD21" i="11"/>
  <c r="AA32" i="5" a="1"/>
  <c r="AA32" i="5" s="1"/>
  <c r="I33" i="5"/>
  <c r="O33" i="5" s="1"/>
  <c r="O32" i="5"/>
  <c r="V38" i="8" a="1"/>
  <c r="V38" i="8" s="1"/>
  <c r="W38" i="8" s="1" a="1"/>
  <c r="W38" i="8" s="1"/>
  <c r="E35" i="8"/>
  <c r="D31" i="12"/>
  <c r="E31" i="6"/>
  <c r="T21" i="12"/>
  <c r="U21" i="12"/>
  <c r="AD22" i="11"/>
  <c r="AD17" i="11"/>
  <c r="AD15" i="11"/>
  <c r="AA42" i="5" a="1"/>
  <c r="AA42" i="5" s="1"/>
  <c r="AD23" i="11"/>
  <c r="AE23" i="11" s="1"/>
  <c r="M23" i="11" s="1"/>
  <c r="L23" i="11" s="1"/>
  <c r="AD12" i="11"/>
  <c r="AD14" i="11"/>
  <c r="AA29" i="5" a="1"/>
  <c r="AA29" i="5" s="1"/>
  <c r="AD19" i="11"/>
  <c r="AD16" i="11"/>
  <c r="AA40" i="5" a="1"/>
  <c r="AA40" i="5" s="1"/>
  <c r="AA41" i="5" a="1"/>
  <c r="AA41" i="5" s="1"/>
  <c r="AA28" i="5" a="1"/>
  <c r="AA28" i="5" s="1"/>
  <c r="AD20" i="11"/>
  <c r="AD18" i="11"/>
  <c r="AA47" i="5" a="1"/>
  <c r="AA47" i="5" s="1"/>
  <c r="AA46" i="5" a="1"/>
  <c r="AA46" i="5" s="1"/>
  <c r="AA45" i="5" s="1" a="1"/>
  <c r="AA45" i="5" s="1"/>
  <c r="C26" i="8" s="1"/>
  <c r="AA20" i="5" a="1"/>
  <c r="AA20" i="5" s="1"/>
  <c r="AA30" i="5" a="1"/>
  <c r="AA30" i="5" s="1"/>
  <c r="AA27" i="5" a="1"/>
  <c r="AA27" i="5" s="1"/>
  <c r="AA22" i="5" a="1"/>
  <c r="AA22" i="5" s="1"/>
  <c r="AA25" i="5" a="1"/>
  <c r="AA25" i="5" s="1"/>
  <c r="AA24" i="5" a="1"/>
  <c r="AA24" i="5" s="1"/>
  <c r="AA23" i="5" a="1"/>
  <c r="AA23" i="5" s="1"/>
  <c r="AA35" i="5" a="1"/>
  <c r="AA35" i="5" s="1"/>
  <c r="AA31" i="5" a="1"/>
  <c r="AA31" i="5" s="1"/>
  <c r="AA38" i="5" a="1"/>
  <c r="AA38" i="5" s="1"/>
  <c r="AA37" i="5" a="1"/>
  <c r="AA37" i="5" s="1"/>
  <c r="AA39" i="5" a="1"/>
  <c r="AA39" i="5" s="1"/>
  <c r="AA36" i="5" a="1"/>
  <c r="AA36" i="5" s="1"/>
  <c r="AA18" i="5" a="1"/>
  <c r="AA18" i="5" s="1"/>
  <c r="AA26" i="5" a="1"/>
  <c r="AA26" i="5" s="1"/>
  <c r="AA19" i="5" a="1"/>
  <c r="AA19" i="5" s="1"/>
  <c r="V34" i="8"/>
  <c r="V35" i="8"/>
  <c r="J70" i="9" s="1"/>
  <c r="J71" i="9"/>
  <c r="W39" i="8"/>
  <c r="H69" i="9"/>
  <c r="U30" i="8"/>
  <c r="H68" i="9" s="1"/>
  <c r="T34" i="12"/>
  <c r="V34" i="12" a="1"/>
  <c r="V34" i="12" s="1"/>
  <c r="U34" i="12"/>
  <c r="U16" i="12"/>
  <c r="T16" i="12"/>
  <c r="V16" i="12" a="1"/>
  <c r="V16" i="12" s="1"/>
  <c r="D54" i="2" a="1"/>
  <c r="D54" i="2" s="1"/>
  <c r="D52" i="2" a="1"/>
  <c r="D52" i="2" s="1"/>
  <c r="F33" i="14"/>
  <c r="D48" i="2" a="1"/>
  <c r="D48" i="2" s="1"/>
  <c r="D47" i="2" a="1"/>
  <c r="D47" i="2" s="1"/>
  <c r="AD27" i="13"/>
  <c r="O24" i="13"/>
  <c r="AC27" i="13"/>
  <c r="P24" i="13"/>
  <c r="AD6" i="13"/>
  <c r="AE6" i="13" s="1"/>
  <c r="N28" i="13"/>
  <c r="D53" i="2" a="1"/>
  <c r="D53" i="2" s="1"/>
  <c r="D51" i="2" a="1"/>
  <c r="D51" i="2" s="1"/>
  <c r="AE21" i="11" l="1"/>
  <c r="M21" i="11" s="1"/>
  <c r="L21" i="11" s="1"/>
  <c r="D33" i="12"/>
  <c r="E33" i="6"/>
  <c r="D32" i="12"/>
  <c r="E32" i="6"/>
  <c r="AE19" i="11"/>
  <c r="M19" i="11" s="1"/>
  <c r="L19" i="11" s="1"/>
  <c r="V33" i="8"/>
  <c r="AE14" i="11"/>
  <c r="AE22" i="11"/>
  <c r="M22" i="11" s="1"/>
  <c r="L22" i="11" s="1"/>
  <c r="AE12" i="11"/>
  <c r="M12" i="11" s="1"/>
  <c r="L12" i="11" s="1"/>
  <c r="AE20" i="11"/>
  <c r="M20" i="11" s="1"/>
  <c r="L20" i="11" s="1"/>
  <c r="AE18" i="11"/>
  <c r="M18" i="11" s="1"/>
  <c r="L18" i="11" s="1"/>
  <c r="AA21" i="5" a="1"/>
  <c r="AA21" i="5" s="1"/>
  <c r="C20" i="8" s="1"/>
  <c r="AE17" i="11"/>
  <c r="M17" i="11" s="1"/>
  <c r="L17" i="11" s="1"/>
  <c r="AA34" i="5" a="1"/>
  <c r="AA34" i="5" s="1"/>
  <c r="C23" i="8" s="1"/>
  <c r="AA17" i="5" a="1"/>
  <c r="AA17" i="5" s="1"/>
  <c r="C17" i="8" s="1"/>
  <c r="AE15" i="11"/>
  <c r="M15" i="11" s="1"/>
  <c r="L15" i="11" s="1"/>
  <c r="AE16" i="11"/>
  <c r="M16" i="11" s="1"/>
  <c r="L16" i="11" s="1"/>
  <c r="AA15" i="5"/>
  <c r="D46" i="2"/>
  <c r="AA16" i="5" a="1"/>
  <c r="AA16" i="5" s="1"/>
  <c r="AA14" i="11" s="1" a="1"/>
  <c r="AA14" i="11" s="1"/>
  <c r="W33" i="8"/>
  <c r="X38" i="8" a="1"/>
  <c r="X38" i="8" s="1"/>
  <c r="E34" i="14"/>
  <c r="N24" i="13"/>
  <c r="E33" i="14"/>
  <c r="W34" i="8"/>
  <c r="W35" i="8"/>
  <c r="L70" i="9" s="1"/>
  <c r="L71" i="9"/>
  <c r="X39" i="8"/>
  <c r="AE4" i="13"/>
  <c r="O27" i="13" s="1"/>
  <c r="V30" i="8"/>
  <c r="J68" i="9" s="1"/>
  <c r="J69" i="9"/>
  <c r="G10" i="13"/>
  <c r="F34" i="14"/>
  <c r="D50" i="2"/>
  <c r="U37" i="8" l="1" a="1"/>
  <c r="U37" i="8" s="1"/>
  <c r="V37" i="8" s="1" a="1"/>
  <c r="V37" i="8" s="1"/>
  <c r="E37" i="8" a="1"/>
  <c r="E37" i="8" s="1"/>
  <c r="AM14" i="13" a="1"/>
  <c r="AM14" i="13" s="1"/>
  <c r="T14" i="13" s="1"/>
  <c r="AD3" i="13" s="1"/>
  <c r="AD2" i="13" s="1"/>
  <c r="AJ14" i="13" a="1"/>
  <c r="AJ14" i="13" s="1"/>
  <c r="R14" i="13" s="1"/>
  <c r="M26" i="13" s="1"/>
  <c r="M25" i="13" s="1"/>
  <c r="X34" i="8"/>
  <c r="N71" i="9"/>
  <c r="X35" i="8"/>
  <c r="N70" i="9" s="1"/>
  <c r="Y39" i="8"/>
  <c r="L69" i="9"/>
  <c r="W30" i="8"/>
  <c r="L68" i="9" s="1"/>
  <c r="F32" i="14"/>
  <c r="N27" i="13"/>
  <c r="E32" i="14" s="1"/>
  <c r="M14" i="11"/>
  <c r="Z14" i="11"/>
  <c r="Z24" i="11" s="1"/>
  <c r="AA24" i="11"/>
  <c r="E32" i="8"/>
  <c r="E36" i="8"/>
  <c r="E31" i="8" s="1"/>
  <c r="X33" i="8"/>
  <c r="Y38" i="8" a="1"/>
  <c r="Y38" i="8" s="1"/>
  <c r="J58" i="12"/>
  <c r="S77" i="10"/>
  <c r="U36" i="8" l="1"/>
  <c r="U31" i="8" s="1"/>
  <c r="U32" i="8"/>
  <c r="L14" i="11"/>
  <c r="L24" i="11" s="1"/>
  <c r="M24" i="11"/>
  <c r="AE3" i="13"/>
  <c r="Y35" i="8"/>
  <c r="P70" i="9" s="1"/>
  <c r="P71" i="9"/>
  <c r="Z39" i="8"/>
  <c r="Y34" i="8"/>
  <c r="X30" i="8"/>
  <c r="N68" i="9" s="1"/>
  <c r="N69" i="9"/>
  <c r="Z38" i="8" a="1"/>
  <c r="Z38" i="8" s="1"/>
  <c r="Y33" i="8"/>
  <c r="W37" i="8" a="1"/>
  <c r="W37" i="8" s="1"/>
  <c r="V32" i="8"/>
  <c r="V36" i="8"/>
  <c r="V31" i="8" s="1"/>
  <c r="Z35" i="8" l="1"/>
  <c r="R70" i="9" s="1"/>
  <c r="Z34" i="8"/>
  <c r="R71" i="9"/>
  <c r="AA39" i="8"/>
  <c r="O26" i="13"/>
  <c r="AE2" i="13"/>
  <c r="Z33" i="8"/>
  <c r="AA38" i="8" a="1"/>
  <c r="AA38" i="8" s="1"/>
  <c r="L26" i="13"/>
  <c r="M25" i="11"/>
  <c r="M10" i="11"/>
  <c r="N10" i="13" s="1"/>
  <c r="X37" i="8" a="1"/>
  <c r="X37" i="8" s="1"/>
  <c r="W32" i="8"/>
  <c r="W36" i="8"/>
  <c r="W31" i="8" s="1"/>
  <c r="Y30" i="8"/>
  <c r="P68" i="9" s="1"/>
  <c r="P69" i="9"/>
  <c r="L10" i="11"/>
  <c r="M10" i="13" s="1"/>
  <c r="L25" i="11"/>
  <c r="L25" i="13"/>
  <c r="D30" i="14" s="1"/>
  <c r="Y37" i="8" l="1" a="1"/>
  <c r="Y37" i="8" s="1"/>
  <c r="X32" i="8"/>
  <c r="X36" i="8"/>
  <c r="X31" i="8" s="1"/>
  <c r="AA34" i="8"/>
  <c r="AA35" i="8"/>
  <c r="T70" i="9" s="1"/>
  <c r="T71" i="9"/>
  <c r="AB39" i="8"/>
  <c r="AA33" i="8"/>
  <c r="AB38" i="8" a="1"/>
  <c r="AB38" i="8" s="1"/>
  <c r="N26" i="13"/>
  <c r="E31" i="14" s="1"/>
  <c r="F31" i="14"/>
  <c r="O25" i="13"/>
  <c r="D31" i="14"/>
  <c r="AD26" i="13"/>
  <c r="AC26" i="13"/>
  <c r="Z30" i="8"/>
  <c r="R68" i="9" s="1"/>
  <c r="R69" i="9"/>
  <c r="F30" i="14" l="1"/>
  <c r="N25" i="13"/>
  <c r="E30" i="14" s="1"/>
  <c r="AC38" i="8" a="1"/>
  <c r="AC38" i="8" s="1"/>
  <c r="AB33" i="8"/>
  <c r="AA30" i="8"/>
  <c r="T68" i="9" s="1"/>
  <c r="T69" i="9"/>
  <c r="AB34" i="8"/>
  <c r="AC39" i="8"/>
  <c r="AB35" i="8"/>
  <c r="V70" i="9" s="1"/>
  <c r="V71" i="9"/>
  <c r="Z37" i="8" a="1"/>
  <c r="Z37" i="8" s="1"/>
  <c r="Y32" i="8"/>
  <c r="Y36" i="8"/>
  <c r="Y31" i="8" s="1"/>
  <c r="F11" i="8" a="1"/>
  <c r="F11" i="8" s="1"/>
  <c r="Z32" i="8" l="1"/>
  <c r="AA37" i="8" a="1"/>
  <c r="AA37" i="8" s="1"/>
  <c r="Z36" i="8"/>
  <c r="Z31" i="8" s="1"/>
  <c r="V69" i="9"/>
  <c r="AB30" i="8"/>
  <c r="V68" i="9" s="1"/>
  <c r="AD38" i="8" a="1"/>
  <c r="AD38" i="8" s="1"/>
  <c r="AC33" i="8"/>
  <c r="AD39" i="8"/>
  <c r="X71" i="9"/>
  <c r="AC34" i="8"/>
  <c r="AC35" i="8"/>
  <c r="X70" i="9" s="1"/>
  <c r="Z71" i="9" l="1"/>
  <c r="AD35" i="8"/>
  <c r="Z70" i="9" s="1"/>
  <c r="AE39" i="8"/>
  <c r="AD34" i="8"/>
  <c r="X69" i="9"/>
  <c r="AC30" i="8"/>
  <c r="X68" i="9" s="1"/>
  <c r="AD33" i="8"/>
  <c r="AE38" i="8" a="1"/>
  <c r="AE38" i="8" s="1"/>
  <c r="AA32" i="8"/>
  <c r="AB37" i="8" a="1"/>
  <c r="AB37" i="8" s="1"/>
  <c r="AA36" i="8"/>
  <c r="AA31" i="8" s="1"/>
  <c r="AB32" i="8" l="1"/>
  <c r="AC37" i="8" a="1"/>
  <c r="AC37" i="8" s="1"/>
  <c r="AB36" i="8"/>
  <c r="AB31" i="8" s="1"/>
  <c r="AD30" i="8"/>
  <c r="Z68" i="9" s="1"/>
  <c r="Z69" i="9"/>
  <c r="AE33" i="8"/>
  <c r="AF38" i="8" a="1"/>
  <c r="AF38" i="8" s="1"/>
  <c r="AF33" i="8" s="1"/>
  <c r="AE34" i="8"/>
  <c r="AB71" i="9"/>
  <c r="AE35" i="8"/>
  <c r="AB70" i="9" s="1"/>
  <c r="AF39" i="8"/>
  <c r="K10" i="8" l="1" a="1"/>
  <c r="K10" i="8" s="1"/>
  <c r="AF34" i="8"/>
  <c r="AF35" i="8"/>
  <c r="AD70" i="9" s="1"/>
  <c r="AD71" i="9"/>
  <c r="AB69" i="9"/>
  <c r="AE30" i="8"/>
  <c r="AB68" i="9" s="1"/>
  <c r="AC32" i="8"/>
  <c r="AD37" i="8" a="1"/>
  <c r="AD37" i="8" s="1"/>
  <c r="AC36" i="8"/>
  <c r="AC31" i="8" s="1"/>
  <c r="AD32" i="8" l="1"/>
  <c r="AE37" i="8" a="1"/>
  <c r="AE37" i="8" s="1"/>
  <c r="AD36" i="8"/>
  <c r="AD31" i="8" s="1"/>
  <c r="AF30" i="8"/>
  <c r="AD68" i="9" s="1"/>
  <c r="AD69" i="9"/>
  <c r="AF37" i="8" l="1" a="1"/>
  <c r="AF37" i="8" s="1"/>
  <c r="AE32" i="8"/>
  <c r="AE36" i="8"/>
  <c r="AE31" i="8" s="1"/>
  <c r="AF32" i="8" l="1"/>
  <c r="AF36" i="8"/>
  <c r="AF3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<sst xmlns="http://schemas.openxmlformats.org/spreadsheetml/2006/main" count="1931" uniqueCount="1049">
  <si>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</si>
  <si>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</si>
  <si>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</si>
  <si>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</si>
  <si>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</si>
  <si>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</si>
  <si>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</si>
  <si>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</si>
  <si>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</si>
  <si>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</si>
  <si>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</si>
  <si>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</si>
  <si>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</si>
  <si>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</si>
  <si>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</si>
  <si>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</si>
  <si>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</si>
  <si>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</si>
  <si>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</si>
  <si>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</si>
  <si>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</si>
  <si>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</si>
  <si>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</si>
  <si>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</si>
  <si>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</si>
  <si>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</si>
  <si>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</si>
  <si>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</si>
  <si>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</si>
  <si>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</si>
  <si>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</si>
  <si>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</si>
  <si>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</si>
  <si>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</si>
  <si>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</si>
  <si>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</si>
  <si>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</si>
  <si>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</si>
  <si>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</si>
  <si>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</si>
  <si>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</si>
  <si>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</si>
  <si>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</si>
  <si>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</si>
  <si>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</si>
  <si>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</si>
  <si>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</si>
  <si>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</si>
  <si>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</si>
  <si>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</si>
  <si>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</si>
  <si>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</si>
  <si>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</si>
  <si>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</si>
  <si>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</si>
  <si>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</si>
  <si>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</si>
  <si>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</si>
  <si>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</si>
  <si>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</si>
  <si>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</si>
  <si>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</si>
  <si>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</si>
  <si>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</si>
  <si>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</si>
  <si>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</si>
  <si>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</si>
  <si>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</si>
  <si>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</si>
  <si>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</si>
  <si>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</si>
  <si>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</si>
  <si>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</si>
  <si>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</si>
  <si>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</si>
  <si>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</si>
  <si>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</si>
  <si>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</si>
  <si>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</si>
  <si>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</si>
  <si>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</si>
  <si>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</si>
  <si>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</si>
  <si>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</si>
  <si>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</si>
  <si>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</si>
  <si>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</si>
  <si>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</si>
  <si>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</si>
  <si>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</si>
  <si>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</si>
  <si>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</si>
  <si>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</si>
  <si>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</si>
  <si>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</si>
  <si>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</si>
  <si>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</si>
  <si>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</si>
  <si>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</si>
  <si>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</si>
  <si>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</si>
  <si>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</si>
  <si>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</si>
  <si>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</si>
  <si>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</si>
  <si>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</si>
  <si>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</si>
  <si>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</si>
  <si>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</si>
  <si>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</si>
  <si>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</si>
  <si>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</si>
  <si>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</si>
  <si>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</si>
  <si>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</si>
  <si>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</si>
  <si>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</si>
  <si>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</si>
  <si>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</si>
  <si>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</si>
  <si>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</si>
  <si>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</si>
  <si>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</si>
  <si>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</si>
  <si>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</si>
  <si>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</si>
  <si>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</si>
  <si>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</si>
  <si>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</si>
  <si>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</si>
  <si>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</si>
  <si>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</si>
  <si>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</si>
  <si>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</si>
  <si>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</si>
  <si>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</si>
  <si>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</si>
  <si>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</si>
  <si>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</si>
  <si>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</si>
  <si>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</si>
  <si>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</si>
  <si>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</si>
  <si>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</si>
  <si>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</si>
  <si>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</si>
  <si>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</si>
  <si>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</si>
  <si>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</si>
  <si>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</si>
  <si>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</si>
  <si>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</si>
  <si>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</si>
  <si>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</si>
  <si>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</si>
  <si>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</si>
  <si>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</si>
  <si>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</si>
  <si>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</si>
  <si>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</si>
  <si>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</si>
  <si>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</si>
  <si>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</si>
  <si>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</si>
  <si>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</si>
  <si>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</si>
  <si>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</si>
  <si>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</si>
  <si>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</si>
  <si>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</si>
  <si>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</si>
  <si>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</si>
  <si>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</si>
  <si>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</si>
  <si>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</si>
  <si>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</si>
  <si>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</si>
  <si>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</si>
  <si>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</si>
  <si>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</si>
  <si>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</si>
  <si>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</si>
  <si>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</si>
  <si>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</si>
  <si>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</si>
  <si>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</si>
  <si>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</si>
  <si>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</si>
  <si>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</si>
  <si>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</si>
  <si>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</si>
  <si>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</si>
  <si>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</si>
  <si>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</si>
  <si>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</si>
  <si>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</si>
  <si>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</si>
  <si>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</si>
  <si>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</si>
  <si>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</si>
  <si>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</si>
  <si>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</si>
  <si>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</si>
  <si>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</si>
  <si>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</si>
  <si>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</si>
  <si>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</si>
  <si>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</si>
  <si>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</si>
  <si>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</si>
  <si>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</si>
  <si>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</si>
  <si>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</si>
  <si>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</si>
  <si>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</si>
  <si>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</si>
  <si>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</si>
  <si>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</si>
  <si>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</si>
  <si>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</si>
  <si>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</si>
  <si>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</si>
  <si>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</si>
  <si>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</si>
  <si>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</si>
  <si>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</si>
  <si>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</si>
  <si>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</si>
  <si>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</si>
  <si>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</si>
  <si>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</si>
  <si>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</si>
  <si>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</si>
  <si>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</si>
  <si>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</si>
  <si>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</si>
  <si>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</si>
  <si>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</si>
  <si>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</si>
  <si>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</si>
  <si>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</si>
  <si>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</si>
  <si>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</si>
  <si>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</si>
  <si>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</si>
  <si>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</si>
  <si>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</si>
  <si>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</si>
  <si>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</si>
  <si>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</si>
  <si>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</si>
  <si>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</si>
  <si>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</si>
  <si>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</si>
  <si>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</si>
  <si>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</si>
  <si>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</si>
  <si>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</si>
  <si>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</si>
  <si>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</si>
  <si>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</si>
  <si>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</si>
  <si>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</si>
  <si>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</si>
  <si>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</si>
  <si>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</si>
  <si>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</si>
  <si>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</si>
  <si>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</si>
  <si>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</si>
  <si>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</si>
  <si>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</si>
  <si>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</si>
  <si>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</si>
  <si>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</si>
  <si>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</si>
  <si>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</si>
  <si>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</si>
  <si>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</si>
  <si>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</si>
  <si>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</si>
  <si>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</si>
  <si>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</si>
  <si>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</si>
  <si>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</si>
  <si>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</si>
  <si>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</si>
  <si>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</si>
  <si>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</si>
  <si>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</si>
  <si>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</si>
  <si>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</si>
  <si>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</si>
  <si>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</si>
  <si>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</si>
  <si>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</si>
  <si>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</si>
  <si>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</si>
  <si>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</si>
  <si>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</si>
  <si>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</si>
  <si>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</si>
  <si>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</si>
  <si>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</si>
  <si>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</si>
  <si>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</si>
  <si>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</si>
  <si>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</si>
  <si>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</si>
  <si>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</si>
  <si>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</si>
  <si>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</si>
  <si>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</si>
  <si>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</si>
  <si>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</si>
  <si>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</si>
  <si>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</si>
  <si>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</si>
  <si>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</si>
  <si>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</si>
  <si>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</si>
  <si>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</si>
  <si>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</si>
  <si>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</si>
  <si>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</si>
  <si>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</si>
  <si>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</si>
  <si>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</si>
  <si>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</si>
  <si>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</si>
  <si>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</si>
  <si>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</si>
  <si>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</si>
  <si>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</si>
  <si>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</si>
  <si>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</si>
  <si>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</si>
  <si>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</si>
  <si>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</si>
  <si>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</si>
  <si>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</si>
  <si>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</si>
  <si>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</si>
  <si>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</si>
  <si>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</si>
  <si>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</si>
  <si>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</si>
  <si>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</si>
  <si>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</si>
  <si>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</si>
  <si>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</si>
  <si>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</si>
  <si>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</si>
  <si>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</si>
  <si>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</si>
  <si>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</si>
  <si>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</si>
  <si>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</si>
  <si>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</si>
  <si>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</si>
  <si>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</si>
  <si>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</si>
  <si>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</si>
  <si>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</si>
  <si>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</si>
  <si>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</si>
  <si>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</si>
  <si>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</si>
  <si>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</si>
  <si>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</si>
  <si>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</si>
  <si>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</si>
  <si>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</si>
  <si>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</si>
  <si>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</si>
  <si>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</si>
  <si>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</si>
  <si>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</si>
  <si>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</si>
  <si>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</si>
  <si>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</si>
  <si>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</si>
  <si>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</si>
  <si>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</si>
  <si>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</si>
  <si>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</si>
  <si>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</si>
  <si>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</si>
  <si>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</si>
  <si>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</si>
  <si>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</si>
  <si>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</si>
  <si>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</si>
  <si>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</si>
  <si>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</si>
  <si>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</si>
  <si>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</si>
  <si>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</si>
  <si>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</si>
  <si>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</si>
  <si>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</si>
  <si>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</si>
  <si>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</si>
  <si>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</si>
  <si>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</si>
  <si>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</si>
  <si>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</si>
  <si>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</si>
  <si>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</si>
  <si>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</si>
  <si>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</si>
  <si>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</si>
  <si>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</si>
  <si>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</si>
  <si>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</si>
  <si>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</si>
  <si>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</si>
  <si>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</si>
  <si>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</si>
  <si>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</si>
  <si>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</si>
  <si>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</si>
  <si>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</si>
  <si>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</si>
  <si>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</si>
  <si>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</si>
  <si>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</si>
  <si>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</si>
  <si>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</si>
  <si>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</si>
  <si>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</si>
  <si>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</si>
  <si>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</si>
  <si>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</si>
  <si>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</si>
  <si>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</si>
  <si>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</si>
  <si>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</si>
  <si>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</si>
  <si>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</si>
  <si>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</si>
  <si>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</si>
  <si>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</si>
  <si>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</si>
  <si>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</si>
  <si>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</si>
  <si>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</si>
  <si>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</si>
  <si>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</si>
  <si>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</si>
  <si>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</si>
  <si>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</si>
  <si>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</si>
  <si>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</si>
  <si>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</si>
  <si>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</si>
  <si>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</si>
  <si>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</si>
  <si>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</si>
  <si>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</si>
  <si>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</si>
  <si>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</si>
  <si>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</si>
  <si>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</si>
  <si>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</si>
  <si>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</si>
  <si>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</si>
  <si>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</si>
  <si>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</si>
  <si>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</si>
  <si>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</si>
  <si>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</si>
  <si>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</si>
  <si>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</si>
  <si>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</si>
  <si>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</si>
  <si>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</si>
  <si>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</si>
  <si>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</si>
  <si>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</si>
  <si>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</si>
  <si>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</si>
  <si>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</si>
  <si>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</si>
  <si>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</si>
  <si>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</si>
  <si>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</si>
  <si>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</si>
  <si>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</si>
  <si>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</si>
  <si>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</si>
  <si>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</si>
  <si>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</si>
  <si>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</si>
  <si>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</si>
  <si>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</si>
  <si>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</si>
  <si>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</si>
  <si>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</si>
  <si>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</si>
  <si>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</si>
  <si>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</si>
  <si>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</si>
  <si>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</si>
  <si>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</si>
  <si>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</si>
  <si>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</si>
  <si>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</si>
  <si>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</si>
  <si>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</si>
  <si>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</si>
  <si>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</si>
  <si>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</si>
  <si>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</si>
  <si>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</si>
  <si>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</si>
  <si>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</si>
  <si>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</si>
  <si>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</si>
  <si>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</si>
  <si>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</si>
  <si>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</si>
  <si>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</si>
  <si>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</si>
  <si>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</si>
  <si>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</si>
  <si>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</si>
  <si>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</si>
  <si>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</si>
  <si>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</si>
  <si>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</si>
  <si>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</si>
  <si>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</si>
  <si>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</si>
  <si>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</si>
  <si>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</si>
  <si>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</si>
  <si>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</si>
  <si>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</si>
  <si>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</si>
  <si>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</si>
  <si>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</si>
  <si>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</si>
  <si>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</si>
  <si>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</si>
  <si>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</si>
  <si>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</si>
  <si>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</si>
  <si>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</si>
  <si>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</si>
  <si>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</si>
  <si>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</si>
  <si>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</si>
  <si>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</si>
  <si>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</si>
  <si>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</si>
  <si>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</si>
  <si>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</si>
  <si>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</si>
  <si>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</si>
  <si>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</si>
  <si>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</si>
  <si>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</si>
  <si>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</si>
  <si>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</si>
  <si>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</si>
  <si>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</si>
  <si>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</si>
  <si>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</si>
  <si>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</si>
  <si>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</si>
  <si>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</si>
  <si>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</si>
  <si>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</si>
  <si>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</si>
  <si>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</si>
  <si>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</si>
  <si>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</si>
  <si>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</si>
  <si>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</si>
  <si>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</si>
  <si>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</si>
  <si>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</si>
  <si>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</si>
  <si>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</si>
  <si>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</si>
  <si>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</si>
  <si>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</si>
  <si>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</si>
  <si>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</si>
  <si>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</si>
  <si>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</si>
  <si>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</si>
  <si>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</si>
  <si>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</si>
  <si>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</si>
  <si>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</si>
  <si>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</si>
  <si>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</si>
  <si>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</si>
  <si>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</si>
  <si>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</si>
  <si>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</si>
  <si>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</si>
  <si>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</si>
  <si>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</si>
  <si>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</si>
  <si>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</si>
  <si>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</si>
  <si>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</si>
  <si>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</si>
  <si>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</si>
  <si>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</si>
  <si>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</si>
  <si>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</si>
  <si>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</si>
  <si>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</si>
  <si>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</si>
  <si>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</si>
  <si>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</si>
  <si>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</si>
  <si>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</si>
  <si>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</si>
  <si>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</si>
  <si>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</si>
  <si>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</si>
  <si>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</si>
  <si>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</si>
  <si>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</si>
  <si>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</si>
  <si>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</si>
  <si>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</si>
  <si>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</si>
  <si>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</si>
  <si>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</si>
  <si>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</si>
  <si>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</si>
  <si>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</si>
  <si>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</si>
  <si>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</si>
  <si>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</si>
  <si>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</si>
  <si>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</si>
  <si>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</si>
  <si>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</si>
  <si>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</si>
  <si>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</si>
  <si>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</si>
  <si>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</si>
  <si>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</si>
  <si>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</si>
  <si>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</si>
  <si>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</si>
  <si>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</si>
  <si>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</si>
  <si>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</si>
  <si>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</si>
  <si>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</si>
  <si>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</si>
  <si>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</si>
  <si>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</si>
  <si>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</si>
  <si>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</si>
  <si>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</si>
  <si>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</si>
  <si>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</si>
  <si>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</si>
  <si>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</si>
  <si>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</si>
  <si>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</si>
  <si>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</si>
  <si>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</si>
  <si>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</si>
  <si>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</si>
  <si>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</si>
  <si>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</si>
  <si>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</si>
  <si>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</si>
  <si>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</si>
  <si>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</si>
  <si>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</si>
  <si>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</si>
  <si>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</si>
  <si>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</si>
  <si>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</si>
  <si>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</si>
  <si>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</si>
  <si>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</si>
  <si>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</si>
  <si>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</si>
  <si>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</si>
  <si>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</si>
  <si>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</si>
  <si>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</si>
  <si>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</si>
  <si>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</si>
  <si>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</si>
  <si>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</si>
  <si>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</si>
  <si>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</si>
  <si>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</si>
  <si>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</si>
  <si>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</si>
  <si>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</si>
  <si>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</si>
  <si>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</si>
  <si>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</si>
  <si>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</si>
  <si>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</si>
  <si>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</si>
  <si>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</si>
  <si>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</si>
  <si>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</si>
  <si>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</si>
  <si>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</si>
  <si>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</si>
  <si>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</si>
  <si>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</si>
  <si>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</si>
  <si>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</si>
  <si>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</si>
  <si>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</si>
  <si>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</si>
  <si>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</si>
  <si>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</si>
  <si>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</si>
  <si>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</si>
  <si>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</si>
  <si>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</si>
  <si>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</si>
  <si>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</si>
  <si>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</si>
  <si>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</si>
  <si>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</si>
  <si>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</si>
  <si>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</si>
  <si>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</si>
  <si>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</si>
  <si>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</si>
  <si>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</si>
  <si>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</si>
  <si>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</si>
  <si>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</si>
  <si>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</si>
  <si>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</si>
  <si>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</si>
  <si>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</si>
  <si>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</si>
  <si>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</si>
  <si>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</si>
  <si>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</si>
  <si>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</si>
  <si>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</si>
  <si>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</si>
  <si>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</si>
  <si>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</si>
  <si>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</si>
  <si>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</si>
  <si>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</si>
  <si>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</si>
  <si>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</si>
  <si>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</si>
  <si>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</si>
  <si>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</si>
  <si>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</si>
  <si>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</si>
  <si>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</si>
  <si>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</si>
  <si>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</si>
  <si>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</si>
  <si>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</si>
  <si>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</si>
  <si>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</si>
  <si>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</si>
  <si>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</si>
  <si>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</si>
  <si>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</si>
  <si>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</si>
  <si>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</si>
  <si>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</si>
  <si>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</si>
  <si>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</si>
  <si>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</si>
  <si>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</si>
  <si>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</si>
  <si>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</si>
  <si>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</si>
  <si>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</si>
  <si>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</si>
  <si>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</si>
  <si>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</si>
  <si>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</si>
  <si>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</si>
  <si>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</si>
  <si>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</si>
  <si>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</si>
  <si>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</si>
  <si>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</si>
  <si>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</si>
  <si>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</si>
  <si>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</si>
  <si>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</si>
  <si>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</si>
  <si>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</si>
  <si>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</si>
  <si>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</si>
  <si>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</si>
  <si>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</si>
  <si>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</si>
  <si>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</si>
  <si>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</si>
  <si>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</si>
  <si>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</si>
  <si>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</si>
  <si>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</si>
  <si>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</si>
  <si>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</si>
  <si>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</si>
  <si>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</si>
  <si>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</si>
  <si>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</si>
  <si>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</si>
  <si>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</si>
  <si>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</si>
  <si>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</si>
  <si>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</si>
  <si>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</si>
  <si>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</si>
  <si>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</si>
  <si>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</si>
  <si>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</si>
  <si>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</si>
  <si>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</si>
  <si>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</si>
  <si>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</si>
  <si>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</si>
  <si>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</si>
  <si>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</si>
  <si>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</si>
  <si>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</si>
  <si>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</si>
  <si>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</si>
  <si>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</si>
  <si>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</si>
  <si>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</si>
  <si>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</si>
  <si>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</si>
  <si>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</si>
  <si>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</si>
  <si>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</si>
  <si>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</si>
  <si>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</si>
  <si>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</si>
  <si>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</si>
  <si>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</si>
  <si>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</si>
  <si>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</si>
  <si>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</si>
  <si>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</si>
  <si>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</si>
  <si>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</si>
  <si>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</si>
  <si>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</si>
  <si>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</si>
  <si>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</si>
  <si>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</si>
  <si>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</si>
  <si>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</si>
  <si>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</si>
  <si>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</si>
  <si>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</si>
  <si>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</si>
  <si>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</si>
  <si>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</si>
  <si>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</si>
  <si>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</si>
  <si>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</si>
  <si>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</si>
  <si>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</si>
  <si>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</si>
  <si>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</si>
  <si>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</si>
  <si>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</si>
  <si>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</si>
  <si>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</si>
  <si>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</si>
  <si>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</si>
  <si>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</si>
  <si>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</si>
  <si>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</si>
  <si>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</si>
  <si>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</si>
  <si>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</si>
  <si>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</si>
  <si>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</si>
  <si>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</si>
  <si>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</si>
  <si>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</si>
  <si>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</si>
  <si>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</si>
  <si>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</si>
  <si>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</si>
  <si>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</si>
  <si>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</si>
  <si>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</si>
  <si>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</si>
  <si>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</si>
  <si>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</si>
  <si>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</si>
  <si>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</si>
  <si>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</si>
  <si>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</si>
  <si>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</si>
  <si>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</si>
  <si>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</si>
  <si>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</si>
  <si>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</si>
  <si>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</si>
  <si>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</si>
  <si>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</si>
  <si>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</si>
  <si>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</si>
  <si>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</si>
  <si>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</si>
  <si>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</si>
  <si>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</si>
  <si>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</si>
  <si>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</si>
  <si>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</si>
  <si>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</si>
  <si>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</si>
  <si>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</si>
  <si>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</si>
  <si>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</si>
  <si>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</si>
  <si>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</si>
  <si>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</si>
  <si>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</si>
  <si>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</si>
  <si>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</si>
  <si>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</si>
  <si>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</si>
  <si>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</si>
  <si>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</si>
  <si>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</si>
  <si>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</si>
  <si>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</si>
  <si>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</si>
  <si>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</si>
  <si>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</si>
  <si>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</si>
  <si>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</si>
  <si>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</si>
  <si>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</si>
  <si>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</si>
  <si>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</si>
  <si>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</si>
  <si>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</si>
  <si>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</si>
  <si>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</si>
  <si>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</si>
  <si>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</si>
  <si>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</si>
  <si>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</si>
  <si>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</si>
  <si>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</si>
  <si>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</si>
  <si>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</si>
  <si>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</si>
  <si>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</si>
  <si>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</si>
  <si>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</si>
  <si>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</si>
  <si>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</si>
  <si>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</si>
  <si>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</si>
  <si>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</si>
  <si>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</si>
  <si>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</si>
  <si>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</si>
  <si>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</si>
  <si>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</si>
  <si>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</si>
  <si>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</si>
  <si>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</si>
  <si>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</si>
  <si>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</si>
  <si>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</si>
  <si>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</si>
  <si>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</si>
  <si>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</si>
  <si>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</si>
  <si>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</si>
  <si>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</si>
  <si>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</si>
  <si>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</si>
  <si>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</si>
  <si>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</si>
  <si>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</si>
  <si>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</si>
  <si>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</si>
  <si>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</si>
  <si>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</si>
  <si>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</si>
  <si>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</si>
  <si>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</si>
  <si>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</si>
  <si>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CREA-SC 225647-1</t>
  </si>
  <si>
    <t>Alencar Mendes</t>
  </si>
  <si>
    <t>Prefeito</t>
  </si>
  <si>
    <t>ESTRUTURA</t>
  </si>
  <si>
    <t>ALAS E CONTENÇÃO</t>
  </si>
  <si>
    <t>1</t>
  </si>
  <si>
    <t>VIGAS CABECEIRAS</t>
  </si>
  <si>
    <t>100344</t>
  </si>
  <si>
    <t>100345</t>
  </si>
  <si>
    <t>2</t>
  </si>
  <si>
    <t>ADMINISTRAÇÃO E SERVIÇOS PRELIMINARES</t>
  </si>
  <si>
    <t>5</t>
  </si>
  <si>
    <t>103689</t>
  </si>
  <si>
    <t>SINALIZAÇÃO</t>
  </si>
  <si>
    <t>7</t>
  </si>
  <si>
    <t>4</t>
  </si>
  <si>
    <t>100343</t>
  </si>
  <si>
    <t>100348</t>
  </si>
  <si>
    <t>307732</t>
  </si>
  <si>
    <t>Diego Dutra do Nascimento</t>
  </si>
  <si>
    <t>APARELHO DE APOIO DE NEOPRENE FRETADO PARA ESTRUTURAS PRÉ-MOLDADAS - FORNECIMENTO E INSTALAÇÃO</t>
  </si>
  <si>
    <t>PLACA EM AÇO Nº 16 GALVANIZADO COM PELÍCULA RETRORREFLETIVA TIPO I + III - CONFECÇÃO</t>
  </si>
  <si>
    <t>5213417</t>
  </si>
  <si>
    <t>SUPORTE METÁLICO GALVANIZADO PARA PLACA DE ADVERTÊNCIA OU REGULAMENTAÇÃO - LADO OU DIÂMETRO DE 0,60 M - FORNECIMENTO E IMPLANTAÇÃO</t>
  </si>
  <si>
    <t>5213863</t>
  </si>
  <si>
    <t>6</t>
  </si>
  <si>
    <t>2407972</t>
  </si>
  <si>
    <t>FORNECIMENTO E APLICAÇÃO DE ADESIVO ESTRUTURAL À BASE DE RESINA EPÓXI</t>
  </si>
  <si>
    <t>94974</t>
  </si>
  <si>
    <t>CAÇADOR</t>
  </si>
  <si>
    <t>1608021</t>
  </si>
  <si>
    <t>PERFURAÇÃO EM CONCRETO COM COROA DIAMANTADA - D = 16 MM</t>
  </si>
  <si>
    <t>92885</t>
  </si>
  <si>
    <t>92884</t>
  </si>
  <si>
    <t xml:space="preserve">Ponte Herminio Gonçalves </t>
  </si>
  <si>
    <t>10468622-6</t>
  </si>
  <si>
    <t>3</t>
  </si>
  <si>
    <t>5914539</t>
  </si>
  <si>
    <t>TRANSPORTE COM CAMINHÃO BETONEIRA - RODOVIA EM LEITO NATURAL</t>
  </si>
  <si>
    <t>tkm</t>
  </si>
  <si>
    <t>5914569</t>
  </si>
  <si>
    <t>TRANSPORTE COM CAMINHÃO BETONEIRA - RODOVIA PAVIMENTADA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</si>
</sst>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81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0ahE1mXpp0g8/3QLByQ4LshxkpxadVv784ipYB56anoB5/oHbCM7obCmBI30shzpg6tEw6idbAAL6T6h1O8+sw==" saltValue="4cYEYdT6/9VWQXRkVUPzI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aoiU1M6mR6PNuRuqwr0iS7Vv/pH1LLyCOi3tiSFu+Ozz75aJKOQXWqiaz/TPhRD5pAprjfc5dmH2/EVwwAi5Zw==" saltValue="xGawXnxxzHQz3WU/cdr3gA==" spinCount="100000" sheet="1" objects="1" scenarios="1" autoFilter="0"/>
  <mergeCells count="4">
    <mergeCell ref="B20:H20"/>
    <mergeCell ref="B8:H8"/>
    <mergeCell ref="E2:G3"/>
    <mergeCell ref="B16:H16"/>
  </mergeCells>
  <phoneticPr fontId="38" type="noConversion"/>
  <conditionalFormatting sqref="C10:G14">
    <cfRule type="expression" dxfId="809" priority="70" stopIfTrue="1">
      <formula>TIPOORCAMENTO="Licitado"</formula>
    </cfRule>
  </conditionalFormatting>
  <conditionalFormatting sqref="C18:G18 E22:E24">
    <cfRule type="expression" dxfId="808" priority="71" stopIfTrue="1">
      <formula>TIPOORCAMENTO&lt;&gt;"Licitado"</formula>
    </cfRule>
  </conditionalFormatting>
  <conditionalFormatting sqref="C22">
    <cfRule type="expression" dxfId="807" priority="73" stopIfTrue="1">
      <formula>OR(TIPOORCAMENTO&lt;&gt;"Licitado",ACOMPANHAMENTO&lt;&gt;"PLE")</formula>
    </cfRule>
  </conditionalFormatting>
  <conditionalFormatting sqref="G22">
    <cfRule type="expression" dxfId="806" priority="74" stopIfTrue="1">
      <formula>OR(TIPOORCAMENTO&lt;&gt;"Licitado",ACOMPANHAMENTO&lt;&gt;"BM")</formula>
    </cfRule>
  </conditionalFormatting>
  <conditionalFormatting sqref="B16:H16 B20:H20">
    <cfRule type="expression" dxfId="805" priority="599" stopIfTrue="1">
      <formula>$O$3&lt;&gt;2</formula>
    </cfRule>
  </conditionalFormatting>
  <conditionalFormatting sqref="B8:H8">
    <cfRule type="expression" dxfId="804"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15" activePane="bottomLeft" state="frozen"/>
      <selection pane="bottomLeft" activeCell="C45" sqref="C4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1036</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Falta preencher a linha 17</v>
      </c>
      <c r="L15" s="12" t="s">
        <v>112</v>
      </c>
      <c r="AV15" t="s">
        <v>221</v>
      </c>
      <c r="AW15" t="s">
        <v>222</v>
      </c>
    </row>
    <row r="16" spans="2:49" x14ac:dyDescent="0.2">
      <c r="B16" s="24" t="s">
        <v>223</v>
      </c>
      <c r="C16" s="25" t="s">
        <v>1041</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1026</v>
      </c>
      <c r="D22" s="563" t="str">
        <f t="shared" ref="D22:D24" ca="1" si="2">IF(OFFSET(D22,0,-1)="","◄","")</f>
        <v/>
      </c>
      <c r="AV22" t="s">
        <v>241</v>
      </c>
      <c r="AW22" t="s">
        <v>242</v>
      </c>
    </row>
    <row r="23" spans="2:49" x14ac:dyDescent="0.2">
      <c r="B23" s="17" t="s">
        <v>243</v>
      </c>
      <c r="C23" s="18" t="s">
        <v>1007</v>
      </c>
      <c r="D23" s="563" t="str">
        <f t="shared" ca="1" si="2"/>
        <v/>
      </c>
      <c r="AV23" t="s">
        <v>244</v>
      </c>
      <c r="AW23" t="s">
        <v>245</v>
      </c>
    </row>
    <row r="24" spans="2:49" x14ac:dyDescent="0.2">
      <c r="B24" s="17" t="s">
        <v>246</v>
      </c>
      <c r="C24" s="18" t="s">
        <v>1042</v>
      </c>
      <c r="D24" s="563" t="str">
        <f t="shared" ca="1" si="2"/>
        <v/>
      </c>
      <c r="AV24" t="s">
        <v>247</v>
      </c>
      <c r="AW24" t="s">
        <v>248</v>
      </c>
    </row>
    <row r="25" spans="2:49" ht="13.5" thickBot="1" x14ac:dyDescent="0.25">
      <c r="B25" s="21" t="s">
        <v>249</v>
      </c>
      <c r="C25" s="32">
        <v>46150</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1008</v>
      </c>
      <c r="D28" s="563" t="str">
        <f t="shared" ref="D28:D29" ca="1" si="3">IF(OFFSET(D28,0,-1)="","◄","")</f>
        <v/>
      </c>
      <c r="AV28" t="s">
        <v>258</v>
      </c>
      <c r="AW28" t="s">
        <v>259</v>
      </c>
    </row>
    <row r="29" spans="2:49" ht="13.5" thickBot="1" x14ac:dyDescent="0.25">
      <c r="B29" s="21" t="s">
        <v>260</v>
      </c>
      <c r="C29" s="34" t="s">
        <v>1009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78QHO1Lnqvp3aHplsZOMpN9oRHh+i5ecUWet0u17G3gdsIeugKDL6jtiGpEWQaVgKhk+LY9W5NGK14ond5fHgQ==" saltValue="elinlKWBO0mQy6C//8FeU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803" priority="2" stopIfTrue="1">
      <formula>CAIXA.Modo=FALSE</formula>
    </cfRule>
  </conditionalFormatting>
  <conditionalFormatting sqref="B59:C61">
    <cfRule type="expression" dxfId="802"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f>Import.Proponente</f>
        <v>0</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 xml:space="preserve">Ponte Herminio Gonçalves  / </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1</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0.02</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IF(COUNTIF(ORÇAMENTO!$V$15:$V$48,BDI_1.Título)=0,"",IF(OR(Import.BDI.Tipo1="(SELECIONAR)",Import.BDI.Tipo1="",U17&lt;&gt;"",AND($J17&lt;&gt;$A$145,OR(S21="",S22="",AND($J17&lt;&gt;$A$146,OR(S23="",S24="")),S25="",S26=""))),"Falta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674</v>
      </c>
      <c r="K17" s="701"/>
      <c r="L17" s="701"/>
      <c r="M17" s="701"/>
      <c r="N17" s="701"/>
      <c r="O17" s="701"/>
      <c r="P17" s="701"/>
      <c r="Q17" s="701"/>
      <c r="R17" s="701"/>
      <c r="S17" s="701"/>
      <c r="T17" s="563" t="str">
        <f ca="1">IF(U17="","","◄")</f>
        <v/>
      </c>
      <c r="U17" s="562" t="str">
        <f ca="1">IF(AND(OR(S29&gt;0,COUNTIF(ORÇAMENTO!$V$15:$V$48,BDI_1.Título)&gt;0),OR(Import.BDI.Tipo1="(SELECIONAR)",Import.BDI.Tipo1="")),"Selecione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5.5199999999999999E-2</v>
      </c>
      <c r="T21" s="572" t="str">
        <f ca="1">IF(AND($U$14&lt;&gt;"",$U$17="",R21&lt;&gt;"",S21=""),"◄","")</f>
        <v/>
      </c>
      <c r="U21" s="689" t="str">
        <f ca="1">IFERROR(IF(T21="◄","FALTA PREENCHER",IF(AND(OR(S21&gt;=X21,X21="-"),OR(S21&lt;=Z21,Z21="-")),"OK","FORA DO INTERVALO")),"-")</f>
        <v>OK</v>
      </c>
      <c r="V21" s="689"/>
      <c r="W21" s="689"/>
      <c r="X21" s="62">
        <f>VLOOKUP(CONCATENATE(J17,"-",R21),$C$2:$G$136,3,FALSE)</f>
        <v>0.04</v>
      </c>
      <c r="Y21" s="62">
        <f>VLOOKUP(CONCATENATE(J17,"-",R21),$C$2:$G$136,4,FALSE)</f>
        <v>5.5199999999999999E-2</v>
      </c>
      <c r="Z21" s="62">
        <f>VLOOKUP(CONCATENATE(J17,"-",R21),$C$2:$G$136,5,FALSE)</f>
        <v>7.85E-2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1.2199999999999999E-2</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8.1000000000000013E-3</v>
      </c>
      <c r="Y22" s="62">
        <f>VLOOKUP(CONCATENATE(J17,"-",R22),$C$2:$G$136,4,FALSE)</f>
        <v>1.2199999999999999E-2</v>
      </c>
      <c r="Z22" s="62">
        <f>VLOOKUP(CONCATENATE(J17,"-",R22),$C$2:$G$136,5,FALSE)</f>
        <v>1.9900000000000001E-2</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2.3199999999999998E-2</v>
      </c>
      <c r="T23" s="572" t="str">
        <f t="shared" ca="1" si="1"/>
        <v/>
      </c>
      <c r="U23" s="689" t="str">
        <f t="shared" ca="1" si="2"/>
        <v>OK</v>
      </c>
      <c r="V23" s="689"/>
      <c r="W23" s="689"/>
      <c r="X23" s="62">
        <f>VLOOKUP(CONCATENATE(J17,"-",R23),$C$2:$G$136,3,FALSE)</f>
        <v>1.46E-2</v>
      </c>
      <c r="Y23" s="62">
        <f>VLOOKUP(CONCATENATE(J17,"-",R23),$C$2:$G$136,4,FALSE)</f>
        <v>2.3199999999999998E-2</v>
      </c>
      <c r="Z23" s="62">
        <f>VLOOKUP(CONCATENATE(J17,"-",R23),$C$2:$G$136,5,FALSE)</f>
        <v>3.1600000000000003E-2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1.0200000000000001E-2</v>
      </c>
      <c r="T24" s="572" t="str">
        <f t="shared" ca="1" si="1"/>
        <v/>
      </c>
      <c r="U24" s="689" t="str">
        <f t="shared" ca="1" si="2"/>
        <v>OK</v>
      </c>
      <c r="V24" s="689"/>
      <c r="W24" s="689"/>
      <c r="X24" s="62">
        <f>VLOOKUP(CONCATENATE(J17,"-",R24),$C$2:$G$136,3,FALSE)</f>
        <v>9.3999999999999986E-3</v>
      </c>
      <c r="Y24" s="62">
        <f>VLOOKUP(CONCATENATE(J17,"-",R24),$C$2:$G$136,4,FALSE)</f>
        <v>1.0200000000000001E-2</v>
      </c>
      <c r="Z24" s="62">
        <f>VLOOKUP(CONCATENATE(J17,"-",R24),$C$2:$G$136,5,FALSE)</f>
        <v>1.3300000000000001E-2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8.4000000000000005E-2</v>
      </c>
      <c r="T25" s="572" t="str">
        <f t="shared" ca="1" si="1"/>
        <v/>
      </c>
      <c r="U25" s="689" t="str">
        <f t="shared" ca="1" si="2"/>
        <v>OK</v>
      </c>
      <c r="V25" s="689"/>
      <c r="W25" s="689"/>
      <c r="X25" s="62">
        <f>VLOOKUP(CONCATENATE(J17,"-",R25),$C$2:$G$136,3,FALSE)</f>
        <v>7.1399999999999991E-2</v>
      </c>
      <c r="Y25" s="62">
        <f>VLOOKUP(CONCATENATE(J17,"-",R25),$C$2:$G$136,4,FALSE)</f>
        <v>8.4000000000000005E-2</v>
      </c>
      <c r="Z25" s="62">
        <f>VLOOKUP(CONCATENATE(J17,"-",R25),$C$2:$G$136,5,FALSE)</f>
        <v>0.1043</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0.02</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0.26579999999999998</v>
      </c>
      <c r="U29" s="690" t="str">
        <f ca="1">IFERROR(IF(AND(OR(S29&gt;=X29,X29="-"),OR(S29&lt;=Z29,Z29="-")),"OK","FORA DO INTERVALO"),IF(S29=0,"OK","Selecione o Tipo de obra"))</f>
        <v>OK</v>
      </c>
      <c r="V29" s="690"/>
      <c r="W29" s="690"/>
      <c r="X29" s="62">
        <f>IF($J17=$A$145,0,VLOOKUP(CONCATENATE($J17,"-",$R29),$C$2:$G$136,3,FALSE))</f>
        <v>0.22800000000000001</v>
      </c>
      <c r="Y29" s="62">
        <f>IF($J17=$A$145,0,VLOOKUP(CONCATENATE($J17,"-",$R29),$C$2:$G$136,4,FALSE))</f>
        <v>0.27479999999999999</v>
      </c>
      <c r="Z29" s="62">
        <f>IF($J17=$A$145,0,VLOOKUP(CONCATENATE($J17,"-",$R29),$C$2:$G$136,5,FALSE))</f>
        <v>0.3095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0.26579999999999998</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2"/>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CAÇADOR</v>
      </c>
      <c r="K45" s="683"/>
      <c r="L45" s="683"/>
      <c r="M45" s="683"/>
      <c r="P45" s="684">
        <f>DADOS!$C$25</f>
        <v>46150</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Diego Dutra do Nascimento</v>
      </c>
      <c r="L50" s="79"/>
      <c r="M50" s="79"/>
      <c r="N50" s="76"/>
    </row>
    <row r="51" spans="1:26" ht="14.25" x14ac:dyDescent="0.2">
      <c r="A51"/>
      <c r="B51"/>
      <c r="C51"/>
      <c r="D51"/>
      <c r="E51"/>
      <c r="F51"/>
      <c r="G51"/>
      <c r="I51" t="s">
        <v>536</v>
      </c>
      <c r="J51" s="77" t="s">
        <v>243</v>
      </c>
      <c r="K51" s="78" t="str">
        <v>CREA-SC 225647-1</v>
      </c>
      <c r="L51" s="79"/>
      <c r="M51" s="79"/>
      <c r="N51" s="76"/>
    </row>
    <row r="52" spans="1:26" ht="14.25" x14ac:dyDescent="0.2">
      <c r="A52"/>
      <c r="B52"/>
      <c r="C52"/>
      <c r="D52"/>
      <c r="E52"/>
      <c r="F52"/>
      <c r="G52"/>
      <c r="I52" t="s">
        <v>536</v>
      </c>
      <c r="J52" s="77" t="s">
        <v>246</v>
      </c>
      <c r="K52" s="78" t="str">
        <v>10468622-6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02" t="s">
        <v>697</v>
      </c>
      <c r="K54" s="702"/>
      <c r="L54" s="702"/>
      <c r="M54" s="702"/>
      <c r="N54" s="702"/>
      <c r="O54" s="702"/>
      <c r="P54" s="702"/>
      <c r="Q54" s="702"/>
      <c r="R54" s="702"/>
      <c r="S54" s="702"/>
      <c r="U54" s="521" t="str">
        <f>IF(COUNTIF(ORÇAMENTO!$V$15:$V$48,BDI_2.Título)=0,"",IF(OR(Import.BDI.Tipo2="(SELECIONAR)",Import.BDI.Tipo2="",U57&lt;&gt;"",AND($J57&lt;&gt;$A$145,OR(S61="",S62="",AND($J57&lt;&gt;$A$146,OR(S63="",S64="")),S65="",S66=""))),"Falta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0" t="s">
        <v>664</v>
      </c>
      <c r="K56" s="700"/>
      <c r="L56" s="700"/>
      <c r="M56" s="700"/>
      <c r="N56" s="700"/>
      <c r="O56" s="700"/>
      <c r="P56" s="700"/>
      <c r="Q56" s="700"/>
      <c r="R56" s="700"/>
      <c r="S56" s="700"/>
    </row>
    <row r="57" spans="1:26" ht="15" x14ac:dyDescent="0.25">
      <c r="A57"/>
      <c r="B57"/>
      <c r="C57"/>
      <c r="D57"/>
      <c r="E57"/>
      <c r="F57"/>
      <c r="G57"/>
      <c r="I57" t="str">
        <f t="shared" ca="1" si="3"/>
        <v/>
      </c>
      <c r="J57" s="701" t="s">
        <v>139</v>
      </c>
      <c r="K57" s="701"/>
      <c r="L57" s="701"/>
      <c r="M57" s="701"/>
      <c r="N57" s="701"/>
      <c r="O57" s="701"/>
      <c r="P57" s="701"/>
      <c r="Q57" s="701"/>
      <c r="R57" s="701"/>
      <c r="S57" s="701"/>
      <c r="T57" s="563" t="str">
        <f ca="1">IF(U57="","","◄")</f>
        <v/>
      </c>
      <c r="U57" s="562" t="str">
        <f ca="1">IF(AND(OR(S69&gt;0,COUNTIF(ORÇAMENTO!$V$15:$V$48,BDI_2.Título)&gt;0),OR(Import.BDI.Tipo2="(SELECIONAR)",Import.BDI.Tipo2="")),"Selecione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
      </c>
      <c r="J61" s="688" t="str">
        <f>IF($J$57=$A$146,"Encargos Sociais incidentes sobre a mão de obra","Administração Central")</f>
        <v>Administração Central</v>
      </c>
      <c r="K61" s="688"/>
      <c r="L61" s="688"/>
      <c r="M61" s="688"/>
      <c r="N61" s="688"/>
      <c r="O61" s="688"/>
      <c r="P61" s="688"/>
      <c r="Q61" s="688"/>
      <c r="R61" s="60" t="str">
        <f>IF($J57=$A$146,"K1","AC")</f>
        <v>AC</v>
      </c>
      <c r="S61" s="61"/>
      <c r="T61" s="572" t="str">
        <f ca="1">IF(AND($U$54&lt;&gt;"",$U$57="",R61&lt;&gt;"",S61=""),"◄","")</f>
        <v/>
      </c>
      <c r="U61" s="689" t="str">
        <f ca="1">IFERROR(IF(T61="◄","FALTA PREENCHER",IF(AND(OR(S61&gt;=X61,X61="-"),OR(S61&lt;=Z61,Z61="-")),"OK","FORA DO INTERVALO")),"-")</f>
        <v>-</v>
      </c>
      <c r="V61" s="689"/>
      <c r="W61" s="689"/>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88" t="str">
        <f>IF($J$57=$A$146,"Administração Central da empresa ou consultoria - overhead","Seguro e Garantia")</f>
        <v>Seguro e Garantia</v>
      </c>
      <c r="K62" s="688"/>
      <c r="L62" s="688"/>
      <c r="M62" s="688"/>
      <c r="N62" s="688"/>
      <c r="O62" s="688"/>
      <c r="P62" s="688"/>
      <c r="Q62" s="688"/>
      <c r="R62" s="60" t="str">
        <f>IF($J57=$A$146,"K2","SG")</f>
        <v>SG</v>
      </c>
      <c r="S62" s="61"/>
      <c r="T62" s="572" t="str">
        <f t="shared" ref="T62:T66" ca="1" si="4">IF(AND($U$54&lt;&gt;"",$U$57="",R62&lt;&gt;"",S62=""),"◄","")</f>
        <v/>
      </c>
      <c r="U62" s="689" t="str">
        <f t="shared" ref="U62:U68" ca="1" si="5">IFERROR(IF(T62="◄","FALTA PREENCHER",IF(AND(OR(S62&gt;=X62,X62="-"),OR(S62&lt;=Z62,Z62="-")),"OK","FORA DO INTERVALO")),"-")</f>
        <v>-</v>
      </c>
      <c r="V62" s="689"/>
      <c r="W62" s="689"/>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88" t="s">
        <v>942</v>
      </c>
      <c r="K63" s="688"/>
      <c r="L63" s="688"/>
      <c r="M63" s="688"/>
      <c r="N63" s="688"/>
      <c r="O63" s="688"/>
      <c r="P63" s="688"/>
      <c r="Q63" s="688"/>
      <c r="R63" s="60" t="str">
        <f>IF($J57=$A$146,"","R")</f>
        <v>R</v>
      </c>
      <c r="S63" s="61"/>
      <c r="T63" s="572" t="str">
        <f t="shared" ca="1" si="4"/>
        <v/>
      </c>
      <c r="U63" s="689" t="str">
        <f t="shared" ca="1" si="5"/>
        <v>-</v>
      </c>
      <c r="V63" s="689"/>
      <c r="W63" s="689"/>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88" t="s">
        <v>943</v>
      </c>
      <c r="K64" s="688"/>
      <c r="L64" s="688"/>
      <c r="M64" s="688"/>
      <c r="N64" s="688"/>
      <c r="O64" s="688"/>
      <c r="P64" s="688"/>
      <c r="Q64" s="688"/>
      <c r="R64" s="60" t="str">
        <f>IF($J57=$A$146,"","DF")</f>
        <v>DF</v>
      </c>
      <c r="S64" s="61"/>
      <c r="T64" s="572" t="str">
        <f t="shared" ca="1" si="4"/>
        <v/>
      </c>
      <c r="U64" s="689" t="str">
        <f t="shared" ca="1" si="5"/>
        <v>-</v>
      </c>
      <c r="V64" s="689"/>
      <c r="W64" s="689"/>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88" t="str">
        <f>IF($J$57=$A$146,"Margem bruta da empresa de consultoria","Lucro")</f>
        <v>Lucro</v>
      </c>
      <c r="K65" s="688"/>
      <c r="L65" s="688"/>
      <c r="M65" s="688"/>
      <c r="N65" s="688"/>
      <c r="O65" s="688"/>
      <c r="P65" s="688"/>
      <c r="Q65" s="688"/>
      <c r="R65" s="60" t="str">
        <f>IF($J57=$A$146,"K3","L")</f>
        <v>L</v>
      </c>
      <c r="S65" s="61"/>
      <c r="T65" s="572" t="str">
        <f t="shared" ca="1" si="4"/>
        <v/>
      </c>
      <c r="U65" s="689" t="str">
        <f t="shared" ca="1" si="5"/>
        <v>-</v>
      </c>
      <c r="V65" s="689"/>
      <c r="W65" s="689"/>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88" t="s">
        <v>675</v>
      </c>
      <c r="K66" s="688"/>
      <c r="L66" s="688"/>
      <c r="M66" s="688"/>
      <c r="N66" s="688"/>
      <c r="O66" s="688"/>
      <c r="P66" s="688"/>
      <c r="Q66" s="688"/>
      <c r="R66" s="60" t="s">
        <v>456</v>
      </c>
      <c r="S66" s="61"/>
      <c r="T66" s="572" t="str">
        <f t="shared" ca="1" si="4"/>
        <v/>
      </c>
      <c r="U66" s="689" t="str">
        <f t="shared" ca="1" si="5"/>
        <v>FORA DO INTERVALO</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88" t="s">
        <v>676</v>
      </c>
      <c r="K67" s="688"/>
      <c r="L67" s="688"/>
      <c r="M67" s="688"/>
      <c r="N67" s="688"/>
      <c r="O67" s="688"/>
      <c r="P67" s="688"/>
      <c r="Q67" s="688"/>
      <c r="R67" s="60" t="s">
        <v>677</v>
      </c>
      <c r="S67" s="62">
        <f ca="1">IF(AND($J57&lt;&gt;$A$145,COUNTA(OFFSET(S60,1,0,6))&gt;0),$R$11*$R$10,0)</f>
        <v>0</v>
      </c>
      <c r="U67" s="689" t="str">
        <f t="shared" ca="1" si="5"/>
        <v>OK</v>
      </c>
      <c r="V67" s="689"/>
      <c r="W67" s="689"/>
      <c r="X67" s="62">
        <v>0</v>
      </c>
      <c r="Y67" s="62">
        <v>2.5000000000000001E-2</v>
      </c>
      <c r="Z67" s="62">
        <v>0.05</v>
      </c>
    </row>
    <row r="68" spans="1:26" ht="15" customHeight="1" x14ac:dyDescent="0.2">
      <c r="A68"/>
      <c r="B68"/>
      <c r="C68"/>
      <c r="D68"/>
      <c r="E68"/>
      <c r="F68"/>
      <c r="G68"/>
      <c r="I68" t="str">
        <f t="shared" ca="1" si="3"/>
        <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
      </c>
      <c r="J69" s="688" t="s">
        <v>680</v>
      </c>
      <c r="K69" s="688"/>
      <c r="L69" s="688"/>
      <c r="M69" s="688"/>
      <c r="N69" s="688"/>
      <c r="O69" s="688"/>
      <c r="P69" s="688"/>
      <c r="Q69" s="688"/>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1" t="s">
        <v>681</v>
      </c>
      <c r="K70" s="691"/>
      <c r="L70" s="691"/>
      <c r="M70" s="691"/>
      <c r="N70" s="691"/>
      <c r="O70" s="691"/>
      <c r="P70" s="691"/>
      <c r="Q70" s="691"/>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
      </c>
    </row>
    <row r="74" spans="1:26" x14ac:dyDescent="0.2">
      <c r="A74"/>
      <c r="B74"/>
      <c r="C74"/>
      <c r="D74"/>
      <c r="E74"/>
      <c r="F74"/>
      <c r="G74"/>
      <c r="I74" t="str">
        <f t="shared" ca="1" si="3"/>
        <v/>
      </c>
      <c r="J74" s="694" t="s">
        <v>683</v>
      </c>
      <c r="K74" s="694"/>
      <c r="L74" s="694"/>
      <c r="M74" s="694"/>
      <c r="N74" s="694"/>
      <c r="O74" s="694"/>
      <c r="P74" s="694"/>
      <c r="Q74" s="694"/>
      <c r="R74" s="694"/>
      <c r="S74" s="694"/>
    </row>
    <row r="75" spans="1:26" ht="15.75" x14ac:dyDescent="0.25">
      <c r="A75"/>
      <c r="B75"/>
      <c r="C75"/>
      <c r="D75"/>
      <c r="E75"/>
      <c r="F75"/>
      <c r="G75"/>
      <c r="I75" t="str">
        <f t="shared" ca="1" si="3"/>
        <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
      </c>
      <c r="J76" s="68"/>
      <c r="K76" s="68"/>
      <c r="L76" s="68"/>
      <c r="M76" s="695"/>
      <c r="N76" s="687" t="s">
        <v>686</v>
      </c>
      <c r="O76" s="687"/>
      <c r="P76" s="687"/>
      <c r="Q76" s="69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81"/>
      <c r="L78" s="681"/>
      <c r="M78" s="681"/>
      <c r="N78" s="681"/>
      <c r="O78" s="681"/>
      <c r="P78" s="681"/>
      <c r="Q78" s="681"/>
      <c r="R78" s="681"/>
      <c r="S78" s="681"/>
    </row>
    <row r="79" spans="1:26" x14ac:dyDescent="0.2">
      <c r="A79"/>
      <c r="B79"/>
      <c r="C79"/>
      <c r="D79"/>
      <c r="E79"/>
      <c r="F79"/>
      <c r="G79"/>
      <c r="I79" t="str">
        <f t="shared" ca="1" si="3"/>
        <v/>
      </c>
    </row>
    <row r="80" spans="1:26" ht="50.1" customHeight="1" x14ac:dyDescent="0.2">
      <c r="A80"/>
      <c r="B80"/>
      <c r="C80"/>
      <c r="D80"/>
      <c r="E80"/>
      <c r="F80"/>
      <c r="G80"/>
      <c r="I80" t="str">
        <f t="shared" ca="1" si="3"/>
        <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82"/>
      <c r="K83" s="682"/>
      <c r="L83" s="682"/>
      <c r="M83" s="682"/>
      <c r="N83" s="682"/>
      <c r="O83" s="682"/>
      <c r="P83" s="682"/>
      <c r="Q83" s="682"/>
      <c r="R83" s="682"/>
      <c r="S83" s="682"/>
    </row>
    <row r="84" spans="1:21" x14ac:dyDescent="0.2">
      <c r="A84"/>
      <c r="B84"/>
      <c r="C84"/>
      <c r="D84"/>
      <c r="E84"/>
      <c r="F84"/>
      <c r="G84"/>
      <c r="I84" t="str">
        <f t="shared" ca="1" si="3"/>
        <v/>
      </c>
    </row>
    <row r="85" spans="1:21" x14ac:dyDescent="0.2">
      <c r="A85"/>
      <c r="B85"/>
      <c r="C85"/>
      <c r="D85"/>
      <c r="E85"/>
      <c r="F85"/>
      <c r="G85"/>
      <c r="I85" t="str">
        <f t="shared" ca="1" si="3"/>
        <v/>
      </c>
      <c r="J85" s="683" t="str">
        <f>Import.Município</f>
        <v>CAÇADOR</v>
      </c>
      <c r="K85" s="683"/>
      <c r="L85" s="683"/>
      <c r="M85" s="683"/>
      <c r="P85" s="684">
        <f>DADOS!$C$25</f>
        <v>46150</v>
      </c>
      <c r="Q85" s="684"/>
      <c r="R85" s="684"/>
      <c r="S85" s="684"/>
    </row>
    <row r="86" spans="1:21" x14ac:dyDescent="0.2">
      <c r="A86"/>
      <c r="B86"/>
      <c r="C86"/>
      <c r="D86"/>
      <c r="E86"/>
      <c r="F86"/>
      <c r="G86"/>
      <c r="I86" t="str">
        <f t="shared" ca="1" si="3"/>
        <v/>
      </c>
      <c r="J86" s="685" t="s">
        <v>693</v>
      </c>
      <c r="K86" s="685"/>
      <c r="L86" s="685"/>
      <c r="M86" s="68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86"/>
      <c r="K88" s="686"/>
      <c r="L88" s="686"/>
      <c r="M88" s="686"/>
      <c r="N88" s="76"/>
    </row>
    <row r="89" spans="1:21" x14ac:dyDescent="0.2">
      <c r="A89"/>
      <c r="B89"/>
      <c r="C89"/>
      <c r="D89"/>
      <c r="E89"/>
      <c r="F89"/>
      <c r="G89"/>
      <c r="I89" t="str">
        <f t="shared" ca="1" si="3"/>
        <v/>
      </c>
      <c r="J89" s="680" t="s">
        <v>696</v>
      </c>
      <c r="K89" s="680"/>
      <c r="L89" s="680"/>
      <c r="M89" s="680"/>
    </row>
    <row r="90" spans="1:21" ht="14.25" x14ac:dyDescent="0.2">
      <c r="A90"/>
      <c r="B90"/>
      <c r="C90"/>
      <c r="D90"/>
      <c r="E90"/>
      <c r="F90"/>
      <c r="G90"/>
      <c r="I90" t="str">
        <f t="shared" ca="1" si="3"/>
        <v/>
      </c>
      <c r="J90" s="77" t="s">
        <v>240</v>
      </c>
      <c r="K90" s="78" t="str">
        <f t="array" ref="K90:K92">Import.RespOrçamento</f>
        <v>Diego Dutra do Nascimento</v>
      </c>
      <c r="L90" s="79"/>
      <c r="M90" s="79"/>
      <c r="N90" s="76"/>
    </row>
    <row r="91" spans="1:21" ht="14.25" x14ac:dyDescent="0.2">
      <c r="A91"/>
      <c r="B91"/>
      <c r="C91"/>
      <c r="D91"/>
      <c r="E91"/>
      <c r="F91"/>
      <c r="G91"/>
      <c r="I91" t="str">
        <f t="shared" ca="1" si="3"/>
        <v/>
      </c>
      <c r="J91" s="77" t="s">
        <v>243</v>
      </c>
      <c r="K91" s="78" t="str">
        <v>CREA-SC 225647-1</v>
      </c>
      <c r="L91" s="79"/>
      <c r="M91" s="79"/>
      <c r="N91" s="76"/>
    </row>
    <row r="92" spans="1:21" ht="14.25" x14ac:dyDescent="0.2">
      <c r="A92"/>
      <c r="B92"/>
      <c r="C92"/>
      <c r="D92"/>
      <c r="E92"/>
      <c r="F92"/>
      <c r="G92"/>
      <c r="I92" t="str">
        <f t="shared" ca="1" si="3"/>
        <v/>
      </c>
      <c r="J92" s="77" t="s">
        <v>246</v>
      </c>
      <c r="K92" s="78" t="str">
        <v>10468622-6</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02" t="s">
        <v>698</v>
      </c>
      <c r="K94" s="702"/>
      <c r="L94" s="702"/>
      <c r="M94" s="702"/>
      <c r="N94" s="702"/>
      <c r="O94" s="702"/>
      <c r="P94" s="702"/>
      <c r="Q94" s="702"/>
      <c r="R94" s="702"/>
      <c r="S94" s="702"/>
      <c r="U94" s="521" t="str">
        <f>IF(COUNTIF(ORÇAMENTO!$V$15:$V$48,BDI_3.Título)=0,"",IF(OR(Import.BDI.Tipo3="(SELECIONAR)",Import.BDI.Tipo3="",U97&lt;&gt;"",AND($J97&lt;&gt;$A$145,OR(S101="",S102="",AND($J97&lt;&gt;$A$146,OR(S103="",S104="")),S105="",S106=""))),"Falta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0" t="s">
        <v>664</v>
      </c>
      <c r="K96" s="700"/>
      <c r="L96" s="700"/>
      <c r="M96" s="700"/>
      <c r="N96" s="700"/>
      <c r="O96" s="700"/>
      <c r="P96" s="700"/>
      <c r="Q96" s="700"/>
      <c r="R96" s="700"/>
      <c r="S96" s="700"/>
    </row>
    <row r="97" spans="1:26" ht="15"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IF(AND(OR(S109&gt;0,COUNTIF(ORÇAMENTO!$V$15:$V$48,BDI_3.Título)&gt;0),OR(Import.BDI.Tipo3="(SELECIONAR)",Import.BDI.Tipo3="")),"Selecione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customHeight="1" x14ac:dyDescent="0.2">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customHeight="1" x14ac:dyDescent="0.2">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customHeight="1" x14ac:dyDescent="0.2">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customHeight="1" x14ac:dyDescent="0.2">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ca="1" si="6"/>
        <v/>
      </c>
    </row>
    <row r="114" spans="1:19" x14ac:dyDescent="0.2">
      <c r="A114"/>
      <c r="B114"/>
      <c r="C114"/>
      <c r="D114"/>
      <c r="E114"/>
      <c r="F114"/>
      <c r="G114"/>
      <c r="I114" t="str">
        <f t="shared" ca="1" si="6"/>
        <v/>
      </c>
      <c r="J114" s="694" t="s">
        <v>683</v>
      </c>
      <c r="K114" s="694"/>
      <c r="L114" s="694"/>
      <c r="M114" s="694"/>
      <c r="N114" s="694"/>
      <c r="O114" s="694"/>
      <c r="P114" s="694"/>
      <c r="Q114" s="694"/>
      <c r="R114" s="694"/>
      <c r="S114" s="694"/>
    </row>
    <row r="115" spans="1:19" ht="15.75" x14ac:dyDescent="0.25">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75" x14ac:dyDescent="0.2">
      <c r="A116"/>
      <c r="B116"/>
      <c r="C116"/>
      <c r="D116"/>
      <c r="E116"/>
      <c r="F116"/>
      <c r="G116"/>
      <c r="I116" t="str">
        <f t="shared" ca="1" si="6"/>
        <v/>
      </c>
      <c r="J116" s="68"/>
      <c r="K116" s="68"/>
      <c r="L116" s="68"/>
      <c r="M116" s="695"/>
      <c r="N116" s="687" t="s">
        <v>686</v>
      </c>
      <c r="O116" s="687"/>
      <c r="P116" s="687"/>
      <c r="Q116" s="69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81"/>
      <c r="L118" s="681"/>
      <c r="M118" s="681"/>
      <c r="N118" s="681"/>
      <c r="O118" s="681"/>
      <c r="P118" s="681"/>
      <c r="Q118" s="681"/>
      <c r="R118" s="681"/>
      <c r="S118" s="681"/>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82"/>
      <c r="K123" s="682"/>
      <c r="L123" s="682"/>
      <c r="M123" s="682"/>
      <c r="N123" s="682"/>
      <c r="O123" s="682"/>
      <c r="P123" s="682"/>
      <c r="Q123" s="682"/>
      <c r="R123" s="682"/>
      <c r="S123" s="682"/>
    </row>
    <row r="124" spans="1:19" x14ac:dyDescent="0.2">
      <c r="A124"/>
      <c r="B124"/>
      <c r="C124"/>
      <c r="D124"/>
      <c r="E124"/>
      <c r="F124"/>
      <c r="G124"/>
      <c r="I124" t="str">
        <f t="shared" ca="1" si="6"/>
        <v/>
      </c>
    </row>
    <row r="125" spans="1:19" x14ac:dyDescent="0.2">
      <c r="A125"/>
      <c r="B125"/>
      <c r="C125"/>
      <c r="D125"/>
      <c r="E125"/>
      <c r="F125"/>
      <c r="G125"/>
      <c r="I125" t="str">
        <f t="shared" ca="1" si="6"/>
        <v/>
      </c>
      <c r="J125" s="683" t="str">
        <f>Import.Município</f>
        <v>CAÇADOR</v>
      </c>
      <c r="K125" s="683"/>
      <c r="L125" s="683"/>
      <c r="M125" s="683"/>
      <c r="P125" s="684">
        <f>DADOS!$C$25</f>
        <v>46150</v>
      </c>
      <c r="Q125" s="684"/>
      <c r="R125" s="684"/>
      <c r="S125" s="684"/>
    </row>
    <row r="126" spans="1:19" x14ac:dyDescent="0.2">
      <c r="A126"/>
      <c r="B126"/>
      <c r="C126"/>
      <c r="D126"/>
      <c r="E126"/>
      <c r="F126"/>
      <c r="G126"/>
      <c r="I126" t="str">
        <f t="shared" ca="1" si="6"/>
        <v/>
      </c>
      <c r="J126" s="685" t="s">
        <v>693</v>
      </c>
      <c r="K126" s="685"/>
      <c r="L126" s="685"/>
      <c r="M126" s="68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6"/>
      <c r="K128" s="686"/>
      <c r="L128" s="686"/>
      <c r="M128" s="686"/>
      <c r="N128" s="76"/>
    </row>
    <row r="129" spans="1:14" x14ac:dyDescent="0.2">
      <c r="A129"/>
      <c r="B129"/>
      <c r="C129"/>
      <c r="D129"/>
      <c r="E129"/>
      <c r="F129"/>
      <c r="G129"/>
      <c r="I129" t="str">
        <f t="shared" ca="1" si="6"/>
        <v/>
      </c>
      <c r="J129" s="680" t="s">
        <v>696</v>
      </c>
      <c r="K129" s="680"/>
      <c r="L129" s="680"/>
      <c r="M129" s="680"/>
    </row>
    <row r="130" spans="1:14" ht="14.25" x14ac:dyDescent="0.2">
      <c r="A130"/>
      <c r="B130"/>
      <c r="C130"/>
      <c r="D130"/>
      <c r="E130"/>
      <c r="F130"/>
      <c r="G130"/>
      <c r="I130" t="str">
        <f t="shared" ca="1" si="6"/>
        <v/>
      </c>
      <c r="J130" s="77" t="s">
        <v>240</v>
      </c>
      <c r="K130" s="78" t="str">
        <f t="array" ref="K130:K132">Import.RespOrçamento</f>
        <v>Diego Dutra do Nascimento</v>
      </c>
      <c r="L130" s="79"/>
      <c r="M130" s="79"/>
      <c r="N130" s="76"/>
    </row>
    <row r="131" spans="1:14" ht="14.25" x14ac:dyDescent="0.2">
      <c r="A131"/>
      <c r="B131"/>
      <c r="C131"/>
      <c r="D131"/>
      <c r="E131"/>
      <c r="F131"/>
      <c r="G131"/>
      <c r="I131" t="str">
        <f t="shared" ca="1" si="6"/>
        <v/>
      </c>
      <c r="J131" s="77" t="s">
        <v>243</v>
      </c>
      <c r="K131" s="78" t="str">
        <v>CREA-SC 225647-1</v>
      </c>
      <c r="L131" s="79"/>
      <c r="M131" s="79"/>
      <c r="N131" s="76"/>
    </row>
    <row r="132" spans="1:14" ht="14.25" x14ac:dyDescent="0.2">
      <c r="A132"/>
      <c r="B132"/>
      <c r="C132"/>
      <c r="D132"/>
      <c r="E132"/>
      <c r="F132"/>
      <c r="G132"/>
      <c r="I132" t="str">
        <f t="shared" ca="1" si="6"/>
        <v/>
      </c>
      <c r="J132" s="77" t="s">
        <v>246</v>
      </c>
      <c r="K132" s="78" t="str">
        <v>10468622-6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gRMIz8/a2SirilWN3erF4edCBp60YcZLHClXZJeEO616lhL6Bij9+suSbGAM2SzIODUsAuR6nxCJ+ZpdHhuJRg==" saltValue="jkBN1dCs2GoyqG1Hx/TsyQ=="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801" priority="11" stopIfTrue="1">
      <formula>DESONERACAO="não"</formula>
    </cfRule>
  </conditionalFormatting>
  <conditionalFormatting sqref="U69:W69 U29:W29 U109:W109">
    <cfRule type="expression" dxfId="800" priority="12" stopIfTrue="1">
      <formula>AND(U29&lt;&gt;"OK",U29&lt;&gt;"-",U29&lt;&gt;"")</formula>
    </cfRule>
    <cfRule type="cellIs" dxfId="799" priority="13" stopIfTrue="1" operator="equal">
      <formula>"OK"</formula>
    </cfRule>
  </conditionalFormatting>
  <conditionalFormatting sqref="S29 S69 S109">
    <cfRule type="expression" dxfId="798" priority="14" stopIfTrue="1">
      <formula>DESONERACAO="não"</formula>
    </cfRule>
  </conditionalFormatting>
  <conditionalFormatting sqref="J23:S24">
    <cfRule type="expression" dxfId="797" priority="9">
      <formula>$J$17=$A$146</formula>
    </cfRule>
  </conditionalFormatting>
  <conditionalFormatting sqref="S21:S26">
    <cfRule type="expression" dxfId="796" priority="8">
      <formula>$J$17=$A$145</formula>
    </cfRule>
  </conditionalFormatting>
  <conditionalFormatting sqref="J63:S64">
    <cfRule type="expression" dxfId="795" priority="7">
      <formula>$J$57=$A$146</formula>
    </cfRule>
  </conditionalFormatting>
  <conditionalFormatting sqref="S61:S66">
    <cfRule type="expression" dxfId="794" priority="6">
      <formula>$J$57=$A$145</formula>
    </cfRule>
  </conditionalFormatting>
  <conditionalFormatting sqref="J103:S104">
    <cfRule type="expression" dxfId="793" priority="5">
      <formula>$J$97=$A$146</formula>
    </cfRule>
  </conditionalFormatting>
  <conditionalFormatting sqref="S101:S106">
    <cfRule type="expression" dxfId="792" priority="4">
      <formula>$J$97=$A$145</formula>
    </cfRule>
  </conditionalFormatting>
  <conditionalFormatting sqref="U21:W28">
    <cfRule type="cellIs" dxfId="791" priority="3" operator="notEqual">
      <formula>"OK"</formula>
    </cfRule>
  </conditionalFormatting>
  <conditionalFormatting sqref="U61:W68">
    <cfRule type="cellIs" dxfId="790" priority="2" operator="notEqual">
      <formula>"OK"</formula>
    </cfRule>
  </conditionalFormatting>
  <conditionalFormatting sqref="U101:W108">
    <cfRule type="cellIs" dxfId="789"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8"/>
  <sheetViews>
    <sheetView showGridLines="0" zoomScaleNormal="100" zoomScaleSheetLayoutView="90" workbookViewId="0">
      <pane xSplit="19" ySplit="15" topLeftCell="T46" activePane="bottomRight" state="frozen"/>
      <selection pane="topRight" activeCell="T1" sqref="T1"/>
      <selection pane="bottomLeft" activeCell="L16" sqref="L16"/>
      <selection pane="bottomRight" activeCell="R43" sqref="R43"/>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MAX($C$15:$C$48)</f>
        <v>2</v>
      </c>
      <c r="B5" s="7"/>
      <c r="C5" s="7"/>
      <c r="D5" s="7"/>
      <c r="E5" s="7"/>
      <c r="F5" s="663">
        <f ca="1">IF(BDI.Opcao="DESONERADO",BDI!$S$30,BDI!$S$29)</f>
        <v>0.26579999999999998</v>
      </c>
      <c r="G5" s="663">
        <f ca="1">IF(BDI.Opcao="DESONERADO",BDI!$S$70,BDI!$S$69)</f>
        <v>0</v>
      </c>
      <c r="H5" s="663">
        <f ca="1">IF(BDI.Opcao="DESONERADO",BDI!$S$110,BDI!$S$109)</f>
        <v>0</v>
      </c>
      <c r="I5" s="7"/>
      <c r="O5" s="703">
        <f>Import.CR</f>
        <v>0</v>
      </c>
      <c r="P5" s="703"/>
      <c r="Q5" s="90" cm="1">
        <f t="array" ref="Q5">Import.TransfereGOV</f>
        <v>0</v>
      </c>
      <c r="R5" s="91">
        <f>Import.Proponente</f>
        <v>0</v>
      </c>
      <c r="S5" s="703" t="str">
        <f>Import.Apelido</f>
        <v xml:space="preserve">Ponte Herminio Gonçalves </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11" t="str" cm="1">
        <f t="array" ref="S7">IF(TIPOORCAMENTO="Licitado","REGIME DE EXECUÇÃO","MUNICÍPIO / UF")</f>
        <v>MUNICÍPIO / UF</v>
      </c>
      <c r="T7" s="711"/>
      <c r="U7" s="71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IF(COUNTIFS($L$15:$L$48,"F",$AC$15:$AC$48,"JUSTIFICAR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03-2026.xlsm]Banco'!$a5:$a$65536</v>
      </c>
      <c r="G8" s="715"/>
      <c r="H8" s="715"/>
      <c r="I8" s="715"/>
      <c r="J8" s="715"/>
      <c r="K8" s="715"/>
      <c r="L8" s="693" t="s">
        <v>655</v>
      </c>
      <c r="O8" s="703" t="str" cm="1">
        <f t="array" aca="1" ref="O8" ca="1">IF(ISERROR(INDIRECT($F$9)),"(N/D: 'Referência "&amp;Excel_BuiltIn_Database&amp;".xlsm)",INDIRECT($F$9))</f>
        <v>(N/D: 'Referência 03-2026.xlsm)</v>
      </c>
      <c r="P8" s="703"/>
      <c r="Q8" s="99" t="str" cm="1">
        <f t="array" aca="1" ref="Q8" ca="1">TEXT(Import.DataBase,"mm-aa")&amp;IF(DESONERACAO="Sim"," (DES.)"," (N DES.)")</f>
        <v>03-26 (N DES.)</v>
      </c>
      <c r="R8" s="91" cm="1">
        <f t="array" ref="R8">IF(TIPOORCAMENTO="Licitado",Import.empresa,Import.DescLote)</f>
        <v>0</v>
      </c>
      <c r="S8" s="716" t="str" cm="1">
        <f t="array" ref="S8">IF(TIPOORCAMENTO="Licitado",Import.RegimeExecução,Import.Município)</f>
        <v>CAÇADOR</v>
      </c>
      <c r="T8" s="716"/>
      <c r="U8" s="716"/>
      <c r="V8" s="100" t="str" cm="1">
        <f t="array" aca="1" ref="V8" ca="1">IF(TIPOORCAMENTO="Licitado","",TEXT(F5,"0,00%"))</f>
        <v>26,58%</v>
      </c>
      <c r="W8" s="100" t="str" cm="1">
        <f t="array" aca="1" ref="W8" ca="1">IF(TIPOORCAMENTO="Licitado","",TEXT(G5,"0,00%"))</f>
        <v>0,00%</v>
      </c>
      <c r="X8" s="101" t="str" cm="1">
        <f t="array" aca="1" ref="X8" ca="1">IF(TIPOORCAMENTO="Licitado",Import.CTEF,TEXT(H5,"0,00%"))</f>
        <v>0,00%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03-2026.xlsm]Banco'!$d$3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03-2026.xlsm]Banco'!$B$3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
      </c>
      <c r="G11" s="665" t="str" cm="1">
        <f t="array" aca="1" ref="G11" ca="1">IFERROR(TEXT(Import.DataBase,"mm/aaaa"),"")</f>
        <v>03/2026</v>
      </c>
      <c r="H11" s="104"/>
      <c r="L11" s="693"/>
      <c r="Y11" s="693"/>
      <c r="Z11" s="693"/>
      <c r="AC11" s="105" t="str">
        <f ca="1">IF(COUNTIFS($L$15:$L$48,"F",$AC$15:$AC$48,"&lt;&gt;"&amp;" ",$AC$15:$AC$48,"&lt;&gt;"&amp;"JUSTIFICAR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IF(COUNTIF($AC$15:$AC$48,"FONTE")&gt;0,"Falta preencher a Fonte (coluna P) na Linha "&amp;(14+MATCH("FONTE",$AC$15:$AC$48,0)),
 IF(COUNTIF($AC$15:$AC$48,"CÓDIGO")&gt;0,"Falta preencher o Código (coluna Q) na Linha "&amp;(14+MATCH("CÓDIGO",$AC$15:$AC$48,0)),
 IF(COUNTIF($AC$15:$AC$48,"CÓDIGO N/ID")&gt;0,"Código (coluna Q) não identificado na Linha "&amp;(14+MATCH("CÓDIGO N/ID",$AC$15:$AC$48,0))&amp;". Verifique se o código está correto ou busque outro código",
 IF(COUNTIF($AC$15:$AC$48,"DESCRIÇÃO")&gt;0,"Falta preencher a Descrição (coluna R) na Linha "&amp;(14+MATCH("DESCRIÇÃO",$AC$15:$AC$48,0)),
 IF(COUNTIF($AC$15:$AC$48,"UNIDADE")&gt;0,"Falta preencher a Unidade (coluna S) na Linha "&amp;(14+MATCH("UNIDADE",$AC$15:$AC$48,0)),
 IF(COUNTIF($AC$15:$AC$48,"SEM CUSTO")&gt;0,"Falta preencher o Custo Unitário (coluna U) na Linha "&amp;(14+MATCH("SEM CUSTO",$AC$15:$AC$48,0)),
 IF(COUNTIF($AC$15:$AC$48,"SEM PREÇO")&gt;0,"Falta preencher o Preço Unitário licitado (coluna AL) na Linha "&amp;(14+MATCH("SEM CUSTO",$AC$15:$AC$48,0)),
 IF(COUNTIF($AC$15:$AC$48,"BDI")&gt;0,"Falta definir o BDI (coluna V) na Linha "&amp;(14+MATCH("BDI",$AC$15:$AC$48,0)),
 IF(COUNTIF($AC$15:$AC$48,"ACIMA REF.")&gt;0,
         IF(TIPOORCAMENTO="Proposto","O custo unitário (coluna U) na Linha "&amp;(14+MATCH("ACIMA REF.",$AC$15:$AC$48,0))&amp;" está acima do custo referencial (coluna AG)",
            "O preço unitário licitado (coluna AL) na Linha "&amp;(14+MATCH("ACIMA REF.",$AC$15:$AC$48,0))&amp;" está acima do preço referencial do edital (coluna AN)"),
 IF(COUNTIF($AC$15:$AC$48,"QUANT.")&gt;0,"Falta a Quantidade do serviço na Linha "&amp;(14+MATCH("QUANT.",$AC$15:$AC$48,0))&amp;IF(ACOMPANHAMENTO="PLE",". Preencher na aba CÁLCULO",". Preencher na coluna AJ"),
 IF(COUNTIF($AC$15:$AC$48,"Código &gt;13")&gt;0,"O tamanho do código do serviço no TransfereGOV é limitado a 13 caracteres. Resuma o código (coluna Q) na Linha "&amp;(14+MATCH("Código &gt;13",$AC$15:$AC$48,0)),
 IF(COUNTIF($AC$15:$AC$48,"Descrição &gt;100")&gt;0,"O tamanho da descrição de macrosserviço no TransfereGOV é limitado a 100 caracteres. Resuma a descrição (coluna R) na Linha "&amp;(14+MATCH("Descrição &gt;100",$AC$15:$AC$48,0)),
 IF(COUNTIF($AC$15:$AC$48,"Descrição &gt;500")&gt;0,"O tamanho da descrição de serviço no TransfereGOV é limitado a 500 caracteres. Resuma a descrição (coluna R) na Linha "&amp;(14+MATCH("Descrição &gt;500",$AC$15:$AC$48,0)),
 IF(COUNTIF($AC$15:$AC$48,"Unid. Não Disp")&gt;0,"Unidade não disponível na lista do TransfereGOV. Reveja a unidade (coluna S) na Linha "&amp;(14+MATCH("Unid. Não Disp",$AC$15:$AC$48,0)),
 IF(AND(TIPOORCAMENTO="Proposto",LEFT($O$8,5)="(N/D:"),"Abra o arquivo Referência "&amp;Excel_BuiltIn_Database&amp;".xlsm","")))))))))))))))))</f>
        <v>Código (coluna Q) não identificado na Linha 18. Verifique se o código está correto ou busque outro código</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IF(OR($C14="S",$C14=0),0,MATCH(0,OFFSET($D14,1,$C14,ROW($C$48)-ROW($C14)),0))</f>
        <v>0</v>
      </c>
      <c r="K14">
        <f ca="1">IF(OR($C14="S",$C14=0),0,MATCH(OFFSET($D14,0,$C14)+IF($C14&lt;&gt;1,1,COUNTIF(QCI!$A$13:$A$24,ORÇAMENTO!E14)),OFFSET($D14,1,$C14,ROW($C$48)-ROW($C14)),0))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0.26579999999999998</v>
      </c>
      <c r="AJ14" s="431"/>
      <c r="AL14" s="439"/>
      <c r="AM14" s="336">
        <f t="shared" ref="AM14:AM47" ca="1" si="0">$X14</f>
        <v>0</v>
      </c>
      <c r="AN14" s="470" cm="1">
        <f t="array" aca="1" ref="AN14" ca="1">ROUND(ORÇAMENTO.CustoUnitario*(1+$AH14),2)</f>
        <v>0</v>
      </c>
    </row>
    <row r="15" spans="1:40" ht="12.75" customHeight="1" x14ac:dyDescent="0.2">
      <c r="A15">
        <v>0</v>
      </c>
      <c r="C15" t="s">
        <v>654</v>
      </c>
      <c r="D15">
        <f ca="1">COUNTA(OFFSET(D15,1,0):D$48)</f>
        <v>32</v>
      </c>
      <c r="E15">
        <v>0</v>
      </c>
      <c r="L15" s="114" t="s">
        <v>536</v>
      </c>
      <c r="M15" s="130" t="str" cm="1">
        <f t="array" ref="M15">IF(TIPOORCAMENTO="LICITADO","CTEF","LOTE")</f>
        <v>LOTE</v>
      </c>
      <c r="N15" s="130" t="str" cm="1">
        <f t="array" ref="N15">IF(TIPOORCAMENTO="LICITADO","CTEF","LOTE")</f>
        <v>LOTE</v>
      </c>
      <c r="O15" s="718">
        <f>Import.DescLote</f>
        <v>0</v>
      </c>
      <c r="P15" s="719"/>
      <c r="Q15" s="719"/>
      <c r="R15" s="719"/>
      <c r="S15" s="613"/>
      <c r="T15" s="614"/>
      <c r="U15" s="614"/>
      <c r="V15" s="615"/>
      <c r="W15" s="614"/>
      <c r="X15" s="131">
        <f ca="1">SUMIF(OFFSET($C15,1,0,ROW(X48)-ROW(X15)-1),"S",OFFSET(X15,1,0,ROW(X48)-ROW(X15)-1))</f>
        <v>14461.26</v>
      </c>
      <c r="Y15" s="7"/>
      <c r="Z15" t="str">
        <f ca="1">IF(AND($C15="S",$X15&gt;0),LEFT($Y15,2),"")</f>
        <v/>
      </c>
      <c r="AA15" s="426">
        <f ca="1">SUMIF(OFFSET($C15,1,0,ROW(AA48)-ROW(AA15)-1),"S",OFFSET(AA15,1,0,ROW(AA48)-ROW(AA15)-1))</f>
        <v>14461.26</v>
      </c>
      <c r="AB15" s="132">
        <f ca="1">SUMIF(OFFSET($C15,1,0,ROW(AB48)-ROW(AB15)-1),"S",OFFSET(AB15,1,0,ROW(AB48)-ROW(AB15)-1))</f>
        <v>0</v>
      </c>
      <c r="AC15" s="565" t="s">
        <v>752</v>
      </c>
      <c r="AG15" s="441"/>
      <c r="AH15" s="442"/>
      <c r="AJ15" s="430"/>
      <c r="AL15" s="440"/>
      <c r="AM15" s="471">
        <f t="shared" ca="1" si="0"/>
        <v>14461.26</v>
      </c>
      <c r="AN15" s="472"/>
    </row>
    <row r="16" spans="1:40" x14ac:dyDescent="0.2">
      <c r="A16">
        <f t="shared" ref="A16:A46" si="1">CHOOSE(1+LOG(1+2*(ORÇAMENTO.Nivel="Meta")+4*(ORÇAMENTO.Nivel="Nível 2")+8*(ORÇAMENTO.Nivel="Nível 3")+16*(ORÇAMENTO.Nivel="Nível 4")+32*(ORÇAMENTO.Nivel="Serviço"),2),0,1,2,3,4,"S")</f>
        <v>1</v>
      </c>
      <c r="B16">
        <f t="shared" ref="B16:B46" ca="1" si="2">IF(OR(C16="s",C16=0),OFFSET(B16,-1,0),C16)</f>
        <v>1</v>
      </c>
      <c r="C16">
        <f t="shared" ref="C16:C46" ca="1" si="3">IF(OFFSET(C16,-1,0)="L",1,IF(OFFSET(C16,-1,0)=1,2,IF(OR(A16="s",A16=0),"S",IF(AND(OFFSET(C16,-1,0)=2,A16=4),3,IF(AND(OR(OFFSET(C16,-1,0)="s",OFFSET(C16,-1,0)=0),A16&lt;&gt;"s",A16&gt;OFFSET(B16,-1,0)),OFFSET(B16,-1,0),A16)))))</f>
        <v>1</v>
      </c>
      <c r="D16">
        <f t="shared" ref="D16:D46" ca="1" si="4">IF(OR(C16="S",C16=0),0,IF(ISERROR(K16),J16,SMALL(J16:K16,1)))</f>
        <v>32</v>
      </c>
      <c r="E16">
        <f ca="1">IF($C16=1,OFFSET(E16,-1,0)+MAX(1,COUNTIF(QCI!$A$13:$A$24,OFFSET(ORÇAMENTO!E16,-1,0))),OFFSET(E16,-1,0))</f>
        <v>1</v>
      </c>
      <c r="F16">
        <f t="shared" ref="F16:F46" ca="1" si="5">IF($C16=1,0,IF($C16=2,OFFSET(F16,-1,0)+1,OFFSET(F16,-1,0)))</f>
        <v>0</v>
      </c>
      <c r="G16">
        <f t="shared" ref="G16:G46" ca="1" si="6">IF(AND($C16&lt;=2,$C16&lt;&gt;0),0,IF($C16=3,OFFSET(G16,-1,0)+1,OFFSET(G16,-1,0)))</f>
        <v>0</v>
      </c>
      <c r="H16">
        <f t="shared" ref="H16:H46" ca="1" si="7">IF(AND($C16&lt;=3,$C16&lt;&gt;0),0,IF($C16=4,OFFSET(H16,-1,0)+1,OFFSET(H16,-1,0)))</f>
        <v>0</v>
      </c>
      <c r="I16">
        <f t="shared" ref="I16:I46" ca="1" si="8">IF(AND($C16&lt;=4,$C16&lt;&gt;0),0,IF(AND($C16="S",$X16&gt;0),OFFSET(I16,-1,0)+1,OFFSET(I16,-1,0)))</f>
        <v>0</v>
      </c>
      <c r="J16">
        <f t="shared" ref="J16:J34" ca="1" si="9">IF(OR($C16="S",$C16=0),0,MATCH(0,OFFSET($D16,1,$C16,ROW($C$48)-ROW($C16)),0))</f>
        <v>32</v>
      </c>
      <c r="K16" t="e">
        <f ca="1">IF(OR($C16="S",$C16=0),0,MATCH(OFFSET($D16,0,$C16)+IF($C16&lt;&gt;1,1,COUNTIF(QCI!$A$13:$A$24,ORÇAMENTO!E16)),OFFSET($D16,1,$C16,ROW($C$48)-ROW($C16)),0))</f>
        <v>#N/A</v>
      </c>
      <c r="L16" s="114" t="str">
        <f t="shared" ref="L16:L46" ca="1" si="10">IF(OR($X16&gt;0,$C16=1,$C16=2,$C16=3,$C16=4),"F","")</f>
        <v>F</v>
      </c>
      <c r="M16" s="115" t="s">
        <v>701</v>
      </c>
      <c r="N16" s="116" t="str">
        <f t="shared" ref="N16:N46" ca="1" si="11">CHOOSE(1+LOG(1+2*(C16=1)+4*(C16=2)+8*(C16=3)+16*(C16=4)+32*(C16="S"),2),"","Meta","Nível 2","Nível 3","Nível 4","Serviço")</f>
        <v>Meta</v>
      </c>
      <c r="O16" s="117" t="str">
        <f t="shared" ref="O16:O46"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14461.26</v>
      </c>
      <c r="Y16" s="126" t="s">
        <v>751</v>
      </c>
      <c r="Z16" t="str">
        <f t="shared" ref="Z16:Z46" ca="1" si="13">IF(AND($C16="S",$X16&gt;0),IF(ISBLANK($Y16),"RA",LEFT($Y16,2)),"")</f>
        <v/>
      </c>
      <c r="AA16" s="127" cm="1">
        <f t="array" aca="1" ref="AA16" ca="1">IF($C16="S",IF($Z16="CP",$X16,IF($Z16="RA",(($X16)*QCI!$AA$3),0)),SomaAgrup)</f>
        <v>14461.26</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6" ca="1" si="14">ROUND(IF(ISNUMBER(ORÇAMENTO.OpcaoBDI),ORÇAMENTO.OpcaoBDI,IF(LEFT(ORÇAMENTO.OpcaoBDI,3)="BDI",HLOOKUP(ORÇAMENTO.OpcaoBDI,$F$4:$H$5,2,FALSE),0)),15-11*$AF$9)</f>
        <v>0.26579999999999998</v>
      </c>
      <c r="AJ16" s="431"/>
      <c r="AL16" s="439"/>
      <c r="AM16" s="336">
        <f t="shared" ca="1" si="0"/>
        <v>14461.26</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31</v>
      </c>
      <c r="K17">
        <f ca="1">IF(OR($C17="S",$C17=0),0,MATCH(OFFSET($D17,0,$C17)+IF($C17&lt;&gt;1,1,COUNTIF(QCI!$A$13:$A$24,ORÇAMENTO!E17)),OFFSET($D17,1,$C17,ROW($C$48)-ROW($C17)),0))</f>
        <v>4</v>
      </c>
      <c r="L17" s="114" t="str">
        <f t="shared" ca="1" si="10"/>
        <v>F</v>
      </c>
      <c r="M17" s="115" t="s">
        <v>702</v>
      </c>
      <c r="N17" s="116" t="str">
        <f t="shared" ca="1" si="11"/>
        <v>Nível 2</v>
      </c>
      <c r="O17" s="117" t="str">
        <f t="shared" ca="1" si="12"/>
        <v>1.1.</v>
      </c>
      <c r="P17" s="118" t="s">
        <v>750</v>
      </c>
      <c r="Q17" s="119"/>
      <c r="R17" s="120" t="s">
        <v>1017</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0.26579999999999998</v>
      </c>
      <c r="AJ17" s="431"/>
      <c r="AL17" s="439"/>
      <c r="AM17" s="336">
        <f t="shared" ref="AM17:AM20" ca="1" si="15">$X17</f>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IF(OR($C18="S",$C18=0),0,MATCH(OFFSET($D18,0,$C18)+IF($C18&lt;&gt;1,1,COUNTIF(QCI!$A$13:$A$24,ORÇAMENTO!E18)),OFFSET($D18,1,$C18,ROW($C$48)-ROW($C18)),0))</f>
        <v>0</v>
      </c>
      <c r="L18" s="114" t="str">
        <f t="shared" ca="1" si="10"/>
        <v/>
      </c>
      <c r="M18" s="115" t="s">
        <v>705</v>
      </c>
      <c r="N18" s="116" t="str">
        <f t="shared" ca="1" si="11"/>
        <v>Serviço</v>
      </c>
      <c r="O18" s="117" t="str">
        <f t="shared" ca="1" si="12"/>
        <v>-</v>
      </c>
      <c r="P18" s="118" t="s">
        <v>956</v>
      </c>
      <c r="Q18" s="119" t="s">
        <v>1043</v>
      </c>
      <c r="R18" s="120" t="str" cm="1">
        <f t="array" aca="1" ref="R18" ca="1">IF($C18="S",REFERENCIA.Descricao,"(digite a descrição aqui)")</f>
        <v>(Código não identificado nas referências)</v>
      </c>
      <c r="S18" s="121" t="s">
        <v>781</v>
      </c>
      <c r="T18" s="122">
        <f ca="1">OFFSET(CÁLCULO!H$15,ROW($T18)-ROW(T$15),0)</f>
        <v>1</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3</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0.26579999999999998</v>
      </c>
      <c r="AJ18" s="431">
        <v>1</v>
      </c>
      <c r="AL18" s="439"/>
      <c r="AM18" s="336">
        <f t="shared" ca="1" si="15"/>
        <v>0</v>
      </c>
      <c r="AN18" s="470" cm="1">
        <f t="array" aca="1" ref="AN18" ca="1">ROUND(ORÇAMENTO.CustoUnitario*(1+$AH18),2)</f>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IF(OR($C19="S",$C19=0),0,MATCH(OFFSET($D19,0,$C19)+IF($C19&lt;&gt;1,1,COUNTIF(QCI!$A$13:$A$24,ORÇAMENTO!E19)),OFFSET($D19,1,$C19,ROW($C$48)-ROW($C19)),0))</f>
        <v>0</v>
      </c>
      <c r="L19" s="114" t="str">
        <f t="shared" ca="1" si="10"/>
        <v/>
      </c>
      <c r="M19" s="115" t="s">
        <v>705</v>
      </c>
      <c r="N19" s="116" t="str">
        <f t="shared" ca="1" si="11"/>
        <v>Serviço</v>
      </c>
      <c r="O19" s="117" t="str">
        <f t="shared" ca="1" si="12"/>
        <v>-</v>
      </c>
      <c r="P19" s="118" t="s">
        <v>750</v>
      </c>
      <c r="Q19" s="119" t="s">
        <v>1019</v>
      </c>
      <c r="R19" s="120" t="str" cm="1">
        <f t="array" aca="1" ref="R19" ca="1">IF($C19="S",REFERENCIA.Descricao,"(digite a descrição aqui)")</f>
        <v>(Código não identificado nas referências)</v>
      </c>
      <c r="S19" s="121" t="str" cm="1">
        <f t="array" aca="1" ref="S19" ca="1">REFERENCIA.Unidade</f>
        <v>-</v>
      </c>
      <c r="T19" s="122">
        <f ca="1">OFFSET(CÁLCULO!H$15,ROW($T19)-ROW(T$15),0)</f>
        <v>4.5</v>
      </c>
      <c r="U19" s="123">
        <f ca="1">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103689</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0.26579999999999998</v>
      </c>
      <c r="AJ19" s="431">
        <v>4.5</v>
      </c>
      <c r="AL19" s="439"/>
      <c r="AM19" s="336">
        <f t="shared" ca="1" si="15"/>
        <v>0</v>
      </c>
      <c r="AN19" s="470" cm="1">
        <f t="array" aca="1" ref="AN19"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IF(OR($C20="S",$C20=0),0,MATCH(OFFSET($D20,0,$C20)+IF($C20&lt;&gt;1,1,COUNTIF(QCI!$A$13:$A$24,ORÇAMENTO!E20)),OFFSET($D20,1,$C20,ROW($C$48)-ROW($C20)),0))</f>
        <v>0</v>
      </c>
      <c r="L20" s="114" t="str">
        <f t="shared" ca="1" si="10"/>
        <v/>
      </c>
      <c r="M20" s="115" t="s">
        <v>705</v>
      </c>
      <c r="N20" s="116" t="str">
        <f t="shared" ca="1" si="11"/>
        <v>Serviço</v>
      </c>
      <c r="O20" s="117" t="str">
        <f t="shared" ca="1" si="12"/>
        <v>-</v>
      </c>
      <c r="P20" s="118" t="s">
        <v>956</v>
      </c>
      <c r="Q20" s="119" t="s">
        <v>1022</v>
      </c>
      <c r="R20" s="120" t="str" cm="1">
        <f t="array" aca="1" ref="R20" ca="1">IF($C20="S",REFERENCIA.Descricao,"(digite a descrição aqui)")</f>
        <v>(Código não identificado nas referências)</v>
      </c>
      <c r="S20" s="121" t="str" cm="1">
        <f t="array" aca="1" ref="S20" ca="1">REFERENCIA.Unidade</f>
        <v>-</v>
      </c>
      <c r="T20" s="122">
        <f ca="1">OFFSET(CÁLCULO!H$15,ROW($T20)-ROW(T$15),0)</f>
        <v>1.28</v>
      </c>
      <c r="U20" s="123">
        <f ca="1">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Composição 4</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0.26579999999999998</v>
      </c>
      <c r="AJ20" s="431">
        <v>1.28</v>
      </c>
      <c r="AL20" s="439"/>
      <c r="AM20" s="336">
        <f t="shared" ca="1" si="15"/>
        <v>0</v>
      </c>
      <c r="AN20" s="470" cm="1">
        <f t="array" aca="1" ref="AN20" ca="1">ROUND(ORÇAMENTO.CustoUnitario*(1+$AH20),2)</f>
        <v>0</v>
      </c>
    </row>
    <row r="21" spans="1:40" x14ac:dyDescent="0.2">
      <c r="A21">
        <f t="shared" si="1"/>
        <v>2</v>
      </c>
      <c r="B21">
        <f t="shared" ca="1" si="2"/>
        <v>2</v>
      </c>
      <c r="C21">
        <f t="shared" ca="1" si="3"/>
        <v>2</v>
      </c>
      <c r="D21">
        <f t="shared" ca="1" si="4"/>
        <v>13</v>
      </c>
      <c r="E21">
        <f ca="1">IF($C21=1,OFFSET(E21,-1,0)+MAX(1,COUNTIF(QCI!$A$13:$A$24,OFFSET(ORÇAMENTO!E21,-1,0))),OFFSET(E21,-1,0))</f>
        <v>1</v>
      </c>
      <c r="F21">
        <f t="shared" ca="1" si="5"/>
        <v>2</v>
      </c>
      <c r="G21">
        <f t="shared" ca="1" si="6"/>
        <v>0</v>
      </c>
      <c r="H21">
        <f t="shared" ca="1" si="7"/>
        <v>0</v>
      </c>
      <c r="I21">
        <f t="shared" ca="1" si="8"/>
        <v>0</v>
      </c>
      <c r="J21">
        <f t="shared" ca="1" si="9"/>
        <v>27</v>
      </c>
      <c r="K21">
        <f ca="1">IF(OR($C21="S",$C21=0),0,MATCH(OFFSET($D21,0,$C21)+IF($C21&lt;&gt;1,1,COUNTIF(QCI!$A$13:$A$24,ORÇAMENTO!E21)),OFFSET($D21,1,$C21,ROW($C$48)-ROW($C21)),0))</f>
        <v>13</v>
      </c>
      <c r="L21" s="114" t="str">
        <f t="shared" ca="1" si="10"/>
        <v>F</v>
      </c>
      <c r="M21" s="115" t="s">
        <v>702</v>
      </c>
      <c r="N21" s="116" t="str">
        <f t="shared" ca="1" si="11"/>
        <v>Nível 2</v>
      </c>
      <c r="O21" s="117" t="str">
        <f t="shared" ca="1" si="12"/>
        <v>1.2.</v>
      </c>
      <c r="P21" s="118" t="s">
        <v>750</v>
      </c>
      <c r="Q21" s="119"/>
      <c r="R21" s="120" t="s">
        <v>1011</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3153.35</v>
      </c>
      <c r="Y21" s="126" t="s">
        <v>751</v>
      </c>
      <c r="Z21" t="str">
        <f t="shared" ca="1" si="13"/>
        <v/>
      </c>
      <c r="AA21" s="127" cm="1">
        <f t="array" aca="1" ref="AA21" ca="1">IF($C21="S",IF($Z21="CP",$X21,IF($Z21="RA",(($X21)*QCI!$AA$3),0)),SomaAgrup)</f>
        <v>3153.35</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0.26579999999999998</v>
      </c>
      <c r="AJ21" s="431"/>
      <c r="AL21" s="439"/>
      <c r="AM21" s="336">
        <f t="shared" ca="1" si="0"/>
        <v>3153.35</v>
      </c>
      <c r="AN21" s="470" cm="1">
        <f t="array" aca="1" ref="AN21" ca="1">ROUND(ORÇAMENTO.CustoUnitario*(1+$AH21),2)</f>
        <v>0</v>
      </c>
    </row>
    <row r="22" spans="1:40" ht="25.5"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IF($C22=1,OFFSET(E22,-1,0)+MAX(1,COUNTIF(QCI!$A$13:$A$24,OFFSET(ORÇAMENTO!E22,-1,0))),OFFSET(E22,-1,0))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0</v>
      </c>
      <c r="J22">
        <f t="shared" ca="1" si="9"/>
        <v>0</v>
      </c>
      <c r="K22">
        <f ca="1">IF(OR($C22="S",$C22=0),0,MATCH(OFFSET($D22,0,$C22)+IF($C22&lt;&gt;1,1,COUNTIF(QCI!$A$13:$A$24,ORÇAMENTO!E22)),OFFSET($D22,1,$C22,ROW($C$48)-ROW($C22)),0))</f>
        <v>0</v>
      </c>
      <c r="L22" s="114" t="str">
        <f ca="1">IF(OR($X22&gt;0,$C22=1,$C22=2,$C22=3,$C22=4),"F","")</f>
        <v/>
      </c>
      <c r="M22" s="115" t="s">
        <v>705</v>
      </c>
      <c r="N22" s="116" t="str">
        <f ca="1">CHOOSE(1+LOG(1+2*(C22=1)+4*(C22=2)+8*(C22=3)+16*(C22=4)+32*(C22="S"),2),"","Meta","Nível 2","Nível 3","Nível 4","Serviço")</f>
        <v>Serviço</v>
      </c>
      <c r="O22" s="117" t="str">
        <f ca="1">IF(OR($C22=0,$L22=""),"-",CONCATENATE(E22&amp;".",IF(AND($A$5&gt;=2,$C22&gt;=2),F22&amp;".",""),IF(AND($A$5&gt;=3,$C22&gt;=3),G22&amp;".",""),IF(AND($A$5&gt;=4,$C22&gt;=4),H22&amp;".",""),IF($C22="S",I22&amp;".","")))</f>
        <v>-</v>
      </c>
      <c r="P22" s="118" t="s">
        <v>750</v>
      </c>
      <c r="Q22" s="119" t="s">
        <v>1023</v>
      </c>
      <c r="R22" s="120" t="str" cm="1">
        <f t="array" aca="1" ref="R22" ca="1">IF($C22="S",REFERENCIA.Descricao,"(digite a descrição aqui)")</f>
        <v>(Código não identificado nas referências)</v>
      </c>
      <c r="S22" s="121" t="str" cm="1">
        <f t="array" aca="1" ref="S22" ca="1">REFERENCIA.Unidade</f>
        <v>-</v>
      </c>
      <c r="T22" s="122">
        <f ca="1">OFFSET(CÁLCULO!H$15,ROW($T22)-ROW(T$15),0)</f>
        <v>149.09</v>
      </c>
      <c r="U22" s="123">
        <f ca="1">AG22</f>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ca="1">IF(AND($C22="S",$X22&gt;0),IF(ISBLANK($Y22),"RA",LEFT($Y22,2)),"")</f>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100343</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ca="1">ROUND(IF(ISNUMBER(ORÇAMENTO.OpcaoBDI),ORÇAMENTO.OpcaoBDI,IF(LEFT(ORÇAMENTO.OpcaoBDI,3)="BDI",HLOOKUP(ORÇAMENTO.OpcaoBDI,$F$4:$H$5,2,FALSE),0)),15-11*$AF$9)</f>
        <v>0.26579999999999998</v>
      </c>
      <c r="AJ22" s="431">
        <f>135.54*1.1</f>
        <v>149.09399999999999</v>
      </c>
      <c r="AL22" s="439"/>
      <c r="AM22" s="336">
        <f t="shared" ca="1" si="0"/>
        <v>0</v>
      </c>
      <c r="AN22" s="470" cm="1">
        <f t="array" aca="1" ref="AN22" ca="1">ROUND(ORÇAMENTO.CustoUnitario*(1+$AH22),2)</f>
        <v>0</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IF(OR($C23="S",$C23=0),0,MATCH(OFFSET($D23,0,$C23)+IF($C23&lt;&gt;1,1,COUNTIF(QCI!$A$13:$A$24,ORÇAMENTO!E23)),OFFSET($D23,1,$C23,ROW($C$48)-ROW($C23)),0))</f>
        <v>0</v>
      </c>
      <c r="L23" s="114" t="str">
        <f t="shared" ca="1" si="10"/>
        <v/>
      </c>
      <c r="M23" s="115" t="s">
        <v>705</v>
      </c>
      <c r="N23" s="116" t="str">
        <f t="shared" ca="1" si="11"/>
        <v>Serviço</v>
      </c>
      <c r="O23" s="117" t="str">
        <f t="shared" ca="1" si="12"/>
        <v>-</v>
      </c>
      <c r="P23" s="118" t="s">
        <v>750</v>
      </c>
      <c r="Q23" s="119" t="s">
        <v>1014</v>
      </c>
      <c r="R23" s="120" t="str" cm="1">
        <f t="array" aca="1" ref="R23" ca="1">IF($C23="S",REFERENCIA.Descricao,"(digite a descrição aqui)")</f>
        <v>(Código não identificado nas referências)</v>
      </c>
      <c r="S23" s="121" t="str" cm="1">
        <f t="array" aca="1" ref="S23" ca="1">REFERENCIA.Unidade</f>
        <v>-</v>
      </c>
      <c r="T23" s="122">
        <f ca="1">OFFSET(CÁLCULO!H$15,ROW($T23)-ROW(T$15),0)</f>
        <v>178.92</v>
      </c>
      <c r="U23" s="123">
        <f t="shared" ref="U23:U39" ca="1" si="16">AG23</f>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100344</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0.26579999999999998</v>
      </c>
      <c r="AJ23" s="431">
        <f>162.65*1.1</f>
        <v>178.91500000000002</v>
      </c>
      <c r="AL23" s="439"/>
      <c r="AM23" s="336">
        <f t="shared" ca="1" si="0"/>
        <v>0</v>
      </c>
      <c r="AN23" s="470" cm="1">
        <f t="array" aca="1" ref="AN23" ca="1">ROUND(ORÇAMENTO.CustoUnitario*(1+$AH23),2)</f>
        <v>0</v>
      </c>
    </row>
    <row r="24" spans="1:40" ht="25.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9"/>
        <v>0</v>
      </c>
      <c r="K24">
        <f ca="1">IF(OR($C24="S",$C24=0),0,MATCH(OFFSET($D24,0,$C24)+IF($C24&lt;&gt;1,1,COUNTIF(QCI!$A$13:$A$24,ORÇAMENTO!E24)),OFFSET($D24,1,$C24,ROW($C$48)-ROW($C24)),0))</f>
        <v>0</v>
      </c>
      <c r="L24" s="114" t="str">
        <f t="shared" ca="1" si="10"/>
        <v/>
      </c>
      <c r="M24" s="115" t="s">
        <v>705</v>
      </c>
      <c r="N24" s="116" t="str">
        <f t="shared" ca="1" si="11"/>
        <v>Serviço</v>
      </c>
      <c r="O24" s="117" t="str">
        <f t="shared" ca="1" si="12"/>
        <v>-</v>
      </c>
      <c r="P24" s="118" t="s">
        <v>750</v>
      </c>
      <c r="Q24" s="119" t="s">
        <v>1015</v>
      </c>
      <c r="R24" s="120" t="str" cm="1">
        <f t="array" aca="1" ref="R24" ca="1">IF($C24="S",REFERENCIA.Descricao,"(digite a descrição aqui)")</f>
        <v>(Código não identificado nas referências)</v>
      </c>
      <c r="S24" s="121" t="str" cm="1">
        <f t="array" aca="1" ref="S24" ca="1">REFERENCIA.Unidade</f>
        <v>-</v>
      </c>
      <c r="T24" s="122">
        <f ca="1">OFFSET(CÁLCULO!H$15,ROW($T24)-ROW(T$15),0)</f>
        <v>830.87</v>
      </c>
      <c r="U24" s="123">
        <f t="shared" ca="1" si="16"/>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13"/>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100345</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0.26579999999999998</v>
      </c>
      <c r="AJ24" s="431">
        <f>755.34*1.1</f>
        <v>830.87400000000014</v>
      </c>
      <c r="AL24" s="439"/>
      <c r="AM24" s="336">
        <f t="shared" ca="1" si="0"/>
        <v>0</v>
      </c>
      <c r="AN24" s="470" cm="1">
        <f t="array" aca="1" ref="AN24" ca="1">ROUND(ORÇAMENTO.CustoUnitario*(1+$AH24),2)</f>
        <v>0</v>
      </c>
    </row>
    <row r="25" spans="1:40" ht="25.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IF(OR($C25="S",$C25=0),0,MATCH(OFFSET($D25,0,$C25)+IF($C25&lt;&gt;1,1,COUNTIF(QCI!$A$13:$A$24,ORÇAMENTO!E25)),OFFSET($D25,1,$C25,ROW($C$48)-ROW($C25)),0))</f>
        <v>0</v>
      </c>
      <c r="L25" s="114" t="str">
        <f t="shared" ca="1" si="10"/>
        <v/>
      </c>
      <c r="M25" s="115" t="s">
        <v>705</v>
      </c>
      <c r="N25" s="116" t="str">
        <f t="shared" ca="1" si="11"/>
        <v>Serviço</v>
      </c>
      <c r="O25" s="117" t="str">
        <f t="shared" ca="1" si="12"/>
        <v>-</v>
      </c>
      <c r="P25" s="118" t="s">
        <v>750</v>
      </c>
      <c r="Q25" s="119" t="s">
        <v>1024</v>
      </c>
      <c r="R25" s="120" t="str" cm="1">
        <f t="array" aca="1" ref="R25" ca="1">IF($C25="S",REFERENCIA.Descricao,"(digite a descrição aqui)")</f>
        <v>(Código não identificado nas referências)</v>
      </c>
      <c r="S25" s="121" t="str" cm="1">
        <f t="array" aca="1" ref="S25" ca="1">REFERENCIA.Unidade</f>
        <v>-</v>
      </c>
      <c r="T25" s="122">
        <f ca="1">OFFSET(CÁLCULO!H$15,ROW($T25)-ROW(T$15),0)</f>
        <v>182.59</v>
      </c>
      <c r="U25" s="123">
        <f t="shared" ca="1" si="16"/>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100348</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0.26579999999999998</v>
      </c>
      <c r="AJ25" s="431">
        <f>165.99*1.1</f>
        <v>182.58900000000003</v>
      </c>
      <c r="AL25" s="439"/>
      <c r="AM25" s="336">
        <f t="shared" ca="1" si="0"/>
        <v>0</v>
      </c>
      <c r="AN25" s="470" cm="1">
        <f t="array" aca="1" ref="AN25" ca="1">ROUND(ORÇAMENTO.CustoUnitario*(1+$AH25),2)</f>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IF(OR($C26="S",$C26=0),0,MATCH(OFFSET($D26,0,$C26)+IF($C26&lt;&gt;1,1,COUNTIF(QCI!$A$13:$A$24,ORÇAMENTO!E26)),OFFSET($D26,1,$C26,ROW($C$48)-ROW($C26)),0))</f>
        <v>0</v>
      </c>
      <c r="L26" s="114" t="str">
        <f t="shared" ca="1" si="10"/>
        <v/>
      </c>
      <c r="M26" s="115" t="s">
        <v>705</v>
      </c>
      <c r="N26" s="116" t="str">
        <f t="shared" ca="1" si="11"/>
        <v>Serviço</v>
      </c>
      <c r="O26" s="117" t="str">
        <f t="shared" ca="1" si="12"/>
        <v>-</v>
      </c>
      <c r="P26" s="118" t="s">
        <v>956</v>
      </c>
      <c r="Q26" s="119" t="s">
        <v>1012</v>
      </c>
      <c r="R26" s="120" t="str" cm="1">
        <f t="array" aca="1" ref="R26" ca="1">IF($C26="S",REFERENCIA.Descricao,"(digite a descrição aqui)")</f>
        <v>(Código não identificado nas referências)</v>
      </c>
      <c r="S26" s="121" t="str" cm="1">
        <f t="array" aca="1" ref="S26" ca="1">REFERENCIA.Unidade</f>
        <v>-</v>
      </c>
      <c r="T26" s="122">
        <f ca="1">OFFSET(CÁLCULO!H$15,ROW($T26)-ROW(T$15),0)</f>
        <v>37.78</v>
      </c>
      <c r="U26" s="123">
        <f t="shared" ca="1" si="16"/>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Composição 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0.26579999999999998</v>
      </c>
      <c r="AJ26" s="431">
        <v>37.78</v>
      </c>
      <c r="AL26" s="439"/>
      <c r="AM26" s="336">
        <f t="shared" ca="1" si="0"/>
        <v>0</v>
      </c>
      <c r="AN26" s="470" cm="1">
        <f t="array" aca="1" ref="AN26" ca="1">ROUND(ORÇAMENTO.CustoUnitario*(1+$AH26),2)</f>
        <v>0</v>
      </c>
    </row>
    <row r="27" spans="1:40" ht="51" x14ac:dyDescent="0.2">
      <c r="A27" t="str">
        <f t="shared" ref="A27:A33" si="17">CHOOSE(1+LOG(1+2*(ORÇAMENTO.Nivel="Meta")+4*(ORÇAMENTO.Nivel="Nível 2")+8*(ORÇAMENTO.Nivel="Nível 3")+16*(ORÇAMENTO.Nivel="Nível 4")+32*(ORÇAMENTO.Nivel="Serviço"),2),0,1,2,3,4,"S")</f>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2</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IF(OR($C27="S",$C27=0),0,MATCH(OFFSET($D27,0,$C27)+IF($C27&lt;&gt;1,1,COUNTIF(QCI!$A$13:$A$24,ORÇAMENTO!E27)),OFFSET($D27,1,$C27,ROW($C$48)-ROW($C27)),0))</f>
        <v>0</v>
      </c>
      <c r="L27" s="114" t="str">
        <f ca="1">IF(OR($X27&gt;0,$C27=1,$C27=2,$C27=3,$C27=4),"F","")</f>
        <v/>
      </c>
      <c r="M27" s="115" t="s">
        <v>705</v>
      </c>
      <c r="N27" s="116" t="str">
        <f ca="1">CHOOSE(1+LOG(1+2*(C27=1)+4*(C27=2)+8*(C27=3)+16*(C27=4)+32*(C27="S"),2),"","Meta","Nível 2","Nível 3","Nível 4","Serviço")</f>
        <v>Serviço</v>
      </c>
      <c r="O27" s="117" t="str">
        <f ca="1">IF(OR($C27=0,$L27=""),"-",CONCATENATE(E27&amp;".",IF(AND($A$5&gt;=2,$C27&gt;=2),F27&amp;".",""),IF(AND($A$5&gt;=3,$C27&gt;=3),G27&amp;".",""),IF(AND($A$5&gt;=4,$C27&gt;=4),H27&amp;".",""),IF($C27="S",I27&amp;".","")))</f>
        <v>-</v>
      </c>
      <c r="P27" s="118" t="s">
        <v>956</v>
      </c>
      <c r="Q27" s="119" t="s">
        <v>1016</v>
      </c>
      <c r="R27" s="120" t="str" cm="1">
        <f t="array" aca="1" ref="R27" ca="1">IF($C27="S",REFERENCIA.Descricao,"(digite a descrição aqui)")</f>
        <v>(Código não identificado nas referências)</v>
      </c>
      <c r="S27" s="121" t="str" cm="1">
        <f t="array" aca="1" ref="S27" ca="1">REFERENCIA.Unidade</f>
        <v>-</v>
      </c>
      <c r="T27" s="122">
        <f ca="1">OFFSET(CÁLCULO!H$15,ROW($T27)-ROW(T$15),0)</f>
        <v>82.92</v>
      </c>
      <c r="U27" s="123">
        <f t="shared" ca="1" si="16"/>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ca="1">IF(AND($C27="S",$X27&gt;0),IF(ISBLANK($Y27),"RA",LEFT($Y27,2)),"")</f>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Composição 2</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ref="AH27:AH33" ca="1" si="18">ROUND(IF(ISNUMBER(ORÇAMENTO.OpcaoBDI),ORÇAMENTO.OpcaoBDI,IF(LEFT(ORÇAMENTO.OpcaoBDI,3)="BDI",HLOOKUP(ORÇAMENTO.OpcaoBDI,$F$4:$H$5,2,FALSE),0)),15-11*$AF$9)</f>
        <v>0.26579999999999998</v>
      </c>
      <c r="AJ27" s="431">
        <f>41.46*2</f>
        <v>82.92</v>
      </c>
      <c r="AL27" s="439"/>
      <c r="AM27" s="336">
        <f t="shared" ref="AM27" ca="1" si="19">$X27</f>
        <v>0</v>
      </c>
      <c r="AN27" s="470" cm="1">
        <f t="array" aca="1" ref="AN27" ca="1">ROUND(ORÇAMENTO.CustoUnitario*(1+$AH27),2)</f>
        <v>0</v>
      </c>
    </row>
    <row r="28" spans="1:40" ht="25.5" x14ac:dyDescent="0.2">
      <c r="A28" t="str">
        <f t="shared" si="17"/>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2</v>
      </c>
      <c r="G28">
        <f ca="1">IF(AND($C28&lt;=2,$C28&lt;&gt;0),0,IF($C28=3,OFFSET(G28,-1,0)+1,OFFSET(G28,-1,0)))</f>
        <v>0</v>
      </c>
      <c r="H28">
        <f ca="1">IF(AND($C28&lt;=3,$C28&lt;&gt;0),0,IF($C28=4,OFFSET(H28,-1,0)+1,OFFSET(H28,-1,0)))</f>
        <v>0</v>
      </c>
      <c r="I28">
        <f ca="1">IF(AND($C28&lt;=4,$C28&lt;&gt;0),0,IF(AND($C28="S",$X28&gt;0),OFFSET(I28,-1,0)+1,OFFSET(I28,-1,0)))</f>
        <v>1</v>
      </c>
      <c r="J28">
        <f t="shared" ca="1" si="9"/>
        <v>0</v>
      </c>
      <c r="K28">
        <f ca="1">IF(OR($C28="S",$C28=0),0,MATCH(OFFSET($D28,0,$C28)+IF($C28&lt;&gt;1,1,COUNTIF(QCI!$A$13:$A$24,ORÇAMENTO!E28)),OFFSET($D28,1,$C28,ROW($C$48)-ROW($C28)),0))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1.2.1.</v>
      </c>
      <c r="P28" s="118" t="s">
        <v>955</v>
      </c>
      <c r="Q28" s="119" t="s">
        <v>1025</v>
      </c>
      <c r="R28" s="120" t="s">
        <v>1027</v>
      </c>
      <c r="S28" s="121" t="s">
        <v>507</v>
      </c>
      <c r="T28" s="122">
        <f ca="1">OFFSET(CÁLCULO!H$15,ROW($T28)-ROW(T$15),0)</f>
        <v>9.2799999999999994</v>
      </c>
      <c r="U28" s="123">
        <v>127.53</v>
      </c>
      <c r="V28" s="124" t="s">
        <v>663</v>
      </c>
      <c r="W28" s="122" cm="1">
        <f t="array" aca="1" ref="W28" ca="1">IF($C28="S",ROUND(IF(TIPOORCAMENTO="Proposto",ORÇAMENTO.CustoUnitario*(1+$AH28),ORÇAMENTO.PrecoUnitarioLicitado),15-13*$AF$10),0)</f>
        <v>161.43</v>
      </c>
      <c r="X28" s="125" cm="1">
        <f t="array" aca="1" ref="X28" ca="1">IF($C28="S",IF(OR(Import.TipoArredondamento&lt;&gt;"TransfereGOV",ACOMPANHAMENTO="BM"),VTOTAL1,SUM(OFFSET(CÁLCULO!$AA$15,ROW($X28)-ROW($X$15),1):OFFSET(CÁLCULO!$AL$15,ROW($X28)-ROW($X$15),-1))),IF($C28=0,0,ROUND(SomaAgrup,15-13*$AF$11)))</f>
        <v>1498.07</v>
      </c>
      <c r="Y28" s="126" t="s">
        <v>751</v>
      </c>
      <c r="Z28" t="str">
        <f ca="1">IF(AND($C28="S",$X28&gt;0),IF(ISBLANK($Y28),"RA",LEFT($Y28,2)),"")</f>
        <v>RA</v>
      </c>
      <c r="AA28" s="127" cm="1">
        <f t="array" aca="1" ref="AA28" ca="1">IF($C28="S",IF($Z28="CP",$X28,IF($Z28="RA",(($X28)*QCI!$AA$3),0)),SomaAgrup)</f>
        <v>1498.07</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SICRO 307732</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8"/>
        <v>0.26579999999999998</v>
      </c>
      <c r="AJ28" s="431">
        <f>2.32*4</f>
        <v>9.2799999999999994</v>
      </c>
      <c r="AL28" s="439"/>
      <c r="AM28" s="336">
        <f t="shared" ca="1" si="0"/>
        <v>1498.07</v>
      </c>
      <c r="AN28" s="470" cm="1">
        <f t="array" aca="1" ref="AN28" ca="1">ROUND(ORÇAMENTO.CustoUnitario*(1+$AH28),2)</f>
        <v>161.43</v>
      </c>
    </row>
    <row r="29" spans="1:40" ht="25.5" x14ac:dyDescent="0.2">
      <c r="A29" t="str">
        <f t="shared" si="17"/>
        <v>S</v>
      </c>
      <c r="B29">
        <f ca="1">IF(OR(C29="s",C29=0),OFFSET(B29,-1,0),C29)</f>
        <v>2</v>
      </c>
      <c r="C29" t="str">
        <f ca="1">IF(OFFSET(C29,-1,0)="L",1,IF(OFFSET(C29,-1,0)=1,2,IF(OR(A29="s",A29=0),"S",IF(AND(OFFSET(C29,-1,0)=2,A29=4),3,IF(AND(OR(OFFSET(C29,-1,0)="s",OFFSET(C29,-1,0)=0),A29&lt;&gt;"s",A29&gt;OFFSET(B29,-1,0)),OFFSET(B29,-1,0),A29)))))</f>
        <v>S</v>
      </c>
      <c r="D29">
        <f ca="1">IF(OR(C29="S",C29=0),0,IF(ISERROR(K29),J29,SMALL(J29:K29,1)))</f>
        <v>0</v>
      </c>
      <c r="E29">
        <f ca="1">IF($C29=1,OFFSET(E29,-1,0)+MAX(1,COUNTIF(QCI!$A$13:$A$24,OFFSET(ORÇAMENTO!E29,-1,0))),OFFSET(E29,-1,0))</f>
        <v>1</v>
      </c>
      <c r="F29">
        <f ca="1">IF($C29=1,0,IF($C29=2,OFFSET(F29,-1,0)+1,OFFSET(F29,-1,0)))</f>
        <v>2</v>
      </c>
      <c r="G29">
        <f ca="1">IF(AND($C29&lt;=2,$C29&lt;&gt;0),0,IF($C29=3,OFFSET(G29,-1,0)+1,OFFSET(G29,-1,0)))</f>
        <v>0</v>
      </c>
      <c r="H29">
        <f ca="1">IF(AND($C29&lt;=3,$C29&lt;&gt;0),0,IF($C29=4,OFFSET(H29,-1,0)+1,OFFSET(H29,-1,0)))</f>
        <v>0</v>
      </c>
      <c r="I29">
        <f ca="1">IF(AND($C29&lt;=4,$C29&lt;&gt;0),0,IF(AND($C29="S",$X29&gt;0),OFFSET(I29,-1,0)+1,OFFSET(I29,-1,0)))</f>
        <v>2</v>
      </c>
      <c r="J29">
        <f t="shared" ca="1" si="9"/>
        <v>0</v>
      </c>
      <c r="K29">
        <f ca="1">IF(OR($C29="S",$C29=0),0,MATCH(OFFSET($D29,0,$C29)+IF($C29&lt;&gt;1,1,COUNTIF(QCI!$A$13:$A$24,ORÇAMENTO!E29)),OFFSET($D29,1,$C29,ROW($C$48)-ROW($C29)),0))</f>
        <v>0</v>
      </c>
      <c r="L29" s="114" t="str">
        <f ca="1">IF(OR($X29&gt;0,$C29=1,$C29=2,$C29=3,$C29=4),"F","")</f>
        <v>F</v>
      </c>
      <c r="M29" s="115" t="s">
        <v>705</v>
      </c>
      <c r="N29" s="116" t="str">
        <f ca="1">CHOOSE(1+LOG(1+2*(C29=1)+4*(C29=2)+8*(C29=3)+16*(C29=4)+32*(C29="S"),2),"","Meta","Nível 2","Nível 3","Nível 4","Serviço")</f>
        <v>Serviço</v>
      </c>
      <c r="O29" s="117" t="str">
        <f ca="1">IF(OR($C29=0,$L29=""),"-",CONCATENATE(E29&amp;".",IF(AND($A$5&gt;=2,$C29&gt;=2),F29&amp;".",""),IF(AND($A$5&gt;=3,$C29&gt;=3),G29&amp;".",""),IF(AND($A$5&gt;=4,$C29&gt;=4),H29&amp;".",""),IF($C29="S",I29&amp;".","")))</f>
        <v>1.2.2.</v>
      </c>
      <c r="P29" s="118" t="s">
        <v>955</v>
      </c>
      <c r="Q29" s="119" t="s">
        <v>1033</v>
      </c>
      <c r="R29" s="120" t="s">
        <v>1034</v>
      </c>
      <c r="S29" s="121" t="s">
        <v>617</v>
      </c>
      <c r="T29" s="122">
        <f ca="1">OFFSET(CÁLCULO!H$15,ROW($T29)-ROW(T$15),0)</f>
        <v>7.7</v>
      </c>
      <c r="U29" s="123">
        <v>65.8</v>
      </c>
      <c r="V29" s="124" t="s">
        <v>663</v>
      </c>
      <c r="W29" s="122" cm="1">
        <f t="array" aca="1" ref="W29" ca="1">IF($C29="S",ROUND(IF(TIPOORCAMENTO="Proposto",ORÇAMENTO.CustoUnitario*(1+$AH29),ORÇAMENTO.PrecoUnitarioLicitado),15-13*$AF$10),0)</f>
        <v>83.29</v>
      </c>
      <c r="X29" s="125" cm="1">
        <f t="array" aca="1" ref="X29" ca="1">IF($C29="S",IF(OR(Import.TipoArredondamento&lt;&gt;"TransfereGOV",ACOMPANHAMENTO="BM"),VTOTAL1,SUM(OFFSET(CÁLCULO!$AA$15,ROW($X29)-ROW($X$15),1):OFFSET(CÁLCULO!$AL$15,ROW($X29)-ROW($X$15),-1))),IF($C29=0,0,ROUND(SomaAgrup,15-13*$AF$11)))</f>
        <v>641.33000000000004</v>
      </c>
      <c r="Y29" s="126" t="s">
        <v>751</v>
      </c>
      <c r="Z29" t="str">
        <f ca="1">IF(AND($C29="S",$X29&gt;0),IF(ISBLANK($Y29),"RA",LEFT($Y29,2)),"")</f>
        <v>RA</v>
      </c>
      <c r="AA29" s="127" cm="1">
        <f t="array" aca="1" ref="AA29" ca="1">IF($C29="S",IF($Z29="CP",$X29,IF($Z29="RA",(($X29)*QCI!$AA$3),0)),SomaAgrup)</f>
        <v>641.33000000000004</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SICRO 2407972</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8"/>
        <v>0.26579999999999998</v>
      </c>
      <c r="AJ29" s="431">
        <f>0.35*22</f>
        <v>7.6999999999999993</v>
      </c>
      <c r="AL29" s="439"/>
      <c r="AM29" s="336">
        <f t="shared" ca="1" si="0"/>
        <v>641.33000000000004</v>
      </c>
      <c r="AN29" s="470" cm="1">
        <f t="array" aca="1" ref="AN29" ca="1">ROUND(ORÇAMENTO.CustoUnitario*(1+$AH29),2)</f>
        <v>83.29</v>
      </c>
    </row>
    <row r="30" spans="1:40" x14ac:dyDescent="0.2">
      <c r="A30" t="str">
        <f t="shared" si="17"/>
        <v>S</v>
      </c>
      <c r="B30">
        <f ca="1">IF(OR(C30="s",C30=0),OFFSET(B30,-1,0),C30)</f>
        <v>2</v>
      </c>
      <c r="C30" t="str">
        <f ca="1">IF(OFFSET(C30,-1,0)="L",1,IF(OFFSET(C30,-1,0)=1,2,IF(OR(A30="s",A30=0),"S",IF(AND(OFFSET(C30,-1,0)=2,A30=4),3,IF(AND(OR(OFFSET(C30,-1,0)="s",OFFSET(C30,-1,0)=0),A30&lt;&gt;"s",A30&gt;OFFSET(B30,-1,0)),OFFSET(B30,-1,0),A30)))))</f>
        <v>S</v>
      </c>
      <c r="D30">
        <f ca="1">IF(OR(C30="S",C30=0),0,IF(ISERROR(K30),J30,SMALL(J30:K30,1)))</f>
        <v>0</v>
      </c>
      <c r="E30">
        <f ca="1">IF($C30=1,OFFSET(E30,-1,0)+MAX(1,COUNTIF(QCI!$A$13:$A$24,OFFSET(ORÇAMENTO!E30,-1,0))),OFFSET(E30,-1,0))</f>
        <v>1</v>
      </c>
      <c r="F30">
        <f ca="1">IF($C30=1,0,IF($C30=2,OFFSET(F30,-1,0)+1,OFFSET(F30,-1,0)))</f>
        <v>2</v>
      </c>
      <c r="G30">
        <f ca="1">IF(AND($C30&lt;=2,$C30&lt;&gt;0),0,IF($C30=3,OFFSET(G30,-1,0)+1,OFFSET(G30,-1,0)))</f>
        <v>0</v>
      </c>
      <c r="H30">
        <f ca="1">IF(AND($C30&lt;=3,$C30&lt;&gt;0),0,IF($C30=4,OFFSET(H30,-1,0)+1,OFFSET(H30,-1,0)))</f>
        <v>0</v>
      </c>
      <c r="I30">
        <f ca="1">IF(AND($C30&lt;=4,$C30&lt;&gt;0),0,IF(AND($C30="S",$X30&gt;0),OFFSET(I30,-1,0)+1,OFFSET(I30,-1,0)))</f>
        <v>2</v>
      </c>
      <c r="J30">
        <f t="shared" ca="1" si="9"/>
        <v>0</v>
      </c>
      <c r="K30">
        <f ca="1">IF(OR($C30="S",$C30=0),0,MATCH(OFFSET($D30,0,$C30)+IF($C30&lt;&gt;1,1,COUNTIF(QCI!$A$13:$A$24,ORÇAMENTO!E30)),OFFSET($D30,1,$C30,ROW($C$48)-ROW($C30)),0))</f>
        <v>0</v>
      </c>
      <c r="L30" s="114" t="str">
        <f ca="1">IF(OR($X30&gt;0,$C30=1,$C30=2,$C30=3,$C30=4),"F","")</f>
        <v/>
      </c>
      <c r="M30" s="115" t="s">
        <v>705</v>
      </c>
      <c r="N30" s="116" t="str">
        <f ca="1">CHOOSE(1+LOG(1+2*(C30=1)+4*(C30=2)+8*(C30=3)+16*(C30=4)+32*(C30="S"),2),"","Meta","Nível 2","Nível 3","Nível 4","Serviço")</f>
        <v>Serviço</v>
      </c>
      <c r="O30" s="117" t="str">
        <f ca="1">IF(OR($C30=0,$L30=""),"-",CONCATENATE(E30&amp;".",IF(AND($A$5&gt;=2,$C30&gt;=2),F30&amp;".",""),IF(AND($A$5&gt;=3,$C30&gt;=3),G30&amp;".",""),IF(AND($A$5&gt;=4,$C30&gt;=4),H30&amp;".",""),IF($C30="S",I30&amp;".","")))</f>
        <v>-</v>
      </c>
      <c r="P30" s="118" t="s">
        <v>956</v>
      </c>
      <c r="Q30" s="119" t="s">
        <v>1032</v>
      </c>
      <c r="R30" s="120" t="str" cm="1">
        <f t="array" aca="1" ref="R30" ca="1">IF($C30="S",REFERENCIA.Descricao,"(digite a descrição aqui)")</f>
        <v>(Código não identificado nas referências)</v>
      </c>
      <c r="S30" s="121" t="str" cm="1">
        <f t="array" aca="1" ref="S30" ca="1">REFERENCIA.Unidade</f>
        <v>-</v>
      </c>
      <c r="T30" s="122">
        <f ca="1">OFFSET(CÁLCULO!H$15,ROW($T30)-ROW(T$15),0)</f>
        <v>11</v>
      </c>
      <c r="U30" s="123">
        <f t="shared" ca="1" si="16"/>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ca="1">IF(AND($C30="S",$X30&gt;0),IF(ISBLANK($Y30),"RA",LEFT($Y30,2)),"")</f>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6</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8"/>
        <v>0.26579999999999998</v>
      </c>
      <c r="AJ30" s="431">
        <f>0.5*22</f>
        <v>11</v>
      </c>
      <c r="AL30" s="439"/>
      <c r="AM30" s="336">
        <f t="shared" ca="1" si="0"/>
        <v>0</v>
      </c>
      <c r="AN30" s="470" cm="1">
        <f t="array" aca="1" ref="AN30" ca="1">ROUND(ORÇAMENTO.CustoUnitario*(1+$AH30),2)</f>
        <v>0</v>
      </c>
    </row>
    <row r="31" spans="1:40" ht="38.25" x14ac:dyDescent="0.2">
      <c r="A31" t="str">
        <f t="shared" si="17"/>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2</v>
      </c>
      <c r="G31">
        <f ca="1">IF(AND($C31&lt;=2,$C31&lt;&gt;0),0,IF($C31=3,OFFSET(G31,-1,0)+1,OFFSET(G31,-1,0)))</f>
        <v>0</v>
      </c>
      <c r="H31">
        <f ca="1">IF(AND($C31&lt;=3,$C31&lt;&gt;0),0,IF($C31=4,OFFSET(H31,-1,0)+1,OFFSET(H31,-1,0)))</f>
        <v>0</v>
      </c>
      <c r="I31">
        <f ca="1">IF(AND($C31&lt;=4,$C31&lt;&gt;0),0,IF(AND($C31="S",$X31&gt;0),OFFSET(I31,-1,0)+1,OFFSET(I31,-1,0)))</f>
        <v>2</v>
      </c>
      <c r="J31">
        <f t="shared" ca="1" si="9"/>
        <v>0</v>
      </c>
      <c r="K31">
        <f ca="1">IF(OR($C31="S",$C31=0),0,MATCH(OFFSET($D31,0,$C31)+IF($C31&lt;&gt;1,1,COUNTIF(QCI!$A$13:$A$24,ORÇAMENTO!E31)),OFFSET($D31,1,$C31,ROW($C$48)-ROW($C31)),0))</f>
        <v>0</v>
      </c>
      <c r="L31" s="114" t="str">
        <f ca="1">IF(OR($X31&gt;0,$C31=1,$C31=2,$C31=3,$C31=4),"F","")</f>
        <v/>
      </c>
      <c r="M31" s="115" t="s">
        <v>705</v>
      </c>
      <c r="N31" s="116" t="str">
        <f ca="1">CHOOSE(1+LOG(1+2*(C31=1)+4*(C31=2)+8*(C31=3)+16*(C31=4)+32*(C31="S"),2),"","Meta","Nível 2","Nível 3","Nível 4","Serviço")</f>
        <v>Serviço</v>
      </c>
      <c r="O31" s="117" t="str">
        <f ca="1">IF(OR($C31=0,$L31=""),"-",CONCATENATE(E31&amp;".",IF(AND($A$5&gt;=2,$C31&gt;=2),F31&amp;".",""),IF(AND($A$5&gt;=3,$C31&gt;=3),G31&amp;".",""),IF(AND($A$5&gt;=4,$C31&gt;=4),H31&amp;".",""),IF($C31="S",I31&amp;".","")))</f>
        <v>-</v>
      </c>
      <c r="P31" s="118" t="s">
        <v>750</v>
      </c>
      <c r="Q31" s="119" t="s">
        <v>1035</v>
      </c>
      <c r="R31" s="120" t="str" cm="1">
        <f t="array" aca="1" ref="R31" ca="1">IF($C31="S",REFERENCIA.Descricao,"(digite a descrição aqui)")</f>
        <v>(Código não identificado nas referências)</v>
      </c>
      <c r="S31" s="121" t="str" cm="1">
        <f t="array" aca="1" ref="S31" ca="1">REFERENCIA.Unidade</f>
        <v>-</v>
      </c>
      <c r="T31" s="122">
        <f ca="1">OFFSET(CÁLCULO!H$15,ROW($T31)-ROW(T$15),0)</f>
        <v>0.75</v>
      </c>
      <c r="U31" s="123">
        <f t="shared" ca="1" si="16"/>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ca="1">IF(AND($C31="S",$X31&gt;0),IF(ISBLANK($Y31),"RA",LEFT($Y31,2)),"")</f>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94974</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8"/>
        <v>0.26579999999999998</v>
      </c>
      <c r="AJ31" s="431">
        <f>0.05*15</f>
        <v>0.75</v>
      </c>
      <c r="AL31" s="439"/>
      <c r="AM31" s="336">
        <f t="shared" ca="1" si="0"/>
        <v>0</v>
      </c>
      <c r="AN31" s="470" cm="1">
        <f t="array" aca="1" ref="AN31" ca="1">ROUND(ORÇAMENTO.CustoUnitario*(1+$AH31),2)</f>
        <v>0</v>
      </c>
    </row>
    <row r="32" spans="1:40" ht="25.5" x14ac:dyDescent="0.2">
      <c r="A32" t="str">
        <f t="shared" si="17"/>
        <v>S</v>
      </c>
      <c r="B32">
        <f t="shared" ref="B32:B33" ca="1" si="20">IF(OR(C32="s",C32=0),OFFSET(B32,-1,0),C32)</f>
        <v>2</v>
      </c>
      <c r="C32" t="str">
        <f t="shared" ref="C32:C33" ca="1" si="21">IF(OFFSET(C32,-1,0)="L",1,IF(OFFSET(C32,-1,0)=1,2,IF(OR(A32="s",A32=0),"S",IF(AND(OFFSET(C32,-1,0)=2,A32=4),3,IF(AND(OR(OFFSET(C32,-1,0)="s",OFFSET(C32,-1,0)=0),A32&lt;&gt;"s",A32&gt;OFFSET(B32,-1,0)),OFFSET(B32,-1,0),A32)))))</f>
        <v>S</v>
      </c>
      <c r="D32">
        <f t="shared" ref="D32:D33" ca="1" si="22">IF(OR(C32="S",C32=0),0,IF(ISERROR(K32),J32,SMALL(J32:K32,1)))</f>
        <v>0</v>
      </c>
      <c r="E32">
        <f ca="1">IF($C32=1,OFFSET(E32,-1,0)+MAX(1,COUNTIF(QCI!$A$13:$A$24,OFFSET(ORÇAMENTO!E32,-1,0))),OFFSET(E32,-1,0))</f>
        <v>1</v>
      </c>
      <c r="F32">
        <f t="shared" ref="F32:F33" ca="1" si="23">IF($C32=1,0,IF($C32=2,OFFSET(F32,-1,0)+1,OFFSET(F32,-1,0)))</f>
        <v>2</v>
      </c>
      <c r="G32">
        <f t="shared" ref="G32:G33" ca="1" si="24">IF(AND($C32&lt;=2,$C32&lt;&gt;0),0,IF($C32=3,OFFSET(G32,-1,0)+1,OFFSET(G32,-1,0)))</f>
        <v>0</v>
      </c>
      <c r="H32">
        <f t="shared" ref="H32:H33" ca="1" si="25">IF(AND($C32&lt;=3,$C32&lt;&gt;0),0,IF($C32=4,OFFSET(H32,-1,0)+1,OFFSET(H32,-1,0)))</f>
        <v>0</v>
      </c>
      <c r="I32">
        <f t="shared" ref="I32:I33" ca="1" si="26">IF(AND($C32&lt;=4,$C32&lt;&gt;0),0,IF(AND($C32="S",$X32&gt;0),OFFSET(I32,-1,0)+1,OFFSET(I32,-1,0)))</f>
        <v>3</v>
      </c>
      <c r="J32">
        <f t="shared" ca="1" si="9"/>
        <v>0</v>
      </c>
      <c r="K32">
        <f ca="1">IF(OR($C32="S",$C32=0),0,MATCH(OFFSET($D32,0,$C32)+IF($C32&lt;&gt;1,1,COUNTIF(QCI!$A$13:$A$24,ORÇAMENTO!E32)),OFFSET($D32,1,$C32,ROW($C$48)-ROW($C32)),0))</f>
        <v>0</v>
      </c>
      <c r="L32" s="114" t="str">
        <f t="shared" ref="L32:L33" ca="1" si="27">IF(OR($X32&gt;0,$C32=1,$C32=2,$C32=3,$C32=4),"F","")</f>
        <v>F</v>
      </c>
      <c r="M32" s="115" t="s">
        <v>705</v>
      </c>
      <c r="N32" s="116" t="str">
        <f t="shared" ref="N32:N33" ca="1" si="28">CHOOSE(1+LOG(1+2*(C32=1)+4*(C32=2)+8*(C32=3)+16*(C32=4)+32*(C32="S"),2),"","Meta","Nível 2","Nível 3","Nível 4","Serviço")</f>
        <v>Serviço</v>
      </c>
      <c r="O32" s="117" t="str">
        <f t="shared" ref="O32:O33" ca="1" si="29">IF(OR($C32=0,$L32=""),"-",CONCATENATE(E32&amp;".",IF(AND($A$5&gt;=2,$C32&gt;=2),F32&amp;".",""),IF(AND($A$5&gt;=3,$C32&gt;=3),G32&amp;".",""),IF(AND($A$5&gt;=4,$C32&gt;=4),H32&amp;".",""),IF($C32="S",I32&amp;".","")))</f>
        <v>1.2.3.</v>
      </c>
      <c r="P32" s="118" t="s">
        <v>955</v>
      </c>
      <c r="Q32" s="119" t="s">
        <v>1044</v>
      </c>
      <c r="R32" s="120" t="s">
        <v>1045</v>
      </c>
      <c r="S32" s="121" t="s">
        <v>1046</v>
      </c>
      <c r="T32" s="122">
        <f ca="1">OFFSET(CÁLCULO!H$15,ROW($T32)-ROW(T$15),0)</f>
        <v>554.83000000000004</v>
      </c>
      <c r="U32" s="123">
        <v>1.24</v>
      </c>
      <c r="V32" s="124" t="s">
        <v>663</v>
      </c>
      <c r="W32" s="122" cm="1">
        <f t="array" aca="1" ref="W32" ca="1">IF($C32="S",ROUND(IF(TIPOORCAMENTO="Proposto",ORÇAMENTO.CustoUnitario*(1+$AH32),ORÇAMENTO.PrecoUnitarioLicitado),15-13*$AF$10),0)</f>
        <v>1.57</v>
      </c>
      <c r="X32" s="125" cm="1">
        <f t="array" aca="1" ref="X32" ca="1">IF($C32="S",IF(OR(Import.TipoArredondamento&lt;&gt;"TransfereGOV",ACOMPANHAMENTO="BM"),VTOTAL1,SUM(OFFSET(CÁLCULO!$AA$15,ROW($X32)-ROW($X$15),1):OFFSET(CÁLCULO!$AL$15,ROW($X32)-ROW($X$15),-1))),IF($C32=0,0,ROUND(SomaAgrup,15-13*$AF$11)))</f>
        <v>871.08</v>
      </c>
      <c r="Y32" s="126" t="s">
        <v>751</v>
      </c>
      <c r="Z32" t="str">
        <f t="shared" ref="Z32:Z33" ca="1" si="30">IF(AND($C32="S",$X32&gt;0),IF(ISBLANK($Y32),"RA",LEFT($Y32,2)),"")</f>
        <v>RA</v>
      </c>
      <c r="AA32" s="127" cm="1">
        <f t="array" aca="1" ref="AA32" ca="1">IF($C32="S",IF($Z32="CP",$X32,IF($Z32="RA",(($X32)*QCI!$AA$3),0)),SomaAgrup)</f>
        <v>871.08</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SICRO 5914539</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8"/>
        <v>0.26579999999999998</v>
      </c>
      <c r="AJ32" s="431">
        <f>(7.5-1.5)*2.4*(AJ31+AJ26)</f>
        <v>554.83199999999999</v>
      </c>
      <c r="AL32" s="439"/>
      <c r="AM32" s="336">
        <f t="shared" ca="1" si="0"/>
        <v>871.08</v>
      </c>
      <c r="AN32" s="470" cm="1">
        <f t="array" aca="1" ref="AN32" ca="1">ROUND(ORÇAMENTO.CustoUnitario*(1+$AH32),2)</f>
        <v>1.57</v>
      </c>
    </row>
    <row r="33" spans="1:40" ht="25.5" x14ac:dyDescent="0.2">
      <c r="A33" t="str">
        <f t="shared" si="17"/>
        <v>S</v>
      </c>
      <c r="B33">
        <f t="shared" ca="1" si="20"/>
        <v>2</v>
      </c>
      <c r="C33" t="str">
        <f t="shared" ca="1" si="21"/>
        <v>S</v>
      </c>
      <c r="D33">
        <f t="shared" ca="1" si="22"/>
        <v>0</v>
      </c>
      <c r="E33">
        <f ca="1">IF($C33=1,OFFSET(E33,-1,0)+MAX(1,COUNTIF(QCI!$A$13:$A$24,OFFSET(ORÇAMENTO!E33,-1,0))),OFFSET(E33,-1,0))</f>
        <v>1</v>
      </c>
      <c r="F33">
        <f t="shared" ca="1" si="23"/>
        <v>2</v>
      </c>
      <c r="G33">
        <f t="shared" ca="1" si="24"/>
        <v>0</v>
      </c>
      <c r="H33">
        <f t="shared" ca="1" si="25"/>
        <v>0</v>
      </c>
      <c r="I33">
        <f t="shared" ca="1" si="26"/>
        <v>4</v>
      </c>
      <c r="J33">
        <f t="shared" ca="1" si="9"/>
        <v>0</v>
      </c>
      <c r="K33">
        <f ca="1">IF(OR($C33="S",$C33=0),0,MATCH(OFFSET($D33,0,$C33)+IF($C33&lt;&gt;1,1,COUNTIF(QCI!$A$13:$A$24,ORÇAMENTO!E33)),OFFSET($D33,1,$C33,ROW($C$48)-ROW($C33)),0))</f>
        <v>0</v>
      </c>
      <c r="L33" s="114" t="str">
        <f t="shared" ca="1" si="27"/>
        <v>F</v>
      </c>
      <c r="M33" s="115" t="s">
        <v>705</v>
      </c>
      <c r="N33" s="116" t="str">
        <f t="shared" ca="1" si="28"/>
        <v>Serviço</v>
      </c>
      <c r="O33" s="117" t="str">
        <f t="shared" ca="1" si="29"/>
        <v>1.2.4.</v>
      </c>
      <c r="P33" s="118" t="s">
        <v>955</v>
      </c>
      <c r="Q33" s="119" t="s">
        <v>1047</v>
      </c>
      <c r="R33" s="120" t="s">
        <v>1048</v>
      </c>
      <c r="S33" s="121" t="s">
        <v>1046</v>
      </c>
      <c r="T33" s="122">
        <f ca="1">OFFSET(CÁLCULO!H$15,ROW($T33)-ROW(T$15),0)</f>
        <v>138.71</v>
      </c>
      <c r="U33" s="123">
        <v>0.81</v>
      </c>
      <c r="V33" s="124" t="s">
        <v>663</v>
      </c>
      <c r="W33" s="122" cm="1">
        <f t="array" aca="1" ref="W33" ca="1">IF($C33="S",ROUND(IF(TIPOORCAMENTO="Proposto",ORÇAMENTO.CustoUnitario*(1+$AH33),ORÇAMENTO.PrecoUnitarioLicitado),15-13*$AF$10),0)</f>
        <v>1.03</v>
      </c>
      <c r="X33" s="125" cm="1">
        <f t="array" aca="1" ref="X33" ca="1">IF($C33="S",IF(OR(Import.TipoArredondamento&lt;&gt;"TransfereGOV",ACOMPANHAMENTO="BM"),VTOTAL1,SUM(OFFSET(CÁLCULO!$AA$15,ROW($X33)-ROW($X$15),1):OFFSET(CÁLCULO!$AL$15,ROW($X33)-ROW($X$15),-1))),IF($C33=0,0,ROUND(SomaAgrup,15-13*$AF$11)))</f>
        <v>142.87</v>
      </c>
      <c r="Y33" s="126" t="s">
        <v>751</v>
      </c>
      <c r="Z33" t="str">
        <f t="shared" ca="1" si="30"/>
        <v>RA</v>
      </c>
      <c r="AA33" s="127" cm="1">
        <f t="array" aca="1" ref="AA33" ca="1">IF($C33="S",IF($Z33="CP",$X33,IF($Z33="RA",(($X33)*QCI!$AA$3),0)),SomaAgrup)</f>
        <v>142.87</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SICRO 5914569</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8"/>
        <v>0.26579999999999998</v>
      </c>
      <c r="AJ33" s="431">
        <f>1.5*2.4*(AJ31+AJ26)</f>
        <v>138.708</v>
      </c>
      <c r="AL33" s="439"/>
      <c r="AM33" s="336">
        <f t="shared" ca="1" si="0"/>
        <v>142.87</v>
      </c>
      <c r="AN33" s="470" cm="1">
        <f t="array" aca="1" ref="AN33" ca="1">ROUND(ORÇAMENTO.CustoUnitario*(1+$AH33),2)</f>
        <v>1.03</v>
      </c>
    </row>
    <row r="34" spans="1:40" x14ac:dyDescent="0.2">
      <c r="A34">
        <f t="shared" si="1"/>
        <v>2</v>
      </c>
      <c r="B34">
        <f t="shared" ca="1" si="2"/>
        <v>2</v>
      </c>
      <c r="C34">
        <f t="shared" ca="1" si="3"/>
        <v>2</v>
      </c>
      <c r="D34">
        <f t="shared" ca="1" si="4"/>
        <v>11</v>
      </c>
      <c r="E34">
        <f ca="1">IF($C34=1,OFFSET(E34,-1,0)+MAX(1,COUNTIF(QCI!$A$13:$A$24,OFFSET(ORÇAMENTO!E34,-1,0))),OFFSET(E34,-1,0))</f>
        <v>1</v>
      </c>
      <c r="F34">
        <f t="shared" ca="1" si="5"/>
        <v>3</v>
      </c>
      <c r="G34">
        <f t="shared" ca="1" si="6"/>
        <v>0</v>
      </c>
      <c r="H34">
        <f t="shared" ca="1" si="7"/>
        <v>0</v>
      </c>
      <c r="I34">
        <f t="shared" ca="1" si="8"/>
        <v>0</v>
      </c>
      <c r="J34">
        <f t="shared" ca="1" si="9"/>
        <v>14</v>
      </c>
      <c r="K34">
        <f ca="1">IF(OR($C34="S",$C34=0),0,MATCH(OFFSET($D34,0,$C34)+IF($C34&lt;&gt;1,1,COUNTIF(QCI!$A$13:$A$24,ORÇAMENTO!E34)),OFFSET($D34,1,$C34,ROW($C$48)-ROW($C34)),0))</f>
        <v>11</v>
      </c>
      <c r="L34" s="114" t="str">
        <f t="shared" ca="1" si="10"/>
        <v>F</v>
      </c>
      <c r="M34" s="115" t="s">
        <v>702</v>
      </c>
      <c r="N34" s="116" t="str">
        <f t="shared" ca="1" si="11"/>
        <v>Nível 2</v>
      </c>
      <c r="O34" s="117" t="str">
        <f t="shared" ca="1" si="12"/>
        <v>1.3.</v>
      </c>
      <c r="P34" s="118" t="s">
        <v>750</v>
      </c>
      <c r="Q34" s="119"/>
      <c r="R34" s="120" t="s">
        <v>1013</v>
      </c>
      <c r="S34" s="121" t="str" cm="1">
        <f t="array" aca="1" ref="S34" ca="1">REFERENCIA.Unidade</f>
        <v>-</v>
      </c>
      <c r="T34" s="122">
        <f ca="1">OFFSET(CÁLCULO!H$15,ROW($T34)-ROW(T$15),0)</f>
        <v>0</v>
      </c>
      <c r="U34" s="123">
        <f t="shared" ca="1" si="16"/>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6115.31</v>
      </c>
      <c r="Y34" s="126" t="s">
        <v>751</v>
      </c>
      <c r="Z34" t="str">
        <f t="shared" ca="1" si="13"/>
        <v/>
      </c>
      <c r="AA34" s="127" cm="1">
        <f t="array" aca="1" ref="AA34" ca="1">IF($C34="S",IF($Z34="CP",$X34,IF($Z34="RA",(($X34)*QCI!$AA$3),0)),SomaAgrup)</f>
        <v>6115.3099999999995</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4</v>
      </c>
      <c r="AE34" s="7" t="b" cm="1">
        <f t="array" aca="1" ref="AE34" ca="1">IF(AND($C34="S",ORÇAMENTO.CodBarra&lt;&gt;""),IF(ORÇAMENTO.Fonte="",ORÇAMENTO.CodBarra,CONCATENATE(ORÇAMENTO.Fonte," ",ORÇAMENTO.CodBarra)))</f>
        <v>0</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(Sem Código)</v>
      </c>
      <c r="AG34" s="428" cm="1">
        <f t="array" aca="1" ref="AG34" ca="1">ROUND(IF(DESONERACAO="sim",REFERENCIA.Desonerado,REFERENCIA.NaoDesonerado),2)</f>
        <v>0</v>
      </c>
      <c r="AH34" s="429">
        <f t="shared" ca="1" si="14"/>
        <v>0.26579999999999998</v>
      </c>
      <c r="AJ34" s="431"/>
      <c r="AL34" s="439"/>
      <c r="AM34" s="336">
        <f t="shared" ca="1" si="0"/>
        <v>6115.31</v>
      </c>
      <c r="AN34" s="470" cm="1">
        <f t="array" aca="1" ref="AN34" ca="1">ROUND(ORÇAMENTO.CustoUnitario*(1+$AH34),2)</f>
        <v>0</v>
      </c>
    </row>
    <row r="35" spans="1:40" ht="25.5" x14ac:dyDescent="0.2">
      <c r="A35" t="str">
        <f t="shared" si="1"/>
        <v>S</v>
      </c>
      <c r="B35">
        <f t="shared" ca="1" si="2"/>
        <v>2</v>
      </c>
      <c r="C35" t="str">
        <f t="shared" ca="1" si="3"/>
        <v>S</v>
      </c>
      <c r="D35">
        <f t="shared" ca="1" si="4"/>
        <v>0</v>
      </c>
      <c r="E35">
        <f ca="1">IF($C35=1,OFFSET(E35,-1,0)+MAX(1,COUNTIF(QCI!$A$13:$A$24,OFFSET(ORÇAMENTO!E35,-1,0))),OFFSET(E35,-1,0))</f>
        <v>1</v>
      </c>
      <c r="F35">
        <f t="shared" ca="1" si="5"/>
        <v>3</v>
      </c>
      <c r="G35">
        <f t="shared" ca="1" si="6"/>
        <v>0</v>
      </c>
      <c r="H35">
        <f t="shared" ca="1" si="7"/>
        <v>0</v>
      </c>
      <c r="I35">
        <f t="shared" ca="1" si="8"/>
        <v>0</v>
      </c>
      <c r="J35">
        <f t="shared" ref="J35:J36" ca="1" si="31">IF(OR($C35="S",$C35=0),0,MATCH(0,OFFSET($D35,1,$C35,ROW($C$48)-ROW($C35)),0))</f>
        <v>0</v>
      </c>
      <c r="K35">
        <f ca="1">IF(OR($C35="S",$C35=0),0,MATCH(OFFSET($D35,0,$C35)+IF($C35&lt;&gt;1,1,COUNTIF(QCI!$A$13:$A$24,ORÇAMENTO!E35)),OFFSET($D35,1,$C35,ROW($C$48)-ROW($C35)),0))</f>
        <v>0</v>
      </c>
      <c r="L35" s="114" t="str">
        <f t="shared" ca="1" si="10"/>
        <v/>
      </c>
      <c r="M35" s="115" t="s">
        <v>705</v>
      </c>
      <c r="N35" s="116" t="str">
        <f t="shared" ca="1" si="11"/>
        <v>Serviço</v>
      </c>
      <c r="O35" s="117" t="str">
        <f t="shared" ca="1" si="12"/>
        <v>-</v>
      </c>
      <c r="P35" s="118" t="s">
        <v>750</v>
      </c>
      <c r="Q35" s="119" t="s">
        <v>1040</v>
      </c>
      <c r="R35" s="120" t="str" cm="1">
        <f t="array" aca="1" ref="R35" ca="1">IF($C35="S",REFERENCIA.Descricao,"(digite a descrição aqui)")</f>
        <v>(Código não identificado nas referências)</v>
      </c>
      <c r="S35" s="121" t="str" cm="1">
        <f t="array" aca="1" ref="S35" ca="1">REFERENCIA.Unidade</f>
        <v>-</v>
      </c>
      <c r="T35" s="122">
        <f ca="1">OFFSET(CÁLCULO!H$15,ROW($T35)-ROW(T$15),0)</f>
        <v>70.739999999999995</v>
      </c>
      <c r="U35" s="123">
        <f t="shared" ca="1" si="16"/>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92884</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0.26579999999999998</v>
      </c>
      <c r="AJ35" s="431">
        <f>64.31*1.1</f>
        <v>70.741000000000014</v>
      </c>
      <c r="AL35" s="439"/>
      <c r="AM35" s="336">
        <f t="shared" ca="1" si="0"/>
        <v>0</v>
      </c>
      <c r="AN35" s="470" cm="1">
        <f t="array" aca="1" ref="AN35" ca="1">ROUND(ORÇAMENTO.CustoUnitario*(1+$AH35),2)</f>
        <v>0</v>
      </c>
    </row>
    <row r="36" spans="1:40" ht="25.5" x14ac:dyDescent="0.2">
      <c r="A36" t="str">
        <f t="shared" si="1"/>
        <v>S</v>
      </c>
      <c r="B36">
        <f t="shared" ca="1" si="2"/>
        <v>2</v>
      </c>
      <c r="C36" t="str">
        <f t="shared" ca="1" si="3"/>
        <v>S</v>
      </c>
      <c r="D36">
        <f t="shared" ca="1" si="4"/>
        <v>0</v>
      </c>
      <c r="E36">
        <f ca="1">IF($C36=1,OFFSET(E36,-1,0)+MAX(1,COUNTIF(QCI!$A$13:$A$24,OFFSET(ORÇAMENTO!E36,-1,0))),OFFSET(E36,-1,0))</f>
        <v>1</v>
      </c>
      <c r="F36">
        <f t="shared" ca="1" si="5"/>
        <v>3</v>
      </c>
      <c r="G36">
        <f t="shared" ca="1" si="6"/>
        <v>0</v>
      </c>
      <c r="H36">
        <f t="shared" ca="1" si="7"/>
        <v>0</v>
      </c>
      <c r="I36">
        <f t="shared" ca="1" si="8"/>
        <v>0</v>
      </c>
      <c r="J36">
        <f t="shared" ca="1" si="31"/>
        <v>0</v>
      </c>
      <c r="K36">
        <f ca="1">IF(OR($C36="S",$C36=0),0,MATCH(OFFSET($D36,0,$C36)+IF($C36&lt;&gt;1,1,COUNTIF(QCI!$A$13:$A$24,ORÇAMENTO!E36)),OFFSET($D36,1,$C36,ROW($C$48)-ROW($C36)),0))</f>
        <v>0</v>
      </c>
      <c r="L36" s="114" t="str">
        <f t="shared" ca="1" si="10"/>
        <v/>
      </c>
      <c r="M36" s="115" t="s">
        <v>705</v>
      </c>
      <c r="N36" s="116" t="str">
        <f t="shared" ca="1" si="11"/>
        <v>Serviço</v>
      </c>
      <c r="O36" s="117" t="str">
        <f t="shared" ca="1" si="12"/>
        <v>-</v>
      </c>
      <c r="P36" s="118" t="s">
        <v>750</v>
      </c>
      <c r="Q36" s="119" t="s">
        <v>1039</v>
      </c>
      <c r="R36" s="120" t="str" cm="1">
        <f t="array" aca="1" ref="R36" ca="1">IF($C36="S",REFERENCIA.Descricao,"(digite a descrição aqui)")</f>
        <v>(Código não identificado nas referências)</v>
      </c>
      <c r="S36" s="121" t="str" cm="1">
        <f t="array" aca="1" ref="S36" ca="1">REFERENCIA.Unidade</f>
        <v>-</v>
      </c>
      <c r="T36" s="122">
        <f ca="1">OFFSET(CÁLCULO!H$15,ROW($T36)-ROW(T$15),0)</f>
        <v>201.43</v>
      </c>
      <c r="U36" s="123">
        <f t="shared" ca="1" si="16"/>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92885</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0.26579999999999998</v>
      </c>
      <c r="AJ36" s="431">
        <f>183.12*1.1</f>
        <v>201.43200000000002</v>
      </c>
      <c r="AL36" s="439"/>
      <c r="AM36" s="336">
        <f t="shared" ca="1" si="0"/>
        <v>0</v>
      </c>
      <c r="AN36" s="470" cm="1">
        <f t="array" aca="1" ref="AN36" ca="1">ROUND(ORÇAMENTO.CustoUnitario*(1+$AH36),2)</f>
        <v>0</v>
      </c>
    </row>
    <row r="37" spans="1:40" ht="25.5" x14ac:dyDescent="0.2">
      <c r="A37" t="str">
        <f t="shared" si="1"/>
        <v>S</v>
      </c>
      <c r="B37">
        <f t="shared" ca="1" si="2"/>
        <v>2</v>
      </c>
      <c r="C37" t="str">
        <f t="shared" ca="1" si="3"/>
        <v>S</v>
      </c>
      <c r="D37">
        <f t="shared" ca="1" si="4"/>
        <v>0</v>
      </c>
      <c r="E37">
        <f ca="1">IF($C37=1,OFFSET(E37,-1,0)+MAX(1,COUNTIF(QCI!$A$13:$A$24,OFFSET(ORÇAMENTO!E37,-1,0))),OFFSET(E37,-1,0))</f>
        <v>1</v>
      </c>
      <c r="F37">
        <f t="shared" ca="1" si="5"/>
        <v>3</v>
      </c>
      <c r="G37">
        <f t="shared" ca="1" si="6"/>
        <v>0</v>
      </c>
      <c r="H37">
        <f t="shared" ca="1" si="7"/>
        <v>0</v>
      </c>
      <c r="I37">
        <f t="shared" ca="1" si="8"/>
        <v>0</v>
      </c>
      <c r="J37">
        <f ca="1">IF(OR($C37="S",$C37=0),0,MATCH(0,OFFSET($D37,1,$C37,ROW($C$48)-ROW($C37)),0))</f>
        <v>0</v>
      </c>
      <c r="K37">
        <f ca="1">IF(OR($C37="S",$C37=0),0,MATCH(OFFSET($D37,0,$C37)+IF($C37&lt;&gt;1,1,COUNTIF(QCI!$A$13:$A$24,ORÇAMENTO!E37)),OFFSET($D37,1,$C37,ROW($C$48)-ROW($C37)),0))</f>
        <v>0</v>
      </c>
      <c r="L37" s="114" t="str">
        <f t="shared" ca="1" si="10"/>
        <v/>
      </c>
      <c r="M37" s="115" t="s">
        <v>705</v>
      </c>
      <c r="N37" s="116" t="str">
        <f t="shared" ca="1" si="11"/>
        <v>Serviço</v>
      </c>
      <c r="O37" s="117" t="str">
        <f t="shared" ca="1" si="12"/>
        <v>-</v>
      </c>
      <c r="P37" s="118" t="s">
        <v>956</v>
      </c>
      <c r="Q37" s="119" t="s">
        <v>1012</v>
      </c>
      <c r="R37" s="120" t="str" cm="1">
        <f t="array" aca="1" ref="R37" ca="1">IF($C37="S",REFERENCIA.Descricao,"(digite a descrição aqui)")</f>
        <v>(Código não identificado nas referências)</v>
      </c>
      <c r="S37" s="121" t="str" cm="1">
        <f t="array" aca="1" ref="S37" ca="1">REFERENCIA.Unidade</f>
        <v>-</v>
      </c>
      <c r="T37" s="122">
        <f ca="1">OFFSET(CÁLCULO!H$15,ROW($T37)-ROW(T$15),0)</f>
        <v>5.96</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Composição 1</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0.26579999999999998</v>
      </c>
      <c r="AJ37" s="431">
        <f>5.96</f>
        <v>5.96</v>
      </c>
      <c r="AL37" s="439"/>
      <c r="AM37" s="336">
        <f t="shared" ca="1" si="0"/>
        <v>0</v>
      </c>
      <c r="AN37" s="470" cm="1">
        <f t="array" aca="1" ref="AN37" ca="1">ROUND(ORÇAMENTO.CustoUnitario*(1+$AH37),2)</f>
        <v>0</v>
      </c>
    </row>
    <row r="38" spans="1:40" ht="25.5" x14ac:dyDescent="0.2">
      <c r="A38" t="str">
        <f t="shared" ref="A38:A44" si="32">CHOOSE(1+LOG(1+2*(ORÇAMENTO.Nivel="Meta")+4*(ORÇAMENTO.Nivel="Nível 2")+8*(ORÇAMENTO.Nivel="Nível 3")+16*(ORÇAMENTO.Nivel="Nível 4")+32*(ORÇAMENTO.Nivel="Serviço"),2),0,1,2,3,4,"S")</f>
        <v>S</v>
      </c>
      <c r="B38">
        <f ca="1">IF(OR(C38="s",C38=0),OFFSET(B38,-1,0),C38)</f>
        <v>2</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3</v>
      </c>
      <c r="G38">
        <f ca="1">IF(AND($C38&lt;=2,$C38&lt;&gt;0),0,IF($C38=3,OFFSET(G38,-1,0)+1,OFFSET(G38,-1,0)))</f>
        <v>0</v>
      </c>
      <c r="H38">
        <f ca="1">IF(AND($C38&lt;=3,$C38&lt;&gt;0),0,IF($C38=4,OFFSET(H38,-1,0)+1,OFFSET(H38,-1,0)))</f>
        <v>0</v>
      </c>
      <c r="I38">
        <f ca="1">IF(AND($C38&lt;=4,$C38&lt;&gt;0),0,IF(AND($C38="S",$X38&gt;0),OFFSET(I38,-1,0)+1,OFFSET(I38,-1,0)))</f>
        <v>0</v>
      </c>
      <c r="J38">
        <f ca="1">IF(OR($C38="S",$C38=0),0,MATCH(0,OFFSET($D38,1,$C38,ROW($C$48)-ROW($C38)),0))</f>
        <v>0</v>
      </c>
      <c r="K38">
        <f ca="1">IF(OR($C38="S",$C38=0),0,MATCH(OFFSET($D38,0,$C38)+IF($C38&lt;&gt;1,1,COUNTIF(QCI!$A$13:$A$24,ORÇAMENTO!E38)),OFFSET($D38,1,$C38,ROW($C$48)-ROW($C38)),0))</f>
        <v>0</v>
      </c>
      <c r="L38" s="114" t="str">
        <f ca="1">IF(OR($X38&gt;0,$C38=1,$C38=2,$C38=3,$C38=4),"F","")</f>
        <v/>
      </c>
      <c r="M38" s="115" t="s">
        <v>705</v>
      </c>
      <c r="N38" s="116" t="str">
        <f ca="1">CHOOSE(1+LOG(1+2*(C38=1)+4*(C38=2)+8*(C38=3)+16*(C38=4)+32*(C38="S"),2),"","Meta","Nível 2","Nível 3","Nível 4","Serviço")</f>
        <v>Serviço</v>
      </c>
      <c r="O38" s="117" t="str">
        <f ca="1">IF(OR($C38=0,$L38=""),"-",CONCATENATE(E38&amp;".",IF(AND($A$5&gt;=2,$C38&gt;=2),F38&amp;".",""),IF(AND($A$5&gt;=3,$C38&gt;=3),G38&amp;".",""),IF(AND($A$5&gt;=4,$C38&gt;=4),H38&amp;".",""),IF($C38="S",I38&amp;".","")))</f>
        <v>-</v>
      </c>
      <c r="P38" s="118" t="s">
        <v>956</v>
      </c>
      <c r="Q38" s="119" t="s">
        <v>1018</v>
      </c>
      <c r="R38" s="120" t="str" cm="1">
        <f t="array" aca="1" ref="R38" ca="1">IF($C38="S",REFERENCIA.Descricao,"(digite a descrição aqui)")</f>
        <v>(Código não identificado nas referências)</v>
      </c>
      <c r="S38" s="121" t="str" cm="1">
        <f t="array" aca="1" ref="S38" ca="1">REFERENCIA.Unidade</f>
        <v>-</v>
      </c>
      <c r="T38" s="122">
        <f ca="1">OFFSET(CÁLCULO!H$15,ROW($T38)-ROW(T$15),0)</f>
        <v>26.09</v>
      </c>
      <c r="U38" s="123">
        <f t="shared" ca="1" si="16"/>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ca="1">IF(AND($C38="S",$X38&gt;0),IF(ISBLANK($Y38),"RA",LEFT($Y38,2)),"")</f>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Composição 5</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ref="AH38:AH44" ca="1" si="33">ROUND(IF(ISNUMBER(ORÇAMENTO.OpcaoBDI),ORÇAMENTO.OpcaoBDI,IF(LEFT(ORÇAMENTO.OpcaoBDI,3)="BDI",HLOOKUP(ORÇAMENTO.OpcaoBDI,$F$4:$H$5,2,FALSE),0)),15-11*$AF$9)</f>
        <v>0.26579999999999998</v>
      </c>
      <c r="AJ38" s="431">
        <f>0.95*5.1*2+0.5*5*2+0.95*2*3*2</f>
        <v>26.089999999999996</v>
      </c>
      <c r="AL38" s="439"/>
      <c r="AM38" s="336">
        <f t="shared" ca="1" si="0"/>
        <v>0</v>
      </c>
      <c r="AN38" s="470" cm="1">
        <f t="array" aca="1" ref="AN38" ca="1">ROUND(ORÇAMENTO.CustoUnitario*(1+$AH38),2)</f>
        <v>0</v>
      </c>
    </row>
    <row r="39" spans="1:40" ht="25.5" x14ac:dyDescent="0.2">
      <c r="A39" t="str">
        <f t="shared" si="32"/>
        <v>S</v>
      </c>
      <c r="B39">
        <f ca="1">IF(OR(C39="s",C39=0),OFFSET(B39,-1,0),C39)</f>
        <v>2</v>
      </c>
      <c r="C39" t="str">
        <f ca="1">IF(OFFSET(C39,-1,0)="L",1,IF(OFFSET(C39,-1,0)=1,2,IF(OR(A39="s",A39=0),"S",IF(AND(OFFSET(C39,-1,0)=2,A39=4),3,IF(AND(OR(OFFSET(C39,-1,0)="s",OFFSET(C39,-1,0)=0),A39&lt;&gt;"s",A39&gt;OFFSET(B39,-1,0)),OFFSET(B39,-1,0),A39)))))</f>
        <v>S</v>
      </c>
      <c r="D39">
        <f ca="1">IF(OR(C39="S",C39=0),0,IF(ISERROR(K39),J39,SMALL(J39:K39,1)))</f>
        <v>0</v>
      </c>
      <c r="E39">
        <f ca="1">IF($C39=1,OFFSET(E39,-1,0)+MAX(1,COUNTIF(QCI!$A$13:$A$24,OFFSET(ORÇAMENTO!E39,-1,0))),OFFSET(E39,-1,0))</f>
        <v>1</v>
      </c>
      <c r="F39">
        <f ca="1">IF($C39=1,0,IF($C39=2,OFFSET(F39,-1,0)+1,OFFSET(F39,-1,0)))</f>
        <v>3</v>
      </c>
      <c r="G39">
        <f ca="1">IF(AND($C39&lt;=2,$C39&lt;&gt;0),0,IF($C39=3,OFFSET(G39,-1,0)+1,OFFSET(G39,-1,0)))</f>
        <v>0</v>
      </c>
      <c r="H39">
        <f ca="1">IF(AND($C39&lt;=3,$C39&lt;&gt;0),0,IF($C39=4,OFFSET(H39,-1,0)+1,OFFSET(H39,-1,0)))</f>
        <v>0</v>
      </c>
      <c r="I39">
        <f ca="1">IF(AND($C39&lt;=4,$C39&lt;&gt;0),0,IF(AND($C39="S",$X39&gt;0),OFFSET(I39,-1,0)+1,OFFSET(I39,-1,0)))</f>
        <v>0</v>
      </c>
      <c r="J39">
        <f ca="1">IF(OR($C39="S",$C39=0),0,MATCH(0,OFFSET($D39,1,$C39,ROW($C$48)-ROW($C39)),0))</f>
        <v>0</v>
      </c>
      <c r="K39">
        <f ca="1">IF(OR($C39="S",$C39=0),0,MATCH(OFFSET($D39,0,$C39)+IF($C39&lt;&gt;1,1,COUNTIF(QCI!$A$13:$A$24,ORÇAMENTO!E39)),OFFSET($D39,1,$C39,ROW($C$48)-ROW($C39)),0))</f>
        <v>0</v>
      </c>
      <c r="L39" s="114" t="str">
        <f ca="1">IF(OR($X39&gt;0,$C39=1,$C39=2,$C39=3,$C39=4),"F","")</f>
        <v/>
      </c>
      <c r="M39" s="115" t="s">
        <v>705</v>
      </c>
      <c r="N39" s="116" t="str">
        <f ca="1">CHOOSE(1+LOG(1+2*(C39=1)+4*(C39=2)+8*(C39=3)+16*(C39=4)+32*(C39="S"),2),"","Meta","Nível 2","Nível 3","Nível 4","Serviço")</f>
        <v>Serviço</v>
      </c>
      <c r="O39" s="117" t="str">
        <f ca="1">IF(OR($C39=0,$L39=""),"-",CONCATENATE(E39&amp;".",IF(AND($A$5&gt;=2,$C39&gt;=2),F39&amp;".",""),IF(AND($A$5&gt;=3,$C39&gt;=3),G39&amp;".",""),IF(AND($A$5&gt;=4,$C39&gt;=4),H39&amp;".",""),IF($C39="S",I39&amp;".","")))</f>
        <v>-</v>
      </c>
      <c r="P39" s="118" t="s">
        <v>956</v>
      </c>
      <c r="Q39" s="119" t="s">
        <v>1021</v>
      </c>
      <c r="R39" s="120" t="str" cm="1">
        <f t="array" aca="1" ref="R39" ca="1">IF($C39="S",REFERENCIA.Descricao,"(digite a descrição aqui)")</f>
        <v>(Código não identificado nas referências)</v>
      </c>
      <c r="S39" s="121" t="str" cm="1">
        <f t="array" aca="1" ref="S39" ca="1">REFERENCIA.Unidade</f>
        <v>-</v>
      </c>
      <c r="T39" s="122">
        <f ca="1">OFFSET(CÁLCULO!H$15,ROW($T39)-ROW(T$15),0)</f>
        <v>20.52</v>
      </c>
      <c r="U39" s="123">
        <f t="shared" ca="1" si="16"/>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ca="1">IF(AND($C39="S",$X39&gt;0),IF(ISBLANK($Y39),"RA",LEFT($Y39,2)),"")</f>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Composição 7</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33"/>
        <v>0.26579999999999998</v>
      </c>
      <c r="AJ39" s="431">
        <f>0.95*(10+0.8)*2</f>
        <v>20.52</v>
      </c>
      <c r="AL39" s="439"/>
      <c r="AM39" s="336">
        <f t="shared" ca="1" si="0"/>
        <v>0</v>
      </c>
      <c r="AN39" s="470" cm="1">
        <f t="array" aca="1" ref="AN39" ca="1">ROUND(ORÇAMENTO.CustoUnitario*(1+$AH39),2)</f>
        <v>0</v>
      </c>
    </row>
    <row r="40" spans="1:40" ht="25.5" x14ac:dyDescent="0.2">
      <c r="A40" t="str">
        <f t="shared" si="32"/>
        <v>S</v>
      </c>
      <c r="B40">
        <f t="shared" ref="B40:B44" ca="1" si="34">IF(OR(C40="s",C40=0),OFFSET(B40,-1,0),C40)</f>
        <v>2</v>
      </c>
      <c r="C40" t="str">
        <f t="shared" ref="C40:C44" ca="1" si="35">IF(OFFSET(C40,-1,0)="L",1,IF(OFFSET(C40,-1,0)=1,2,IF(OR(A40="s",A40=0),"S",IF(AND(OFFSET(C40,-1,0)=2,A40=4),3,IF(AND(OR(OFFSET(C40,-1,0)="s",OFFSET(C40,-1,0)=0),A40&lt;&gt;"s",A40&gt;OFFSET(B40,-1,0)),OFFSET(B40,-1,0),A40)))))</f>
        <v>S</v>
      </c>
      <c r="D40">
        <f t="shared" ref="D40:D44" ca="1" si="36">IF(OR(C40="S",C40=0),0,IF(ISERROR(K40),J40,SMALL(J40:K40,1)))</f>
        <v>0</v>
      </c>
      <c r="E40">
        <f ca="1">IF($C40=1,OFFSET(E40,-1,0)+MAX(1,COUNTIF(QCI!$A$13:$A$24,OFFSET(ORÇAMENTO!E40,-1,0))),OFFSET(E40,-1,0))</f>
        <v>1</v>
      </c>
      <c r="F40">
        <f t="shared" ref="F40:F44" ca="1" si="37">IF($C40=1,0,IF($C40=2,OFFSET(F40,-1,0)+1,OFFSET(F40,-1,0)))</f>
        <v>3</v>
      </c>
      <c r="G40">
        <f t="shared" ref="G40:G44" ca="1" si="38">IF(AND($C40&lt;=2,$C40&lt;&gt;0),0,IF($C40=3,OFFSET(G40,-1,0)+1,OFFSET(G40,-1,0)))</f>
        <v>0</v>
      </c>
      <c r="H40">
        <f t="shared" ref="H40:H44" ca="1" si="39">IF(AND($C40&lt;=3,$C40&lt;&gt;0),0,IF($C40=4,OFFSET(H40,-1,0)+1,OFFSET(H40,-1,0)))</f>
        <v>0</v>
      </c>
      <c r="I40">
        <f t="shared" ref="I40:I44" ca="1" si="40">IF(AND($C40&lt;=4,$C40&lt;&gt;0),0,IF(AND($C40="S",$X40&gt;0),OFFSET(I40,-1,0)+1,OFFSET(I40,-1,0)))</f>
        <v>1</v>
      </c>
      <c r="J40">
        <f t="shared" ref="J40:J44" ca="1" si="41">IF(OR($C40="S",$C40=0),0,MATCH(0,OFFSET($D40,1,$C40,ROW($C$48)-ROW($C40)),0))</f>
        <v>0</v>
      </c>
      <c r="K40">
        <f ca="1">IF(OR($C40="S",$C40=0),0,MATCH(OFFSET($D40,0,$C40)+IF($C40&lt;&gt;1,1,COUNTIF(QCI!$A$13:$A$24,ORÇAMENTO!E40)),OFFSET($D40,1,$C40,ROW($C$48)-ROW($C40)),0))</f>
        <v>0</v>
      </c>
      <c r="L40" s="114" t="str">
        <f t="shared" ref="L40:L44" ca="1" si="42">IF(OR($X40&gt;0,$C40=1,$C40=2,$C40=3,$C40=4),"F","")</f>
        <v>F</v>
      </c>
      <c r="M40" s="115" t="s">
        <v>705</v>
      </c>
      <c r="N40" s="116" t="str">
        <f t="shared" ref="N40:N44" ca="1" si="43">CHOOSE(1+LOG(1+2*(C40=1)+4*(C40=2)+8*(C40=3)+16*(C40=4)+32*(C40="S"),2),"","Meta","Nível 2","Nível 3","Nível 4","Serviço")</f>
        <v>Serviço</v>
      </c>
      <c r="O40" s="117" t="str">
        <f t="shared" ref="O40:O44" ca="1" si="44">IF(OR($C40=0,$L40=""),"-",CONCATENATE(E40&amp;".",IF(AND($A$5&gt;=2,$C40&gt;=2),F40&amp;".",""),IF(AND($A$5&gt;=3,$C40&gt;=3),G40&amp;".",""),IF(AND($A$5&gt;=4,$C40&gt;=4),H40&amp;".",""),IF($C40="S",I40&amp;".","")))</f>
        <v>1.3.1.</v>
      </c>
      <c r="P40" s="118" t="s">
        <v>955</v>
      </c>
      <c r="Q40" s="119" t="s">
        <v>1033</v>
      </c>
      <c r="R40" s="120" t="s">
        <v>1034</v>
      </c>
      <c r="S40" s="121" t="s">
        <v>617</v>
      </c>
      <c r="T40" s="122">
        <f ca="1">OFFSET(CÁLCULO!H$15,ROW($T40)-ROW(T$15),0)</f>
        <v>6.91</v>
      </c>
      <c r="U40" s="123">
        <v>65.8</v>
      </c>
      <c r="V40" s="124" t="s">
        <v>663</v>
      </c>
      <c r="W40" s="122" cm="1">
        <f t="array" aca="1" ref="W40" ca="1">IF($C40="S",ROUND(IF(TIPOORCAMENTO="Proposto",ORÇAMENTO.CustoUnitario*(1+$AH40),ORÇAMENTO.PrecoUnitarioLicitado),15-13*$AF$10),0)</f>
        <v>83.29</v>
      </c>
      <c r="X40" s="125" cm="1">
        <f t="array" aca="1" ref="X40" ca="1">IF($C40="S",IF(OR(Import.TipoArredondamento&lt;&gt;"TransfereGOV",ACOMPANHAMENTO="BM"),VTOTAL1,SUM(OFFSET(CÁLCULO!$AA$15,ROW($X40)-ROW($X$15),1):OFFSET(CÁLCULO!$AL$15,ROW($X40)-ROW($X$15),-1))),IF($C40=0,0,ROUND(SomaAgrup,15-13*$AF$11)))</f>
        <v>575.53</v>
      </c>
      <c r="Y40" s="126" t="s">
        <v>751</v>
      </c>
      <c r="Z40" t="str">
        <f t="shared" ref="Z40:Z44" ca="1" si="45">IF(AND($C40="S",$X40&gt;0),IF(ISBLANK($Y40),"RA",LEFT($Y40,2)),"")</f>
        <v>RA</v>
      </c>
      <c r="AA40" s="127" cm="1">
        <f t="array" aca="1" ref="AA40" ca="1">IF($C40="S",IF($Z40="CP",$X40,IF($Z40="RA",(($X40)*QCI!$AA$3),0)),SomaAgrup)</f>
        <v>575.53</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SICRO 2407972</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33"/>
        <v>0.26579999999999998</v>
      </c>
      <c r="AJ40" s="431">
        <f>0.048*(22*2+50*2)</f>
        <v>6.9119999999999999</v>
      </c>
      <c r="AL40" s="439"/>
      <c r="AM40" s="336">
        <f t="shared" ca="1" si="0"/>
        <v>575.53</v>
      </c>
      <c r="AN40" s="470" cm="1">
        <f t="array" aca="1" ref="AN40" ca="1">ROUND(ORÇAMENTO.CustoUnitario*(1+$AH40),2)</f>
        <v>83.29</v>
      </c>
    </row>
    <row r="41" spans="1:40" ht="25.5" x14ac:dyDescent="0.2">
      <c r="A41" t="str">
        <f t="shared" si="32"/>
        <v>S</v>
      </c>
      <c r="B41">
        <f t="shared" ca="1" si="34"/>
        <v>2</v>
      </c>
      <c r="C41" t="str">
        <f t="shared" ca="1" si="35"/>
        <v>S</v>
      </c>
      <c r="D41">
        <f t="shared" ca="1" si="36"/>
        <v>0</v>
      </c>
      <c r="E41">
        <f ca="1">IF($C41=1,OFFSET(E41,-1,0)+MAX(1,COUNTIF(QCI!$A$13:$A$24,OFFSET(ORÇAMENTO!E41,-1,0))),OFFSET(E41,-1,0))</f>
        <v>1</v>
      </c>
      <c r="F41">
        <f t="shared" ca="1" si="37"/>
        <v>3</v>
      </c>
      <c r="G41">
        <f t="shared" ca="1" si="38"/>
        <v>0</v>
      </c>
      <c r="H41">
        <f t="shared" ca="1" si="39"/>
        <v>0</v>
      </c>
      <c r="I41">
        <f t="shared" ca="1" si="40"/>
        <v>2</v>
      </c>
      <c r="J41">
        <f t="shared" ca="1" si="41"/>
        <v>0</v>
      </c>
      <c r="K41">
        <f ca="1">IF(OR($C41="S",$C41=0),0,MATCH(OFFSET($D41,0,$C41)+IF($C41&lt;&gt;1,1,COUNTIF(QCI!$A$13:$A$24,ORÇAMENTO!E41)),OFFSET($D41,1,$C41,ROW($C$48)-ROW($C41)),0))</f>
        <v>0</v>
      </c>
      <c r="L41" s="114" t="str">
        <f t="shared" ca="1" si="42"/>
        <v>F</v>
      </c>
      <c r="M41" s="115" t="s">
        <v>705</v>
      </c>
      <c r="N41" s="116" t="str">
        <f t="shared" ca="1" si="43"/>
        <v>Serviço</v>
      </c>
      <c r="O41" s="117" t="str">
        <f t="shared" ca="1" si="44"/>
        <v>1.3.2.</v>
      </c>
      <c r="P41" s="118" t="s">
        <v>955</v>
      </c>
      <c r="Q41" s="119" t="s">
        <v>1037</v>
      </c>
      <c r="R41" s="120" t="s">
        <v>1038</v>
      </c>
      <c r="S41" s="121" t="s">
        <v>621</v>
      </c>
      <c r="T41" s="122">
        <f ca="1">OFFSET(CÁLCULO!H$15,ROW($T41)-ROW(T$15),0)</f>
        <v>46.8</v>
      </c>
      <c r="U41" s="123">
        <v>65.58</v>
      </c>
      <c r="V41" s="124" t="s">
        <v>663</v>
      </c>
      <c r="W41" s="122" cm="1">
        <f t="array" aca="1" ref="W41" ca="1">IF($C41="S",ROUND(IF(TIPOORCAMENTO="Proposto",ORÇAMENTO.CustoUnitario*(1+$AH41),ORÇAMENTO.PrecoUnitarioLicitado),15-13*$AF$10),0)</f>
        <v>83.01</v>
      </c>
      <c r="X41" s="125" cm="1">
        <f t="array" aca="1" ref="X41" ca="1">IF($C41="S",IF(OR(Import.TipoArredondamento&lt;&gt;"TransfereGOV",ACOMPANHAMENTO="BM"),VTOTAL1,SUM(OFFSET(CÁLCULO!$AA$15,ROW($X41)-ROW($X$15),1):OFFSET(CÁLCULO!$AL$15,ROW($X41)-ROW($X$15),-1))),IF($C41=0,0,ROUND(SomaAgrup,15-13*$AF$11)))</f>
        <v>3884.87</v>
      </c>
      <c r="Y41" s="126" t="s">
        <v>751</v>
      </c>
      <c r="Z41" t="str">
        <f t="shared" ca="1" si="45"/>
        <v>RA</v>
      </c>
      <c r="AA41" s="127" cm="1">
        <f t="array" aca="1" ref="AA41" ca="1">IF($C41="S",IF($Z41="CP",$X41,IF($Z41="RA",(($X41)*QCI!$AA$3),0)),SomaAgrup)</f>
        <v>3884.87</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SICRO 1608021</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33"/>
        <v>0.26579999999999998</v>
      </c>
      <c r="AJ41" s="431">
        <f>0.325*(22*2+50*2)</f>
        <v>46.800000000000004</v>
      </c>
      <c r="AL41" s="439"/>
      <c r="AM41" s="336">
        <f t="shared" ca="1" si="0"/>
        <v>3884.87</v>
      </c>
      <c r="AN41" s="470" cm="1">
        <f t="array" aca="1" ref="AN41" ca="1">ROUND(ORÇAMENTO.CustoUnitario*(1+$AH41),2)</f>
        <v>83.01</v>
      </c>
    </row>
    <row r="42" spans="1:40" ht="25.5" x14ac:dyDescent="0.2">
      <c r="A42" t="str">
        <f t="shared" si="32"/>
        <v>S</v>
      </c>
      <c r="B42">
        <f t="shared" ca="1" si="34"/>
        <v>2</v>
      </c>
      <c r="C42" t="str">
        <f t="shared" ca="1" si="35"/>
        <v>S</v>
      </c>
      <c r="D42">
        <f t="shared" ca="1" si="36"/>
        <v>0</v>
      </c>
      <c r="E42">
        <f ca="1">IF($C42=1,OFFSET(E42,-1,0)+MAX(1,COUNTIF(QCI!$A$13:$A$24,OFFSET(ORÇAMENTO!E42,-1,0))),OFFSET(E42,-1,0))</f>
        <v>1</v>
      </c>
      <c r="F42">
        <f t="shared" ca="1" si="37"/>
        <v>3</v>
      </c>
      <c r="G42">
        <f t="shared" ca="1" si="38"/>
        <v>0</v>
      </c>
      <c r="H42">
        <f t="shared" ca="1" si="39"/>
        <v>0</v>
      </c>
      <c r="I42">
        <f t="shared" ca="1" si="40"/>
        <v>3</v>
      </c>
      <c r="J42">
        <f t="shared" ca="1" si="41"/>
        <v>0</v>
      </c>
      <c r="K42">
        <f ca="1">IF(OR($C42="S",$C42=0),0,MATCH(OFFSET($D42,0,$C42)+IF($C42&lt;&gt;1,1,COUNTIF(QCI!$A$13:$A$24,ORÇAMENTO!E42)),OFFSET($D42,1,$C42,ROW($C$48)-ROW($C42)),0))</f>
        <v>0</v>
      </c>
      <c r="L42" s="114" t="str">
        <f t="shared" ca="1" si="42"/>
        <v>F</v>
      </c>
      <c r="M42" s="115" t="s">
        <v>705</v>
      </c>
      <c r="N42" s="116" t="str">
        <f t="shared" ca="1" si="43"/>
        <v>Serviço</v>
      </c>
      <c r="O42" s="117" t="str">
        <f t="shared" ca="1" si="44"/>
        <v>1.3.3.</v>
      </c>
      <c r="P42" s="118" t="s">
        <v>955</v>
      </c>
      <c r="Q42" s="119" t="s">
        <v>1025</v>
      </c>
      <c r="R42" s="120" t="s">
        <v>1027</v>
      </c>
      <c r="S42" s="121" t="s">
        <v>507</v>
      </c>
      <c r="T42" s="122">
        <f ca="1">OFFSET(CÁLCULO!H$15,ROW($T42)-ROW(T$15),0)</f>
        <v>9.2799999999999994</v>
      </c>
      <c r="U42" s="123">
        <v>127.53</v>
      </c>
      <c r="V42" s="124" t="s">
        <v>663</v>
      </c>
      <c r="W42" s="122" cm="1">
        <f t="array" aca="1" ref="W42" ca="1">IF($C42="S",ROUND(IF(TIPOORCAMENTO="Proposto",ORÇAMENTO.CustoUnitario*(1+$AH42),ORÇAMENTO.PrecoUnitarioLicitado),15-13*$AF$10),0)</f>
        <v>161.43</v>
      </c>
      <c r="X42" s="125" cm="1">
        <f t="array" aca="1" ref="X42" ca="1">IF($C42="S",IF(OR(Import.TipoArredondamento&lt;&gt;"TransfereGOV",ACOMPANHAMENTO="BM"),VTOTAL1,SUM(OFFSET(CÁLCULO!$AA$15,ROW($X42)-ROW($X$15),1):OFFSET(CÁLCULO!$AL$15,ROW($X42)-ROW($X$15),-1))),IF($C42=0,0,ROUND(SomaAgrup,15-13*$AF$11)))</f>
        <v>1498.07</v>
      </c>
      <c r="Y42" s="126" t="s">
        <v>751</v>
      </c>
      <c r="Z42" t="str">
        <f t="shared" ca="1" si="45"/>
        <v>RA</v>
      </c>
      <c r="AA42" s="127" cm="1">
        <f t="array" aca="1" ref="AA42" ca="1">IF($C42="S",IF($Z42="CP",$X42,IF($Z42="RA",(($X42)*QCI!$AA$3),0)),SomaAgrup)</f>
        <v>1498.07</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SICRO 307732</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33"/>
        <v>0.26579999999999998</v>
      </c>
      <c r="AJ42" s="431">
        <f>2.32*4</f>
        <v>9.2799999999999994</v>
      </c>
      <c r="AL42" s="439"/>
      <c r="AM42" s="336">
        <f t="shared" ca="1" si="0"/>
        <v>1498.07</v>
      </c>
      <c r="AN42" s="470" cm="1">
        <f t="array" aca="1" ref="AN42" ca="1">ROUND(ORÇAMENTO.CustoUnitario*(1+$AH42),2)</f>
        <v>161.43</v>
      </c>
    </row>
    <row r="43" spans="1:40" ht="25.5" x14ac:dyDescent="0.2">
      <c r="A43" t="str">
        <f t="shared" si="32"/>
        <v>S</v>
      </c>
      <c r="B43">
        <f t="shared" ca="1" si="34"/>
        <v>2</v>
      </c>
      <c r="C43" t="str">
        <f t="shared" ca="1" si="35"/>
        <v>S</v>
      </c>
      <c r="D43">
        <f t="shared" ca="1" si="36"/>
        <v>0</v>
      </c>
      <c r="E43">
        <f ca="1">IF($C43=1,OFFSET(E43,-1,0)+MAX(1,COUNTIF(QCI!$A$13:$A$24,OFFSET(ORÇAMENTO!E43,-1,0))),OFFSET(E43,-1,0))</f>
        <v>1</v>
      </c>
      <c r="F43">
        <f t="shared" ca="1" si="37"/>
        <v>3</v>
      </c>
      <c r="G43">
        <f t="shared" ca="1" si="38"/>
        <v>0</v>
      </c>
      <c r="H43">
        <f t="shared" ca="1" si="39"/>
        <v>0</v>
      </c>
      <c r="I43">
        <f t="shared" ca="1" si="40"/>
        <v>4</v>
      </c>
      <c r="J43">
        <f t="shared" ca="1" si="41"/>
        <v>0</v>
      </c>
      <c r="K43">
        <f ca="1">IF(OR($C43="S",$C43=0),0,MATCH(OFFSET($D43,0,$C43)+IF($C43&lt;&gt;1,1,COUNTIF(QCI!$A$13:$A$24,ORÇAMENTO!E43)),OFFSET($D43,1,$C43,ROW($C$48)-ROW($C43)),0))</f>
        <v>0</v>
      </c>
      <c r="L43" s="114" t="str">
        <f t="shared" ca="1" si="42"/>
        <v>F</v>
      </c>
      <c r="M43" s="115" t="s">
        <v>705</v>
      </c>
      <c r="N43" s="116" t="str">
        <f t="shared" ca="1" si="43"/>
        <v>Serviço</v>
      </c>
      <c r="O43" s="117" t="str">
        <f t="shared" ca="1" si="44"/>
        <v>1.3.4.</v>
      </c>
      <c r="P43" s="118" t="s">
        <v>750</v>
      </c>
      <c r="Q43" s="119" t="s">
        <v>1044</v>
      </c>
      <c r="R43" s="120" t="s">
        <v>1045</v>
      </c>
      <c r="S43" s="121" t="s">
        <v>1046</v>
      </c>
      <c r="T43" s="122">
        <f ca="1">OFFSET(CÁLCULO!H$15,ROW($T43)-ROW(T$15),0)</f>
        <v>85.82</v>
      </c>
      <c r="U43" s="123">
        <v>1.24</v>
      </c>
      <c r="V43" s="124" t="s">
        <v>663</v>
      </c>
      <c r="W43" s="122" cm="1">
        <f t="array" aca="1" ref="W43" ca="1">IF($C43="S",ROUND(IF(TIPOORCAMENTO="Proposto",ORÇAMENTO.CustoUnitario*(1+$AH43),ORÇAMENTO.PrecoUnitarioLicitado),15-13*$AF$10),0)</f>
        <v>1.57</v>
      </c>
      <c r="X43" s="125" cm="1">
        <f t="array" aca="1" ref="X43" ca="1">IF($C43="S",IF(OR(Import.TipoArredondamento&lt;&gt;"TransfereGOV",ACOMPANHAMENTO="BM"),VTOTAL1,SUM(OFFSET(CÁLCULO!$AA$15,ROW($X43)-ROW($X$15),1):OFFSET(CÁLCULO!$AL$15,ROW($X43)-ROW($X$15),-1))),IF($C43=0,0,ROUND(SomaAgrup,15-13*$AF$11)))</f>
        <v>134.74</v>
      </c>
      <c r="Y43" s="126" t="s">
        <v>751</v>
      </c>
      <c r="Z43" t="str">
        <f t="shared" ca="1" si="45"/>
        <v>RA</v>
      </c>
      <c r="AA43" s="127" cm="1">
        <f t="array" aca="1" ref="AA43" ca="1">IF($C43="S",IF($Z43="CP",$X43,IF($Z43="RA",(($X43)*QCI!$AA$3),0)),SomaAgrup)</f>
        <v>134.74</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5914539</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33"/>
        <v>0.26579999999999998</v>
      </c>
      <c r="AJ43" s="431">
        <f>(7.5-1.5)*2.4*AJ37</f>
        <v>85.823999999999998</v>
      </c>
      <c r="AL43" s="439"/>
      <c r="AM43" s="336">
        <f t="shared" ca="1" si="0"/>
        <v>134.74</v>
      </c>
      <c r="AN43" s="470" cm="1">
        <f t="array" aca="1" ref="AN43" ca="1">ROUND(ORÇAMENTO.CustoUnitario*(1+$AH43),2)</f>
        <v>1.57</v>
      </c>
    </row>
    <row r="44" spans="1:40" ht="25.5" x14ac:dyDescent="0.2">
      <c r="A44" t="str">
        <f t="shared" si="32"/>
        <v>S</v>
      </c>
      <c r="B44">
        <f t="shared" ca="1" si="34"/>
        <v>2</v>
      </c>
      <c r="C44" t="str">
        <f t="shared" ca="1" si="35"/>
        <v>S</v>
      </c>
      <c r="D44">
        <f t="shared" ca="1" si="36"/>
        <v>0</v>
      </c>
      <c r="E44">
        <f ca="1">IF($C44=1,OFFSET(E44,-1,0)+MAX(1,COUNTIF(QCI!$A$13:$A$24,OFFSET(ORÇAMENTO!E44,-1,0))),OFFSET(E44,-1,0))</f>
        <v>1</v>
      </c>
      <c r="F44">
        <f t="shared" ca="1" si="37"/>
        <v>3</v>
      </c>
      <c r="G44">
        <f t="shared" ca="1" si="38"/>
        <v>0</v>
      </c>
      <c r="H44">
        <f t="shared" ca="1" si="39"/>
        <v>0</v>
      </c>
      <c r="I44">
        <f t="shared" ca="1" si="40"/>
        <v>5</v>
      </c>
      <c r="J44">
        <f t="shared" ca="1" si="41"/>
        <v>0</v>
      </c>
      <c r="K44">
        <f ca="1">IF(OR($C44="S",$C44=0),0,MATCH(OFFSET($D44,0,$C44)+IF($C44&lt;&gt;1,1,COUNTIF(QCI!$A$13:$A$24,ORÇAMENTO!E44)),OFFSET($D44,1,$C44,ROW($C$48)-ROW($C44)),0))</f>
        <v>0</v>
      </c>
      <c r="L44" s="114" t="str">
        <f t="shared" ca="1" si="42"/>
        <v>F</v>
      </c>
      <c r="M44" s="115" t="s">
        <v>705</v>
      </c>
      <c r="N44" s="116" t="str">
        <f t="shared" ca="1" si="43"/>
        <v>Serviço</v>
      </c>
      <c r="O44" s="117" t="str">
        <f t="shared" ca="1" si="44"/>
        <v>1.3.5.</v>
      </c>
      <c r="P44" s="118" t="s">
        <v>750</v>
      </c>
      <c r="Q44" s="119" t="s">
        <v>1047</v>
      </c>
      <c r="R44" s="120" t="s">
        <v>1048</v>
      </c>
      <c r="S44" s="121" t="s">
        <v>1046</v>
      </c>
      <c r="T44" s="122">
        <f ca="1">OFFSET(CÁLCULO!H$15,ROW($T44)-ROW(T$15),0)</f>
        <v>21.46</v>
      </c>
      <c r="U44" s="123">
        <v>0.81</v>
      </c>
      <c r="V44" s="124" t="s">
        <v>663</v>
      </c>
      <c r="W44" s="122" cm="1">
        <f t="array" aca="1" ref="W44" ca="1">IF($C44="S",ROUND(IF(TIPOORCAMENTO="Proposto",ORÇAMENTO.CustoUnitario*(1+$AH44),ORÇAMENTO.PrecoUnitarioLicitado),15-13*$AF$10),0)</f>
        <v>1.03</v>
      </c>
      <c r="X44" s="125" cm="1">
        <f t="array" aca="1" ref="X44" ca="1">IF($C44="S",IF(OR(Import.TipoArredondamento&lt;&gt;"TransfereGOV",ACOMPANHAMENTO="BM"),VTOTAL1,SUM(OFFSET(CÁLCULO!$AA$15,ROW($X44)-ROW($X$15),1):OFFSET(CÁLCULO!$AL$15,ROW($X44)-ROW($X$15),-1))),IF($C44=0,0,ROUND(SomaAgrup,15-13*$AF$11)))</f>
        <v>22.1</v>
      </c>
      <c r="Y44" s="126" t="s">
        <v>751</v>
      </c>
      <c r="Z44" t="str">
        <f t="shared" ca="1" si="45"/>
        <v>RA</v>
      </c>
      <c r="AA44" s="127" cm="1">
        <f t="array" aca="1" ref="AA44" ca="1">IF($C44="S",IF($Z44="CP",$X44,IF($Z44="RA",(($X44)*QCI!$AA$3),0)),SomaAgrup)</f>
        <v>22.1</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5914569</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33"/>
        <v>0.26579999999999998</v>
      </c>
      <c r="AJ44" s="431">
        <f>1.5*2.4*AJ37</f>
        <v>21.456</v>
      </c>
      <c r="AL44" s="439"/>
      <c r="AM44" s="336">
        <f t="shared" ca="1" si="0"/>
        <v>22.1</v>
      </c>
      <c r="AN44" s="470" cm="1">
        <f t="array" aca="1" ref="AN44" ca="1">ROUND(ORÇAMENTO.CustoUnitario*(1+$AH44),2)</f>
        <v>1.03</v>
      </c>
    </row>
    <row r="45" spans="1:40" x14ac:dyDescent="0.2">
      <c r="A45">
        <f t="shared" si="1"/>
        <v>2</v>
      </c>
      <c r="B45">
        <f t="shared" ca="1" si="2"/>
        <v>2</v>
      </c>
      <c r="C45">
        <f t="shared" ca="1" si="3"/>
        <v>2</v>
      </c>
      <c r="D45">
        <f t="shared" ca="1" si="4"/>
        <v>3</v>
      </c>
      <c r="E45">
        <f ca="1">IF($C45=1,OFFSET(E45,-1,0)+MAX(1,COUNTIF(QCI!$A$13:$A$24,OFFSET(ORÇAMENTO!E45,-1,0))),OFFSET(E45,-1,0))</f>
        <v>1</v>
      </c>
      <c r="F45">
        <f t="shared" ca="1" si="5"/>
        <v>4</v>
      </c>
      <c r="G45">
        <f t="shared" ca="1" si="6"/>
        <v>0</v>
      </c>
      <c r="H45">
        <f t="shared" ca="1" si="7"/>
        <v>0</v>
      </c>
      <c r="I45">
        <f t="shared" ca="1" si="8"/>
        <v>0</v>
      </c>
      <c r="J45">
        <f ca="1">IF(OR($C45="S",$C45=0),0,MATCH(0,OFFSET($D45,1,$C45,ROW($C$48)-ROW($C45)),0))</f>
        <v>3</v>
      </c>
      <c r="K45" t="e">
        <f ca="1">IF(OR($C45="S",$C45=0),0,MATCH(OFFSET($D45,0,$C45)+IF($C45&lt;&gt;1,1,COUNTIF(QCI!$A$13:$A$24,ORÇAMENTO!E45)),OFFSET($D45,1,$C45,ROW($C$48)-ROW($C45)),0))</f>
        <v>#N/A</v>
      </c>
      <c r="L45" s="114" t="str">
        <f t="shared" ca="1" si="10"/>
        <v>F</v>
      </c>
      <c r="M45" s="115" t="s">
        <v>702</v>
      </c>
      <c r="N45" s="116" t="str">
        <f t="shared" ca="1" si="11"/>
        <v>Nível 2</v>
      </c>
      <c r="O45" s="117" t="str">
        <f t="shared" ca="1" si="12"/>
        <v>1.4.</v>
      </c>
      <c r="P45" s="118" t="s">
        <v>750</v>
      </c>
      <c r="Q45" s="119"/>
      <c r="R45" s="120" t="s">
        <v>1020</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5192.6000000000004</v>
      </c>
      <c r="Y45" s="126" t="s">
        <v>751</v>
      </c>
      <c r="Z45" t="str">
        <f t="shared" ca="1" si="13"/>
        <v/>
      </c>
      <c r="AA45" s="127" cm="1">
        <f t="array" aca="1" ref="AA45" ca="1">IF($C45="S",IF($Z45="CP",$X45,IF($Z45="RA",(($X45)*QCI!$AA$3),0)),SomaAgrup)</f>
        <v>5192.6000000000004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5</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0.26579999999999998</v>
      </c>
      <c r="AJ45" s="431"/>
      <c r="AL45" s="439"/>
      <c r="AM45" s="336">
        <f t="shared" ca="1" si="0"/>
        <v>5192.6000000000004</v>
      </c>
      <c r="AN45" s="470" cm="1">
        <f t="array" aca="1" ref="AN45" ca="1">ROUND(ORÇAMENTO.CustoUnitario*(1+$AH45),2)</f>
        <v>0</v>
      </c>
    </row>
    <row r="46" spans="1:40" ht="25.5" x14ac:dyDescent="0.2">
      <c r="A46" t="str">
        <f t="shared" si="1"/>
        <v>S</v>
      </c>
      <c r="B46">
        <f t="shared" ca="1" si="2"/>
        <v>2</v>
      </c>
      <c r="C46" t="str">
        <f t="shared" ca="1" si="3"/>
        <v>S</v>
      </c>
      <c r="D46">
        <f t="shared" ca="1" si="4"/>
        <v>0</v>
      </c>
      <c r="E46">
        <f ca="1">IF($C46=1,OFFSET(E46,-1,0)+MAX(1,COUNTIF(QCI!$A$13:$A$24,OFFSET(ORÇAMENTO!E46,-1,0))),OFFSET(E46,-1,0))</f>
        <v>1</v>
      </c>
      <c r="F46">
        <f t="shared" ca="1" si="5"/>
        <v>4</v>
      </c>
      <c r="G46">
        <f t="shared" ca="1" si="6"/>
        <v>0</v>
      </c>
      <c r="H46">
        <f t="shared" ca="1" si="7"/>
        <v>0</v>
      </c>
      <c r="I46">
        <f t="shared" ca="1" si="8"/>
        <v>1</v>
      </c>
      <c r="J46">
        <f ca="1">IF(OR($C46="S",$C46=0),0,MATCH(0,OFFSET($D46,1,$C46,ROW($C$48)-ROW($C46)),0))</f>
        <v>0</v>
      </c>
      <c r="K46">
        <f ca="1">IF(OR($C46="S",$C46=0),0,MATCH(OFFSET($D46,0,$C46)+IF($C46&lt;&gt;1,1,COUNTIF(QCI!$A$13:$A$24,ORÇAMENTO!E46)),OFFSET($D46,1,$C46,ROW($C$48)-ROW($C46)),0))</f>
        <v>0</v>
      </c>
      <c r="L46" s="114" t="str">
        <f t="shared" ca="1" si="10"/>
        <v>F</v>
      </c>
      <c r="M46" s="115" t="s">
        <v>705</v>
      </c>
      <c r="N46" s="116" t="str">
        <f t="shared" ca="1" si="11"/>
        <v>Serviço</v>
      </c>
      <c r="O46" s="117" t="str">
        <f t="shared" ca="1" si="12"/>
        <v>1.4.1.</v>
      </c>
      <c r="P46" s="118" t="s">
        <v>955</v>
      </c>
      <c r="Q46" s="119" t="s">
        <v>1029</v>
      </c>
      <c r="R46" s="120" t="s">
        <v>1028</v>
      </c>
      <c r="S46" s="121" t="s">
        <v>623</v>
      </c>
      <c r="T46" s="122">
        <f ca="1">OFFSET(CÁLCULO!H$15,ROW($T46)-ROW(T$15),0)</f>
        <v>2.36</v>
      </c>
      <c r="U46" s="123">
        <v>421.29</v>
      </c>
      <c r="V46" s="124" t="s">
        <v>663</v>
      </c>
      <c r="W46" s="122" cm="1">
        <f t="array" aca="1" ref="W46" ca="1">IF($C46="S",ROUND(IF(TIPOORCAMENTO="Proposto",ORÇAMENTO.CustoUnitario*(1+$AH46),ORÇAMENTO.PrecoUnitarioLicitado),15-13*$AF$10),0)</f>
        <v>533.27</v>
      </c>
      <c r="X46" s="125" cm="1">
        <f t="array" aca="1" ref="X46" ca="1">IF($C46="S",IF(OR(Import.TipoArredondamento&lt;&gt;"TransfereGOV",ACOMPANHAMENTO="BM"),VTOTAL1,SUM(OFFSET(CÁLCULO!$AA$15,ROW($X46)-ROW($X$15),1):OFFSET(CÁLCULO!$AL$15,ROW($X46)-ROW($X$15),-1))),IF($C46=0,0,ROUND(SomaAgrup,15-13*$AF$11)))</f>
        <v>1258.52</v>
      </c>
      <c r="Y46" s="126" t="s">
        <v>751</v>
      </c>
      <c r="Z46" t="str">
        <f t="shared" ca="1" si="13"/>
        <v>RA</v>
      </c>
      <c r="AA46" s="127" cm="1">
        <f t="array" aca="1" ref="AA46" ca="1">IF($C46="S",IF($Z46="CP",$X46,IF($Z46="RA",(($X46)*QCI!$AA$3),0)),SomaAgrup)</f>
        <v>1258.52</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SICRO 5213417</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0.26579999999999998</v>
      </c>
      <c r="AJ46" s="431">
        <f>(0.6*0.9*2)+(0.8*0.8*2)</f>
        <v>2.3600000000000003</v>
      </c>
      <c r="AL46" s="439"/>
      <c r="AM46" s="336">
        <f t="shared" ca="1" si="0"/>
        <v>1258.52</v>
      </c>
      <c r="AN46" s="470" cm="1">
        <f t="array" aca="1" ref="AN46" ca="1">ROUND(ORÇAMENTO.CustoUnitario*(1+$AH46),2)</f>
        <v>533.27</v>
      </c>
    </row>
    <row r="47" spans="1:40" ht="38.25" x14ac:dyDescent="0.2">
      <c r="A47" t="str">
        <f>CHOOSE(1+LOG(1+2*(ORÇAMENTO.Nivel="Meta")+4*(ORÇAMENTO.Nivel="Nível 2")+8*(ORÇAMENTO.Nivel="Nível 3")+16*(ORÇAMENTO.Nivel="Nível 4")+32*(ORÇAMENTO.Nivel="Serviço"),2),0,1,2,3,4,"S")</f>
        <v>S</v>
      </c>
      <c r="B47">
        <f ca="1">IF(OR(C47="s",C47=0),OFFSET(B47,-1,0),C47)</f>
        <v>2</v>
      </c>
      <c r="C47" t="str">
        <f ca="1">IF(OFFSET(C47,-1,0)="L",1,IF(OFFSET(C47,-1,0)=1,2,IF(OR(A47="s",A47=0),"S",IF(AND(OFFSET(C47,-1,0)=2,A47=4),3,IF(AND(OR(OFFSET(C47,-1,0)="s",OFFSET(C47,-1,0)=0),A47&lt;&gt;"s",A47&gt;OFFSET(B47,-1,0)),OFFSET(B47,-1,0),A47)))))</f>
        <v>S</v>
      </c>
      <c r="D47">
        <f ca="1">IF(OR(C47="S",C47=0),0,IF(ISERROR(K47),J47,SMALL(J47:K47,1)))</f>
        <v>0</v>
      </c>
      <c r="E47">
        <f ca="1">IF($C47=1,OFFSET(E47,-1,0)+MAX(1,COUNTIF(QCI!$A$13:$A$24,OFFSET(ORÇAMENTO!E47,-1,0))),OFFSET(E47,-1,0))</f>
        <v>1</v>
      </c>
      <c r="F47">
        <f ca="1">IF($C47=1,0,IF($C47=2,OFFSET(F47,-1,0)+1,OFFSET(F47,-1,0)))</f>
        <v>4</v>
      </c>
      <c r="G47">
        <f ca="1">IF(AND($C47&lt;=2,$C47&lt;&gt;0),0,IF($C47=3,OFFSET(G47,-1,0)+1,OFFSET(G47,-1,0)))</f>
        <v>0</v>
      </c>
      <c r="H47">
        <f ca="1">IF(AND($C47&lt;=3,$C47&lt;&gt;0),0,IF($C47=4,OFFSET(H47,-1,0)+1,OFFSET(H47,-1,0)))</f>
        <v>0</v>
      </c>
      <c r="I47">
        <f ca="1">IF(AND($C47&lt;=4,$C47&lt;&gt;0),0,IF(AND($C47="S",$X47&gt;0),OFFSET(I47,-1,0)+1,OFFSET(I47,-1,0)))</f>
        <v>2</v>
      </c>
      <c r="J47">
        <f ca="1">IF(OR($C47="S",$C47=0),0,MATCH(0,OFFSET($D47,1,$C47,ROW($C$48)-ROW($C47)),0))</f>
        <v>0</v>
      </c>
      <c r="K47">
        <f ca="1">IF(OR($C47="S",$C47=0),0,MATCH(OFFSET($D47,0,$C47)+IF($C47&lt;&gt;1,1,COUNTIF(QCI!$A$13:$A$24,ORÇAMENTO!E47)),OFFSET($D47,1,$C47,ROW($C$48)-ROW($C47)),0))</f>
        <v>0</v>
      </c>
      <c r="L47" s="114" t="str">
        <f ca="1">IF(OR($X47&gt;0,$C47=1,$C47=2,$C47=3,$C47=4),"F","")</f>
        <v>F</v>
      </c>
      <c r="M47" s="115" t="s">
        <v>705</v>
      </c>
      <c r="N47" s="116" t="str">
        <f ca="1">CHOOSE(1+LOG(1+2*(C47=1)+4*(C47=2)+8*(C47=3)+16*(C47=4)+32*(C47="S"),2),"","Meta","Nível 2","Nível 3","Nível 4","Serviço")</f>
        <v>Serviço</v>
      </c>
      <c r="O47" s="117" t="str">
        <f ca="1">IF(OR($C47=0,$L47=""),"-",CONCATENATE(E47&amp;".",IF(AND($A$5&gt;=2,$C47&gt;=2),F47&amp;".",""),IF(AND($A$5&gt;=3,$C47&gt;=3),G47&amp;".",""),IF(AND($A$5&gt;=4,$C47&gt;=4),H47&amp;".",""),IF($C47="S",I47&amp;".","")))</f>
        <v>1.4.2.</v>
      </c>
      <c r="P47" s="118" t="s">
        <v>955</v>
      </c>
      <c r="Q47" s="119" t="s">
        <v>1031</v>
      </c>
      <c r="R47" s="120" t="s">
        <v>1030</v>
      </c>
      <c r="S47" s="121" t="s">
        <v>639</v>
      </c>
      <c r="T47" s="122">
        <f ca="1">OFFSET(CÁLCULO!H$15,ROW($T47)-ROW(T$15),0)</f>
        <v>6</v>
      </c>
      <c r="U47" s="123">
        <v>518</v>
      </c>
      <c r="V47" s="124" t="s">
        <v>663</v>
      </c>
      <c r="W47" s="122" cm="1">
        <f t="array" aca="1" ref="W47" ca="1">IF($C47="S",ROUND(IF(TIPOORCAMENTO="Proposto",ORÇAMENTO.CustoUnitario*(1+$AH47),ORÇAMENTO.PrecoUnitarioLicitado),15-13*$AF$10),0)</f>
        <v>655.68</v>
      </c>
      <c r="X47" s="125" cm="1">
        <f t="array" aca="1" ref="X47" ca="1">IF($C47="S",IF(OR(Import.TipoArredondamento&lt;&gt;"TransfereGOV",ACOMPANHAMENTO="BM"),VTOTAL1,SUM(OFFSET(CÁLCULO!$AA$15,ROW($X47)-ROW($X$15),1):OFFSET(CÁLCULO!$AL$15,ROW($X47)-ROW($X$15),-1))),IF($C47=0,0,ROUND(SomaAgrup,15-13*$AF$11)))</f>
        <v>3934.08</v>
      </c>
      <c r="Y47" s="126" t="s">
        <v>751</v>
      </c>
      <c r="Z47" t="str">
        <f ca="1">IF(AND($C47="S",$X47&gt;0),IF(ISBLANK($Y47),"RA",LEFT($Y47,2)),"")</f>
        <v>RA</v>
      </c>
      <c r="AA47" s="127" cm="1">
        <f t="array" aca="1" ref="AA47" ca="1">IF($C47="S",IF($Z47="CP",$X47,IF($Z47="RA",(($X47)*QCI!$AA$3),0)),SomaAgrup)</f>
        <v>3934.08</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SICRO 5213863</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ca="1">ROUND(IF(ISNUMBER(ORÇAMENTO.OpcaoBDI),ORÇAMENTO.OpcaoBDI,IF(LEFT(ORÇAMENTO.OpcaoBDI,3)="BDI",HLOOKUP(ORÇAMENTO.OpcaoBDI,$F$4:$H$5,2,FALSE),0)),15-11*$AF$9)</f>
        <v>0.26579999999999998</v>
      </c>
      <c r="AJ47" s="431">
        <v>6</v>
      </c>
      <c r="AL47" s="439"/>
      <c r="AM47" s="336">
        <f t="shared" ca="1" si="0"/>
        <v>3934.08</v>
      </c>
      <c r="AN47" s="470" cm="1">
        <f t="array" aca="1" ref="AN47" ca="1">ROUND(ORÇAMENTO.CustoUnitario*(1+$AH47),2)</f>
        <v>655.68</v>
      </c>
    </row>
    <row r="48" spans="1:40" ht="5.0999999999999996" customHeight="1" x14ac:dyDescent="0.2">
      <c r="A48">
        <v>-1</v>
      </c>
      <c r="C48">
        <v>-1</v>
      </c>
      <c r="E48">
        <v>0</v>
      </c>
      <c r="F48">
        <v>0</v>
      </c>
      <c r="G48">
        <v>0</v>
      </c>
      <c r="H48">
        <v>0</v>
      </c>
      <c r="I48">
        <v>0</v>
      </c>
      <c r="L48" s="114" t="s">
        <v>536</v>
      </c>
      <c r="M48" s="616"/>
      <c r="N48" s="424"/>
      <c r="O48" s="616"/>
      <c r="P48" s="617"/>
      <c r="Q48" s="617"/>
      <c r="R48" s="617"/>
      <c r="S48" s="617"/>
      <c r="T48" s="617"/>
      <c r="U48" s="617"/>
      <c r="V48" s="617"/>
      <c r="W48" s="617"/>
      <c r="X48" s="424"/>
      <c r="Y48" s="424"/>
      <c r="AC48" s="565" t="str" cm="1">
        <f t="array" ref="AC48">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F48" s="12"/>
      <c r="AG48" s="618"/>
      <c r="AH48" s="419"/>
      <c r="AJ48" s="425"/>
      <c r="AL48" s="618"/>
      <c r="AM48" s="619"/>
      <c r="AN48" s="419"/>
    </row>
    <row r="49" spans="15:32" x14ac:dyDescent="0.2">
      <c r="AF49" s="12"/>
    </row>
    <row r="50" spans="15:32" x14ac:dyDescent="0.2">
      <c r="AF50" s="12"/>
    </row>
    <row r="51" spans="15:32" ht="14.25" x14ac:dyDescent="0.2">
      <c r="O51" s="134" t="s">
        <v>753</v>
      </c>
      <c r="Q51" s="720" t="s">
        <v>754</v>
      </c>
      <c r="R51" s="720"/>
      <c r="S51" s="720"/>
      <c r="T51" s="720"/>
      <c r="U51" s="720"/>
      <c r="V51" s="720"/>
      <c r="W51" s="720"/>
      <c r="X51" s="720"/>
      <c r="AF51" s="12"/>
    </row>
    <row r="52" spans="15:32" x14ac:dyDescent="0.2">
      <c r="AF52" s="12"/>
    </row>
    <row r="53" spans="15:32" ht="14.25" x14ac:dyDescent="0.2">
      <c r="O53" s="135" t="s">
        <v>689</v>
      </c>
      <c r="X53" s="4"/>
      <c r="AF53" s="12"/>
    </row>
    <row r="54" spans="15:32" ht="12.75" customHeight="1" x14ac:dyDescent="0.2">
      <c r="O54" s="721"/>
      <c r="P54" s="721"/>
      <c r="Q54" s="721"/>
      <c r="R54" s="721"/>
      <c r="S54" s="721"/>
      <c r="T54" s="721"/>
      <c r="U54" s="721"/>
      <c r="V54" s="721"/>
      <c r="W54" s="721"/>
      <c r="X54" s="721"/>
      <c r="AF54" s="12"/>
    </row>
    <row r="55" spans="15:32" x14ac:dyDescent="0.2">
      <c r="O55" s="721"/>
      <c r="P55" s="721"/>
      <c r="Q55" s="721"/>
      <c r="R55" s="721"/>
      <c r="S55" s="721"/>
      <c r="T55" s="721"/>
      <c r="U55" s="721"/>
      <c r="V55" s="721"/>
      <c r="W55" s="721"/>
      <c r="X55" s="721"/>
      <c r="AF55" s="12"/>
    </row>
    <row r="56" spans="15:32" x14ac:dyDescent="0.2">
      <c r="O56" s="721"/>
      <c r="P56" s="721"/>
      <c r="Q56" s="721"/>
      <c r="R56" s="721"/>
      <c r="S56" s="721"/>
      <c r="T56" s="721"/>
      <c r="U56" s="721"/>
      <c r="V56" s="721"/>
      <c r="W56" s="721"/>
      <c r="X56" s="721"/>
      <c r="AF56" s="12"/>
    </row>
    <row r="57" spans="15:32" ht="14.25" x14ac:dyDescent="0.2">
      <c r="O57" s="443"/>
      <c r="P57" s="443"/>
      <c r="Q57" s="443"/>
      <c r="R57" s="443"/>
      <c r="S57" s="443"/>
      <c r="T57" s="443"/>
      <c r="U57" s="443"/>
      <c r="V57" s="443"/>
      <c r="W57" s="443"/>
      <c r="X57" s="443"/>
      <c r="Y57" s="443"/>
      <c r="Z57" s="136"/>
      <c r="AA57" s="136"/>
      <c r="AB57" s="136"/>
      <c r="AF57" s="12"/>
    </row>
    <row r="58" spans="15:32" ht="15" x14ac:dyDescent="0.25">
      <c r="O58"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8" s="722"/>
      <c r="Q58" s="722"/>
      <c r="R58" s="722"/>
      <c r="S58" s="722"/>
      <c r="T58" s="722"/>
      <c r="U58" s="722"/>
      <c r="V58" s="722"/>
      <c r="W58" s="722"/>
      <c r="X58" s="722"/>
      <c r="Y58" s="137"/>
      <c r="Z58" s="137"/>
      <c r="AA58" s="137"/>
      <c r="AB58" s="137"/>
      <c r="AF58" s="12"/>
    </row>
    <row r="59" spans="15:32" ht="15" customHeight="1" x14ac:dyDescent="0.25">
      <c r="O59" s="724" t="s">
        <v>755</v>
      </c>
      <c r="P59" s="724"/>
      <c r="Q59" s="724"/>
      <c r="R59" s="724"/>
      <c r="S59" s="724"/>
      <c r="T59" s="724"/>
      <c r="U59" s="724"/>
      <c r="V59" s="724"/>
      <c r="W59" s="724"/>
      <c r="X59" s="724"/>
      <c r="Y59" s="137"/>
      <c r="Z59" s="137"/>
      <c r="AA59" s="137"/>
      <c r="AB59" s="137"/>
      <c r="AF59" s="12"/>
    </row>
    <row r="60" spans="15:32" x14ac:dyDescent="0.2">
      <c r="AF60" s="12"/>
    </row>
    <row r="61" spans="15:32" ht="30" customHeight="1" x14ac:dyDescent="0.2">
      <c r="O61" s="723" t="str">
        <f>Import.Município</f>
        <v>CAÇADOR</v>
      </c>
      <c r="P61" s="723"/>
      <c r="Q61" s="723"/>
      <c r="S61" s="460"/>
      <c r="T61" s="460"/>
      <c r="U61" s="460"/>
      <c r="V61" s="460"/>
      <c r="W61" s="417"/>
      <c r="AF61" s="12"/>
    </row>
    <row r="62" spans="15:32" x14ac:dyDescent="0.2">
      <c r="O62" s="9" t="s">
        <v>693</v>
      </c>
      <c r="S62" s="181" t="s">
        <v>696</v>
      </c>
      <c r="T62" s="181"/>
      <c r="U62" s="181"/>
      <c r="V62" s="181"/>
      <c r="AF62" s="12"/>
    </row>
    <row r="63" spans="15:32" x14ac:dyDescent="0.2">
      <c r="S63" s="77" t="s">
        <v>240</v>
      </c>
      <c r="T63" s="78" t="str">
        <f t="array" ref="T63:T65">Import.RespOrçamento</f>
        <v>Diego Dutra do Nascimento</v>
      </c>
      <c r="V63" s="79"/>
      <c r="AF63" s="12"/>
    </row>
    <row r="64" spans="15:32" x14ac:dyDescent="0.2">
      <c r="O64" s="717">
        <f>DADOS!$C$25</f>
        <v>46150</v>
      </c>
      <c r="P64" s="717"/>
      <c r="Q64" s="717"/>
      <c r="S64" s="77" t="s">
        <v>243</v>
      </c>
      <c r="T64" s="78" t="str">
        <v>CREA-SC 225647-1</v>
      </c>
      <c r="U64" s="79"/>
      <c r="V64" s="79"/>
      <c r="AF64" s="12"/>
    </row>
    <row r="65" spans="15:32" x14ac:dyDescent="0.2">
      <c r="O65" s="140" t="s">
        <v>694</v>
      </c>
      <c r="P65" s="1"/>
      <c r="Q65" s="1"/>
      <c r="S65" s="77" t="s">
        <v>246</v>
      </c>
      <c r="T65" s="78" t="str">
        <v>10468622-6</v>
      </c>
      <c r="U65" s="79"/>
      <c r="V65" s="79"/>
      <c r="AF65" s="12"/>
    </row>
    <row r="66" spans="15:32" x14ac:dyDescent="0.2">
      <c r="AF66" s="12"/>
    </row>
    <row r="67" spans="15:32" x14ac:dyDescent="0.2">
      <c r="AF67" s="12"/>
    </row>
    <row r="68" spans="15:32" x14ac:dyDescent="0.2">
      <c r="AF68" s="12"/>
    </row>
    <row r="69" spans="15:32" x14ac:dyDescent="0.2">
      <c r="AF69" s="12"/>
    </row>
    <row r="70" spans="15:32" x14ac:dyDescent="0.2">
      <c r="AF70" s="12"/>
    </row>
    <row r="71" spans="15:32" x14ac:dyDescent="0.2">
      <c r="AF71" s="12"/>
    </row>
    <row r="72" spans="15:32" x14ac:dyDescent="0.2">
      <c r="AF72" s="12"/>
    </row>
    <row r="73" spans="15:32" x14ac:dyDescent="0.2">
      <c r="AF73" s="12"/>
    </row>
    <row r="74" spans="15:32" x14ac:dyDescent="0.2">
      <c r="AF74" s="12"/>
    </row>
    <row r="75" spans="15:32" x14ac:dyDescent="0.2">
      <c r="AF75" s="12"/>
    </row>
    <row r="76" spans="15:32" x14ac:dyDescent="0.2">
      <c r="AF76" s="12"/>
    </row>
    <row r="77" spans="15:32" x14ac:dyDescent="0.2">
      <c r="AF77" s="12"/>
    </row>
    <row r="78" spans="15:32" x14ac:dyDescent="0.2">
      <c r="AF78" s="12"/>
    </row>
    <row r="79" spans="15:32" x14ac:dyDescent="0.2">
      <c r="AF79" s="12"/>
    </row>
    <row r="80" spans="15: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sheetData>
  <sheetProtection algorithmName="SHA-512" hashValue="7RYv/646LqHN7Sw4K8E6om4nE50hx+on+CTX8ScMA1J5Ap2dIR2zSveAYdVZI6u/muGVS24fsGeOs66hTv1jpQ==" saltValue="V8+MZrAmdREiyOukTXdmjg==" spinCount="100000" sheet="1" objects="1" scenarios="1" autoFilter="0"/>
  <autoFilter ref="L15:L48" xr:uid="{00000000-0001-0000-0400-000000000000}"/>
  <mergeCells count="25">
    <mergeCell ref="O64:Q64"/>
    <mergeCell ref="O15:R15"/>
    <mergeCell ref="Q51:X51"/>
    <mergeCell ref="O54:X56"/>
    <mergeCell ref="O58:X58"/>
    <mergeCell ref="O61:Q61"/>
    <mergeCell ref="O59:X59"/>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23:M26 M34 M16:M21 M37">
    <cfRule type="cellIs" dxfId="788" priority="43893" stopIfTrue="1" operator="notEqual">
      <formula>$N14</formula>
    </cfRule>
  </conditionalFormatting>
  <conditionalFormatting sqref="N14:O14 W14 R23:R26 W23:X26 N23:O26 R34 W34:X34 N34:O34 N16:O21 W16:X21 R16:R21 N37:O37 W37:X37 R37">
    <cfRule type="expression" dxfId="787" priority="43894" stopIfTrue="1">
      <formula>$C14=1</formula>
    </cfRule>
    <cfRule type="expression" dxfId="786" priority="43895" stopIfTrue="1">
      <formula>OR($C14=0,$C14=2,$C14=3,$C14=4)</formula>
    </cfRule>
  </conditionalFormatting>
  <conditionalFormatting sqref="U14:V14 U27 U23:V26 U22 U34:V34 U38:U39 U16:V21 U37:V37 U35:U36">
    <cfRule type="expression" dxfId="785" priority="43896" stopIfTrue="1">
      <formula>$C14=1</formula>
    </cfRule>
    <cfRule type="expression" dxfId="784" priority="43897" stopIfTrue="1">
      <formula>OR($C14=0,$C14=2,$C14=3,$C14=4)</formula>
    </cfRule>
    <cfRule type="expression" dxfId="783" priority="43898" stopIfTrue="1">
      <formula>AND(TIPOORCAMENTO="Licitado",$C14&lt;&gt;"L",$C14&lt;&gt;-1)</formula>
    </cfRule>
  </conditionalFormatting>
  <conditionalFormatting sqref="P14:Q14 S14:T14 Y14 AG14:AH14 AG23:AH26 Y23:Y26 S23:T26 P23:Q26 AG34:AH34 Y34 S34:T34 P34:Q34 P16:Q21 S16:T21 Y16:Y21 AG16:AH21 P37:Q37 S37:T37 Y37 AG37:AH37">
    <cfRule type="expression" dxfId="782" priority="43899" stopIfTrue="1">
      <formula>$C14=1</formula>
    </cfRule>
    <cfRule type="expression" dxfId="781" priority="43900" stopIfTrue="1">
      <formula>OR($C14=0,$C14=2,$C14=3,$C14=4)</formula>
    </cfRule>
  </conditionalFormatting>
  <conditionalFormatting sqref="AJ23:AJ26 AJ34 AJ48 AJ45:AJ46 AJ7:AJ21 AJ37">
    <cfRule type="expression" dxfId="780" priority="43901" stopIfTrue="1">
      <formula>OR(ACOMPANHAMENTO&lt;&gt;"BM",TIPOORCAMENTO="Licitado")</formula>
    </cfRule>
    <cfRule type="expression" dxfId="779" priority="43902" stopIfTrue="1">
      <formula>$C7=1</formula>
    </cfRule>
    <cfRule type="expression" dxfId="778" priority="43903" stopIfTrue="1">
      <formula>OR(AND(ISNUMBER($C7),$C7=0),$C7=2,$C7=3,$C7=4)</formula>
    </cfRule>
  </conditionalFormatting>
  <conditionalFormatting sqref="AL23:AL26 AL34 AL48 AL45:AL46 AL7:AL21 AL37">
    <cfRule type="expression" dxfId="777" priority="43904" stopIfTrue="1">
      <formula>TIPOORCAMENTO="PROPOSTO"</formula>
    </cfRule>
    <cfRule type="expression" dxfId="776" priority="43905" stopIfTrue="1">
      <formula>$C7=1</formula>
    </cfRule>
    <cfRule type="expression" dxfId="775" priority="43906" stopIfTrue="1">
      <formula>OR(AND(ISNUMBER($C7),$C7=0),$C7=2,$C7=3,$C7=4)</formula>
    </cfRule>
  </conditionalFormatting>
  <conditionalFormatting sqref="O8:P8">
    <cfRule type="expression" dxfId="774" priority="43910" stopIfTrue="1">
      <formula>ISERROR(INDIRECT($F$9))</formula>
    </cfRule>
  </conditionalFormatting>
  <conditionalFormatting sqref="S7:V8">
    <cfRule type="expression" dxfId="773" priority="43911" stopIfTrue="1">
      <formula>TIPOORCAMENTO="Proposto"</formula>
    </cfRule>
  </conditionalFormatting>
  <conditionalFormatting sqref="S9:X9">
    <cfRule type="expression" dxfId="772" priority="43858" stopIfTrue="1">
      <formula>TIPOORCAMENTO="Proposto"</formula>
    </cfRule>
  </conditionalFormatting>
  <conditionalFormatting sqref="AM23:AN26 AM34:AN34 AM48:AN48 AM45:AN46 AM7:AN21 AM37:AN37">
    <cfRule type="expression" dxfId="771" priority="43907" stopIfTrue="1">
      <formula>TIPOORCAMENTO="PROPOSTO"</formula>
    </cfRule>
    <cfRule type="expression" dxfId="770" priority="43908" stopIfTrue="1">
      <formula>$C7=1</formula>
    </cfRule>
    <cfRule type="expression" dxfId="769" priority="43909" stopIfTrue="1">
      <formula>OR(AND(ISNUMBER($C7),$C7=0),$C7=2,$C7=3,$C7=4)</formula>
    </cfRule>
  </conditionalFormatting>
  <conditionalFormatting sqref="X14">
    <cfRule type="expression" dxfId="768" priority="29483" stopIfTrue="1">
      <formula>$C14=1</formula>
    </cfRule>
    <cfRule type="expression" dxfId="767" priority="29484" stopIfTrue="1">
      <formula>OR($C14=0,$C14=2,$C14=3,$C14=4)</formula>
    </cfRule>
  </conditionalFormatting>
  <conditionalFormatting sqref="AC11">
    <cfRule type="cellIs" dxfId="766" priority="20318" operator="equal">
      <formula>"OK"</formula>
    </cfRule>
  </conditionalFormatting>
  <conditionalFormatting sqref="R14">
    <cfRule type="expression" dxfId="765" priority="5250" stopIfTrue="1">
      <formula>$C14=1</formula>
    </cfRule>
    <cfRule type="expression" dxfId="764" priority="5251" stopIfTrue="1">
      <formula>OR($C14=0,$C14=2,$C14=3,$C14=4)</formula>
    </cfRule>
  </conditionalFormatting>
  <conditionalFormatting sqref="R14 R16 R21 R23:R26 R34 R37">
    <cfRule type="beginsWith" dxfId="763" priority="5249" operator="beginsWith" text="(">
      <formula>LEFT(R14,LEN("("))="("</formula>
    </cfRule>
  </conditionalFormatting>
  <conditionalFormatting sqref="M45:M46">
    <cfRule type="cellIs" dxfId="762" priority="1156" stopIfTrue="1" operator="notEqual">
      <formula>$N45</formula>
    </cfRule>
  </conditionalFormatting>
  <conditionalFormatting sqref="W45:W46 N45:O46">
    <cfRule type="expression" dxfId="761" priority="1157" stopIfTrue="1">
      <formula>$C45=1</formula>
    </cfRule>
    <cfRule type="expression" dxfId="760" priority="1158" stopIfTrue="1">
      <formula>OR($C45=0,$C45=2,$C45=3,$C45=4)</formula>
    </cfRule>
  </conditionalFormatting>
  <conditionalFormatting sqref="U45:V46">
    <cfRule type="expression" dxfId="759" priority="1159" stopIfTrue="1">
      <formula>$C45=1</formula>
    </cfRule>
    <cfRule type="expression" dxfId="758" priority="1160" stopIfTrue="1">
      <formula>OR($C45=0,$C45=2,$C45=3,$C45=4)</formula>
    </cfRule>
    <cfRule type="expression" dxfId="757" priority="1161" stopIfTrue="1">
      <formula>AND(TIPOORCAMENTO="Licitado",$C45&lt;&gt;"L",$C45&lt;&gt;-1)</formula>
    </cfRule>
  </conditionalFormatting>
  <conditionalFormatting sqref="AG45:AH46 Y45:Y46 S45:T46 P45:Q46">
    <cfRule type="expression" dxfId="756" priority="1162" stopIfTrue="1">
      <formula>$C45=1</formula>
    </cfRule>
    <cfRule type="expression" dxfId="755" priority="1163" stopIfTrue="1">
      <formula>OR($C45=0,$C45=2,$C45=3,$C45=4)</formula>
    </cfRule>
  </conditionalFormatting>
  <conditionalFormatting sqref="X45:X46">
    <cfRule type="expression" dxfId="754" priority="1154" stopIfTrue="1">
      <formula>$C45=1</formula>
    </cfRule>
    <cfRule type="expression" dxfId="753" priority="1155" stopIfTrue="1">
      <formula>OR($C45=0,$C45=2,$C45=3,$C45=4)</formula>
    </cfRule>
  </conditionalFormatting>
  <conditionalFormatting sqref="R45:R46">
    <cfRule type="expression" dxfId="752" priority="1152" stopIfTrue="1">
      <formula>$C45=1</formula>
    </cfRule>
    <cfRule type="expression" dxfId="751" priority="1153" stopIfTrue="1">
      <formula>OR($C45=0,$C45=2,$C45=3,$C45=4)</formula>
    </cfRule>
  </conditionalFormatting>
  <conditionalFormatting sqref="R45:R46">
    <cfRule type="beginsWith" dxfId="750" priority="1151" operator="beginsWith" text="(">
      <formula>LEFT(R45,LEN("("))="("</formula>
    </cfRule>
  </conditionalFormatting>
  <conditionalFormatting sqref="M27">
    <cfRule type="cellIs" dxfId="749" priority="721" stopIfTrue="1" operator="notEqual">
      <formula>$N27</formula>
    </cfRule>
  </conditionalFormatting>
  <conditionalFormatting sqref="N27:O27 W27">
    <cfRule type="expression" dxfId="748" priority="722" stopIfTrue="1">
      <formula>$C27=1</formula>
    </cfRule>
    <cfRule type="expression" dxfId="747" priority="723" stopIfTrue="1">
      <formula>OR($C27=0,$C27=2,$C27=3,$C27=4)</formula>
    </cfRule>
  </conditionalFormatting>
  <conditionalFormatting sqref="V27">
    <cfRule type="expression" dxfId="746" priority="724" stopIfTrue="1">
      <formula>$C27=1</formula>
    </cfRule>
    <cfRule type="expression" dxfId="745" priority="725" stopIfTrue="1">
      <formula>OR($C27=0,$C27=2,$C27=3,$C27=4)</formula>
    </cfRule>
    <cfRule type="expression" dxfId="744" priority="726" stopIfTrue="1">
      <formula>AND(TIPOORCAMENTO="Licitado",$C27&lt;&gt;"L",$C27&lt;&gt;-1)</formula>
    </cfRule>
  </conditionalFormatting>
  <conditionalFormatting sqref="P27:Q27 S27:T27 Y27 AG27:AH27">
    <cfRule type="expression" dxfId="743" priority="727" stopIfTrue="1">
      <formula>$C27=1</formula>
    </cfRule>
    <cfRule type="expression" dxfId="742" priority="728" stopIfTrue="1">
      <formula>OR($C27=0,$C27=2,$C27=3,$C27=4)</formula>
    </cfRule>
  </conditionalFormatting>
  <conditionalFormatting sqref="AJ27">
    <cfRule type="expression" dxfId="741" priority="729" stopIfTrue="1">
      <formula>OR(ACOMPANHAMENTO&lt;&gt;"BM",TIPOORCAMENTO="Licitado")</formula>
    </cfRule>
    <cfRule type="expression" dxfId="740" priority="730" stopIfTrue="1">
      <formula>$C27=1</formula>
    </cfRule>
    <cfRule type="expression" dxfId="739" priority="731" stopIfTrue="1">
      <formula>OR(AND(ISNUMBER($C27),$C27=0),$C27=2,$C27=3,$C27=4)</formula>
    </cfRule>
  </conditionalFormatting>
  <conditionalFormatting sqref="AL27">
    <cfRule type="expression" dxfId="738" priority="732" stopIfTrue="1">
      <formula>TIPOORCAMENTO="PROPOSTO"</formula>
    </cfRule>
    <cfRule type="expression" dxfId="737" priority="733" stopIfTrue="1">
      <formula>$C27=1</formula>
    </cfRule>
    <cfRule type="expression" dxfId="736" priority="734" stopIfTrue="1">
      <formula>OR(AND(ISNUMBER($C27),$C27=0),$C27=2,$C27=3,$C27=4)</formula>
    </cfRule>
  </conditionalFormatting>
  <conditionalFormatting sqref="AM27:AN27">
    <cfRule type="expression" dxfId="735" priority="735" stopIfTrue="1">
      <formula>TIPOORCAMENTO="PROPOSTO"</formula>
    </cfRule>
    <cfRule type="expression" dxfId="734" priority="736" stopIfTrue="1">
      <formula>$C27=1</formula>
    </cfRule>
    <cfRule type="expression" dxfId="733" priority="737" stopIfTrue="1">
      <formula>OR(AND(ISNUMBER($C27),$C27=0),$C27=2,$C27=3,$C27=4)</formula>
    </cfRule>
  </conditionalFormatting>
  <conditionalFormatting sqref="X27">
    <cfRule type="expression" dxfId="732" priority="719" stopIfTrue="1">
      <formula>$C27=1</formula>
    </cfRule>
    <cfRule type="expression" dxfId="731" priority="720" stopIfTrue="1">
      <formula>OR($C27=0,$C27=2,$C27=3,$C27=4)</formula>
    </cfRule>
  </conditionalFormatting>
  <conditionalFormatting sqref="R27">
    <cfRule type="expression" dxfId="730" priority="717" stopIfTrue="1">
      <formula>$C27=1</formula>
    </cfRule>
    <cfRule type="expression" dxfId="729" priority="718" stopIfTrue="1">
      <formula>OR($C27=0,$C27=2,$C27=3,$C27=4)</formula>
    </cfRule>
  </conditionalFormatting>
  <conditionalFormatting sqref="R27">
    <cfRule type="beginsWith" dxfId="728" priority="716" operator="beginsWith" text="(">
      <formula>LEFT(R27,LEN("("))="("</formula>
    </cfRule>
  </conditionalFormatting>
  <conditionalFormatting sqref="R17:R20">
    <cfRule type="beginsWith" dxfId="727" priority="606" operator="beginsWith" text="(">
      <formula>LEFT(R17,LEN("("))="("</formula>
    </cfRule>
  </conditionalFormatting>
  <conditionalFormatting sqref="M22">
    <cfRule type="cellIs" dxfId="726" priority="501" stopIfTrue="1" operator="notEqual">
      <formula>$N22</formula>
    </cfRule>
  </conditionalFormatting>
  <conditionalFormatting sqref="N22:O22 W22">
    <cfRule type="expression" dxfId="725" priority="502" stopIfTrue="1">
      <formula>$C22=1</formula>
    </cfRule>
    <cfRule type="expression" dxfId="724" priority="503" stopIfTrue="1">
      <formula>OR($C22=0,$C22=2,$C22=3,$C22=4)</formula>
    </cfRule>
  </conditionalFormatting>
  <conditionalFormatting sqref="V22">
    <cfRule type="expression" dxfId="723" priority="504" stopIfTrue="1">
      <formula>$C22=1</formula>
    </cfRule>
    <cfRule type="expression" dxfId="722" priority="505" stopIfTrue="1">
      <formula>OR($C22=0,$C22=2,$C22=3,$C22=4)</formula>
    </cfRule>
    <cfRule type="expression" dxfId="721" priority="506" stopIfTrue="1">
      <formula>AND(TIPOORCAMENTO="Licitado",$C22&lt;&gt;"L",$C22&lt;&gt;-1)</formula>
    </cfRule>
  </conditionalFormatting>
  <conditionalFormatting sqref="P22:Q22 S22:T22 Y22 AG22:AH22">
    <cfRule type="expression" dxfId="720" priority="507" stopIfTrue="1">
      <formula>$C22=1</formula>
    </cfRule>
    <cfRule type="expression" dxfId="719" priority="508" stopIfTrue="1">
      <formula>OR($C22=0,$C22=2,$C22=3,$C22=4)</formula>
    </cfRule>
  </conditionalFormatting>
  <conditionalFormatting sqref="AJ22">
    <cfRule type="expression" dxfId="718" priority="509" stopIfTrue="1">
      <formula>OR(ACOMPANHAMENTO&lt;&gt;"BM",TIPOORCAMENTO="Licitado")</formula>
    </cfRule>
    <cfRule type="expression" dxfId="717" priority="510" stopIfTrue="1">
      <formula>$C22=1</formula>
    </cfRule>
    <cfRule type="expression" dxfId="716" priority="511" stopIfTrue="1">
      <formula>OR(AND(ISNUMBER($C22),$C22=0),$C22=2,$C22=3,$C22=4)</formula>
    </cfRule>
  </conditionalFormatting>
  <conditionalFormatting sqref="AL22">
    <cfRule type="expression" dxfId="715" priority="512" stopIfTrue="1">
      <formula>TIPOORCAMENTO="PROPOSTO"</formula>
    </cfRule>
    <cfRule type="expression" dxfId="714" priority="513" stopIfTrue="1">
      <formula>$C22=1</formula>
    </cfRule>
    <cfRule type="expression" dxfId="713" priority="514" stopIfTrue="1">
      <formula>OR(AND(ISNUMBER($C22),$C22=0),$C22=2,$C22=3,$C22=4)</formula>
    </cfRule>
  </conditionalFormatting>
  <conditionalFormatting sqref="AM22:AN22">
    <cfRule type="expression" dxfId="712" priority="515" stopIfTrue="1">
      <formula>TIPOORCAMENTO="PROPOSTO"</formula>
    </cfRule>
    <cfRule type="expression" dxfId="711" priority="516" stopIfTrue="1">
      <formula>$C22=1</formula>
    </cfRule>
    <cfRule type="expression" dxfId="710" priority="517" stopIfTrue="1">
      <formula>OR(AND(ISNUMBER($C22),$C22=0),$C22=2,$C22=3,$C22=4)</formula>
    </cfRule>
  </conditionalFormatting>
  <conditionalFormatting sqref="X22">
    <cfRule type="expression" dxfId="709" priority="499" stopIfTrue="1">
      <formula>$C22=1</formula>
    </cfRule>
    <cfRule type="expression" dxfId="708" priority="500" stopIfTrue="1">
      <formula>OR($C22=0,$C22=2,$C22=3,$C22=4)</formula>
    </cfRule>
  </conditionalFormatting>
  <conditionalFormatting sqref="R22">
    <cfRule type="expression" dxfId="707" priority="497" stopIfTrue="1">
      <formula>$C22=1</formula>
    </cfRule>
    <cfRule type="expression" dxfId="706" priority="498" stopIfTrue="1">
      <formula>OR($C22=0,$C22=2,$C22=3,$C22=4)</formula>
    </cfRule>
  </conditionalFormatting>
  <conditionalFormatting sqref="R22">
    <cfRule type="beginsWith" dxfId="705" priority="496" operator="beginsWith" text="(">
      <formula>LEFT(R22,LEN("("))="("</formula>
    </cfRule>
  </conditionalFormatting>
  <conditionalFormatting sqref="M28">
    <cfRule type="cellIs" dxfId="704" priority="391" stopIfTrue="1" operator="notEqual">
      <formula>$N28</formula>
    </cfRule>
  </conditionalFormatting>
  <conditionalFormatting sqref="N28:O28 W28">
    <cfRule type="expression" dxfId="703" priority="392" stopIfTrue="1">
      <formula>$C28=1</formula>
    </cfRule>
    <cfRule type="expression" dxfId="702" priority="393" stopIfTrue="1">
      <formula>OR($C28=0,$C28=2,$C28=3,$C28=4)</formula>
    </cfRule>
  </conditionalFormatting>
  <conditionalFormatting sqref="U28:V28">
    <cfRule type="expression" dxfId="701" priority="394" stopIfTrue="1">
      <formula>$C28=1</formula>
    </cfRule>
    <cfRule type="expression" dxfId="700" priority="395" stopIfTrue="1">
      <formula>OR($C28=0,$C28=2,$C28=3,$C28=4)</formula>
    </cfRule>
    <cfRule type="expression" dxfId="699" priority="396" stopIfTrue="1">
      <formula>AND(TIPOORCAMENTO="Licitado",$C28&lt;&gt;"L",$C28&lt;&gt;-1)</formula>
    </cfRule>
  </conditionalFormatting>
  <conditionalFormatting sqref="P28:Q28 S28:T28 Y28 AG28:AH28">
    <cfRule type="expression" dxfId="698" priority="397" stopIfTrue="1">
      <formula>$C28=1</formula>
    </cfRule>
    <cfRule type="expression" dxfId="697" priority="398" stopIfTrue="1">
      <formula>OR($C28=0,$C28=2,$C28=3,$C28=4)</formula>
    </cfRule>
  </conditionalFormatting>
  <conditionalFormatting sqref="AL28">
    <cfRule type="expression" dxfId="696" priority="402" stopIfTrue="1">
      <formula>TIPOORCAMENTO="PROPOSTO"</formula>
    </cfRule>
    <cfRule type="expression" dxfId="695" priority="403" stopIfTrue="1">
      <formula>$C28=1</formula>
    </cfRule>
    <cfRule type="expression" dxfId="694" priority="404" stopIfTrue="1">
      <formula>OR(AND(ISNUMBER($C28),$C28=0),$C28=2,$C28=3,$C28=4)</formula>
    </cfRule>
  </conditionalFormatting>
  <conditionalFormatting sqref="AM28:AN28">
    <cfRule type="expression" dxfId="693" priority="405" stopIfTrue="1">
      <formula>TIPOORCAMENTO="PROPOSTO"</formula>
    </cfRule>
    <cfRule type="expression" dxfId="692" priority="406" stopIfTrue="1">
      <formula>$C28=1</formula>
    </cfRule>
    <cfRule type="expression" dxfId="691" priority="407" stopIfTrue="1">
      <formula>OR(AND(ISNUMBER($C28),$C28=0),$C28=2,$C28=3,$C28=4)</formula>
    </cfRule>
  </conditionalFormatting>
  <conditionalFormatting sqref="X28">
    <cfRule type="expression" dxfId="690" priority="389" stopIfTrue="1">
      <formula>$C28=1</formula>
    </cfRule>
    <cfRule type="expression" dxfId="689" priority="390" stopIfTrue="1">
      <formula>OR($C28=0,$C28=2,$C28=3,$C28=4)</formula>
    </cfRule>
  </conditionalFormatting>
  <conditionalFormatting sqref="R28">
    <cfRule type="expression" dxfId="688" priority="387" stopIfTrue="1">
      <formula>$C28=1</formula>
    </cfRule>
    <cfRule type="expression" dxfId="687" priority="388" stopIfTrue="1">
      <formula>OR($C28=0,$C28=2,$C28=3,$C28=4)</formula>
    </cfRule>
  </conditionalFormatting>
  <conditionalFormatting sqref="R28">
    <cfRule type="beginsWith" dxfId="686" priority="386" operator="beginsWith" text="(">
      <formula>LEFT(R28,LEN("("))="("</formula>
    </cfRule>
  </conditionalFormatting>
  <conditionalFormatting sqref="AJ28">
    <cfRule type="expression" dxfId="685" priority="383" stopIfTrue="1">
      <formula>OR(ACOMPANHAMENTO&lt;&gt;"BM",TIPOORCAMENTO="Licitado")</formula>
    </cfRule>
    <cfRule type="expression" dxfId="684" priority="384" stopIfTrue="1">
      <formula>$C28=1</formula>
    </cfRule>
    <cfRule type="expression" dxfId="683" priority="385" stopIfTrue="1">
      <formula>OR(AND(ISNUMBER($C28),$C28=0),$C28=2,$C28=3,$C28=4)</formula>
    </cfRule>
  </conditionalFormatting>
  <conditionalFormatting sqref="M47">
    <cfRule type="cellIs" dxfId="682" priority="366" stopIfTrue="1" operator="notEqual">
      <formula>$N47</formula>
    </cfRule>
  </conditionalFormatting>
  <conditionalFormatting sqref="N47:O47 W47">
    <cfRule type="expression" dxfId="681" priority="367" stopIfTrue="1">
      <formula>$C47=1</formula>
    </cfRule>
    <cfRule type="expression" dxfId="680" priority="368" stopIfTrue="1">
      <formula>OR($C47=0,$C47=2,$C47=3,$C47=4)</formula>
    </cfRule>
  </conditionalFormatting>
  <conditionalFormatting sqref="U47:V47">
    <cfRule type="expression" dxfId="679" priority="369" stopIfTrue="1">
      <formula>$C47=1</formula>
    </cfRule>
    <cfRule type="expression" dxfId="678" priority="370" stopIfTrue="1">
      <formula>OR($C47=0,$C47=2,$C47=3,$C47=4)</formula>
    </cfRule>
    <cfRule type="expression" dxfId="677" priority="371" stopIfTrue="1">
      <formula>AND(TIPOORCAMENTO="Licitado",$C47&lt;&gt;"L",$C47&lt;&gt;-1)</formula>
    </cfRule>
  </conditionalFormatting>
  <conditionalFormatting sqref="P47:Q47 S47:T47 Y47 AG47:AH47">
    <cfRule type="expression" dxfId="676" priority="372" stopIfTrue="1">
      <formula>$C47=1</formula>
    </cfRule>
    <cfRule type="expression" dxfId="675" priority="373" stopIfTrue="1">
      <formula>OR($C47=0,$C47=2,$C47=3,$C47=4)</formula>
    </cfRule>
  </conditionalFormatting>
  <conditionalFormatting sqref="AJ47">
    <cfRule type="expression" dxfId="674" priority="374" stopIfTrue="1">
      <formula>OR(ACOMPANHAMENTO&lt;&gt;"BM",TIPOORCAMENTO="Licitado")</formula>
    </cfRule>
    <cfRule type="expression" dxfId="673" priority="375" stopIfTrue="1">
      <formula>$C47=1</formula>
    </cfRule>
    <cfRule type="expression" dxfId="672" priority="376" stopIfTrue="1">
      <formula>OR(AND(ISNUMBER($C47),$C47=0),$C47=2,$C47=3,$C47=4)</formula>
    </cfRule>
  </conditionalFormatting>
  <conditionalFormatting sqref="AL47">
    <cfRule type="expression" dxfId="671" priority="377" stopIfTrue="1">
      <formula>TIPOORCAMENTO="PROPOSTO"</formula>
    </cfRule>
    <cfRule type="expression" dxfId="670" priority="378" stopIfTrue="1">
      <formula>$C47=1</formula>
    </cfRule>
    <cfRule type="expression" dxfId="669" priority="379" stopIfTrue="1">
      <formula>OR(AND(ISNUMBER($C47),$C47=0),$C47=2,$C47=3,$C47=4)</formula>
    </cfRule>
  </conditionalFormatting>
  <conditionalFormatting sqref="AM47:AN47">
    <cfRule type="expression" dxfId="668" priority="380" stopIfTrue="1">
      <formula>TIPOORCAMENTO="PROPOSTO"</formula>
    </cfRule>
    <cfRule type="expression" dxfId="667" priority="381" stopIfTrue="1">
      <formula>$C47=1</formula>
    </cfRule>
    <cfRule type="expression" dxfId="666" priority="382" stopIfTrue="1">
      <formula>OR(AND(ISNUMBER($C47),$C47=0),$C47=2,$C47=3,$C47=4)</formula>
    </cfRule>
  </conditionalFormatting>
  <conditionalFormatting sqref="X47">
    <cfRule type="expression" dxfId="665" priority="364" stopIfTrue="1">
      <formula>$C47=1</formula>
    </cfRule>
    <cfRule type="expression" dxfId="664" priority="365" stopIfTrue="1">
      <formula>OR($C47=0,$C47=2,$C47=3,$C47=4)</formula>
    </cfRule>
  </conditionalFormatting>
  <conditionalFormatting sqref="R47">
    <cfRule type="expression" dxfId="663" priority="362" stopIfTrue="1">
      <formula>$C47=1</formula>
    </cfRule>
    <cfRule type="expression" dxfId="662" priority="363" stopIfTrue="1">
      <formula>OR($C47=0,$C47=2,$C47=3,$C47=4)</formula>
    </cfRule>
  </conditionalFormatting>
  <conditionalFormatting sqref="R47">
    <cfRule type="beginsWith" dxfId="661" priority="361" operator="beginsWith" text="(">
      <formula>LEFT(R47,LEN("("))="("</formula>
    </cfRule>
  </conditionalFormatting>
  <conditionalFormatting sqref="M38">
    <cfRule type="cellIs" dxfId="660" priority="300" stopIfTrue="1" operator="notEqual">
      <formula>$N38</formula>
    </cfRule>
  </conditionalFormatting>
  <conditionalFormatting sqref="N38:O38 W38">
    <cfRule type="expression" dxfId="659" priority="301" stopIfTrue="1">
      <formula>$C38=1</formula>
    </cfRule>
    <cfRule type="expression" dxfId="658" priority="302" stopIfTrue="1">
      <formula>OR($C38=0,$C38=2,$C38=3,$C38=4)</formula>
    </cfRule>
  </conditionalFormatting>
  <conditionalFormatting sqref="V38">
    <cfRule type="expression" dxfId="657" priority="303" stopIfTrue="1">
      <formula>$C38=1</formula>
    </cfRule>
    <cfRule type="expression" dxfId="656" priority="304" stopIfTrue="1">
      <formula>OR($C38=0,$C38=2,$C38=3,$C38=4)</formula>
    </cfRule>
    <cfRule type="expression" dxfId="655" priority="305" stopIfTrue="1">
      <formula>AND(TIPOORCAMENTO="Licitado",$C38&lt;&gt;"L",$C38&lt;&gt;-1)</formula>
    </cfRule>
  </conditionalFormatting>
  <conditionalFormatting sqref="P38:Q38 S38:T38 Y38 AG38:AH38">
    <cfRule type="expression" dxfId="654" priority="306" stopIfTrue="1">
      <formula>$C38=1</formula>
    </cfRule>
    <cfRule type="expression" dxfId="653" priority="307" stopIfTrue="1">
      <formula>OR($C38=0,$C38=2,$C38=3,$C38=4)</formula>
    </cfRule>
  </conditionalFormatting>
  <conditionalFormatting sqref="AJ38">
    <cfRule type="expression" dxfId="652" priority="308" stopIfTrue="1">
      <formula>OR(ACOMPANHAMENTO&lt;&gt;"BM",TIPOORCAMENTO="Licitado")</formula>
    </cfRule>
    <cfRule type="expression" dxfId="651" priority="309" stopIfTrue="1">
      <formula>$C38=1</formula>
    </cfRule>
    <cfRule type="expression" dxfId="650" priority="310" stopIfTrue="1">
      <formula>OR(AND(ISNUMBER($C38),$C38=0),$C38=2,$C38=3,$C38=4)</formula>
    </cfRule>
  </conditionalFormatting>
  <conditionalFormatting sqref="AL38">
    <cfRule type="expression" dxfId="649" priority="311" stopIfTrue="1">
      <formula>TIPOORCAMENTO="PROPOSTO"</formula>
    </cfRule>
    <cfRule type="expression" dxfId="648" priority="312" stopIfTrue="1">
      <formula>$C38=1</formula>
    </cfRule>
    <cfRule type="expression" dxfId="647" priority="313" stopIfTrue="1">
      <formula>OR(AND(ISNUMBER($C38),$C38=0),$C38=2,$C38=3,$C38=4)</formula>
    </cfRule>
  </conditionalFormatting>
  <conditionalFormatting sqref="AM38:AN38">
    <cfRule type="expression" dxfId="646" priority="314" stopIfTrue="1">
      <formula>TIPOORCAMENTO="PROPOSTO"</formula>
    </cfRule>
    <cfRule type="expression" dxfId="645" priority="315" stopIfTrue="1">
      <formula>$C38=1</formula>
    </cfRule>
    <cfRule type="expression" dxfId="644" priority="316" stopIfTrue="1">
      <formula>OR(AND(ISNUMBER($C38),$C38=0),$C38=2,$C38=3,$C38=4)</formula>
    </cfRule>
  </conditionalFormatting>
  <conditionalFormatting sqref="X38">
    <cfRule type="expression" dxfId="643" priority="298" stopIfTrue="1">
      <formula>$C38=1</formula>
    </cfRule>
    <cfRule type="expression" dxfId="642" priority="299" stopIfTrue="1">
      <formula>OR($C38=0,$C38=2,$C38=3,$C38=4)</formula>
    </cfRule>
  </conditionalFormatting>
  <conditionalFormatting sqref="R38">
    <cfRule type="expression" dxfId="641" priority="296" stopIfTrue="1">
      <formula>$C38=1</formula>
    </cfRule>
    <cfRule type="expression" dxfId="640" priority="297" stopIfTrue="1">
      <formula>OR($C38=0,$C38=2,$C38=3,$C38=4)</formula>
    </cfRule>
  </conditionalFormatting>
  <conditionalFormatting sqref="R38">
    <cfRule type="beginsWith" dxfId="639" priority="295" operator="beginsWith" text="(">
      <formula>LEFT(R38,LEN("("))="("</formula>
    </cfRule>
  </conditionalFormatting>
  <conditionalFormatting sqref="M29">
    <cfRule type="cellIs" dxfId="638" priority="278" stopIfTrue="1" operator="notEqual">
      <formula>$N29</formula>
    </cfRule>
  </conditionalFormatting>
  <conditionalFormatting sqref="N29:O29 W29">
    <cfRule type="expression" dxfId="637" priority="279" stopIfTrue="1">
      <formula>$C29=1</formula>
    </cfRule>
    <cfRule type="expression" dxfId="636" priority="280" stopIfTrue="1">
      <formula>OR($C29=0,$C29=2,$C29=3,$C29=4)</formula>
    </cfRule>
  </conditionalFormatting>
  <conditionalFormatting sqref="U29:V29 U30:U31">
    <cfRule type="expression" dxfId="635" priority="281" stopIfTrue="1">
      <formula>$C29=1</formula>
    </cfRule>
    <cfRule type="expression" dxfId="634" priority="282" stopIfTrue="1">
      <formula>OR($C29=0,$C29=2,$C29=3,$C29=4)</formula>
    </cfRule>
    <cfRule type="expression" dxfId="633" priority="283" stopIfTrue="1">
      <formula>AND(TIPOORCAMENTO="Licitado",$C29&lt;&gt;"L",$C29&lt;&gt;-1)</formula>
    </cfRule>
  </conditionalFormatting>
  <conditionalFormatting sqref="P29:Q29 S29:T29 Y29 AG29:AH29">
    <cfRule type="expression" dxfId="632" priority="284" stopIfTrue="1">
      <formula>$C29=1</formula>
    </cfRule>
    <cfRule type="expression" dxfId="631" priority="285" stopIfTrue="1">
      <formula>OR($C29=0,$C29=2,$C29=3,$C29=4)</formula>
    </cfRule>
  </conditionalFormatting>
  <conditionalFormatting sqref="AJ29">
    <cfRule type="expression" dxfId="630" priority="286" stopIfTrue="1">
      <formula>OR(ACOMPANHAMENTO&lt;&gt;"BM",TIPOORCAMENTO="Licitado")</formula>
    </cfRule>
    <cfRule type="expression" dxfId="629" priority="287" stopIfTrue="1">
      <formula>$C29=1</formula>
    </cfRule>
    <cfRule type="expression" dxfId="628" priority="288" stopIfTrue="1">
      <formula>OR(AND(ISNUMBER($C29),$C29=0),$C29=2,$C29=3,$C29=4)</formula>
    </cfRule>
  </conditionalFormatting>
  <conditionalFormatting sqref="AL29">
    <cfRule type="expression" dxfId="627" priority="289" stopIfTrue="1">
      <formula>TIPOORCAMENTO="PROPOSTO"</formula>
    </cfRule>
    <cfRule type="expression" dxfId="626" priority="290" stopIfTrue="1">
      <formula>$C29=1</formula>
    </cfRule>
    <cfRule type="expression" dxfId="625" priority="291" stopIfTrue="1">
      <formula>OR(AND(ISNUMBER($C29),$C29=0),$C29=2,$C29=3,$C29=4)</formula>
    </cfRule>
  </conditionalFormatting>
  <conditionalFormatting sqref="AM29:AN29">
    <cfRule type="expression" dxfId="624" priority="292" stopIfTrue="1">
      <formula>TIPOORCAMENTO="PROPOSTO"</formula>
    </cfRule>
    <cfRule type="expression" dxfId="623" priority="293" stopIfTrue="1">
      <formula>$C29=1</formula>
    </cfRule>
    <cfRule type="expression" dxfId="622" priority="294" stopIfTrue="1">
      <formula>OR(AND(ISNUMBER($C29),$C29=0),$C29=2,$C29=3,$C29=4)</formula>
    </cfRule>
  </conditionalFormatting>
  <conditionalFormatting sqref="X29">
    <cfRule type="expression" dxfId="621" priority="276" stopIfTrue="1">
      <formula>$C29=1</formula>
    </cfRule>
    <cfRule type="expression" dxfId="620" priority="277" stopIfTrue="1">
      <formula>OR($C29=0,$C29=2,$C29=3,$C29=4)</formula>
    </cfRule>
  </conditionalFormatting>
  <conditionalFormatting sqref="R29">
    <cfRule type="expression" dxfId="619" priority="274" stopIfTrue="1">
      <formula>$C29=1</formula>
    </cfRule>
    <cfRule type="expression" dxfId="618" priority="275" stopIfTrue="1">
      <formula>OR($C29=0,$C29=2,$C29=3,$C29=4)</formula>
    </cfRule>
  </conditionalFormatting>
  <conditionalFormatting sqref="R29">
    <cfRule type="beginsWith" dxfId="617" priority="273" operator="beginsWith" text="(">
      <formula>LEFT(R29,LEN("("))="("</formula>
    </cfRule>
  </conditionalFormatting>
  <conditionalFormatting sqref="M30">
    <cfRule type="cellIs" dxfId="616" priority="256" stopIfTrue="1" operator="notEqual">
      <formula>$N30</formula>
    </cfRule>
  </conditionalFormatting>
  <conditionalFormatting sqref="N30:O30 W30">
    <cfRule type="expression" dxfId="615" priority="257" stopIfTrue="1">
      <formula>$C30=1</formula>
    </cfRule>
    <cfRule type="expression" dxfId="614" priority="258" stopIfTrue="1">
      <formula>OR($C30=0,$C30=2,$C30=3,$C30=4)</formula>
    </cfRule>
  </conditionalFormatting>
  <conditionalFormatting sqref="V30">
    <cfRule type="expression" dxfId="613" priority="259" stopIfTrue="1">
      <formula>$C30=1</formula>
    </cfRule>
    <cfRule type="expression" dxfId="612" priority="260" stopIfTrue="1">
      <formula>OR($C30=0,$C30=2,$C30=3,$C30=4)</formula>
    </cfRule>
    <cfRule type="expression" dxfId="611" priority="261" stopIfTrue="1">
      <formula>AND(TIPOORCAMENTO="Licitado",$C30&lt;&gt;"L",$C30&lt;&gt;-1)</formula>
    </cfRule>
  </conditionalFormatting>
  <conditionalFormatting sqref="P30:Q30 S30:T30 Y30 AG30:AH30">
    <cfRule type="expression" dxfId="610" priority="262" stopIfTrue="1">
      <formula>$C30=1</formula>
    </cfRule>
    <cfRule type="expression" dxfId="609" priority="263" stopIfTrue="1">
      <formula>OR($C30=0,$C30=2,$C30=3,$C30=4)</formula>
    </cfRule>
  </conditionalFormatting>
  <conditionalFormatting sqref="AJ30">
    <cfRule type="expression" dxfId="608" priority="264" stopIfTrue="1">
      <formula>OR(ACOMPANHAMENTO&lt;&gt;"BM",TIPOORCAMENTO="Licitado")</formula>
    </cfRule>
    <cfRule type="expression" dxfId="607" priority="265" stopIfTrue="1">
      <formula>$C30=1</formula>
    </cfRule>
    <cfRule type="expression" dxfId="606" priority="266" stopIfTrue="1">
      <formula>OR(AND(ISNUMBER($C30),$C30=0),$C30=2,$C30=3,$C30=4)</formula>
    </cfRule>
  </conditionalFormatting>
  <conditionalFormatting sqref="AL30">
    <cfRule type="expression" dxfId="605" priority="267" stopIfTrue="1">
      <formula>TIPOORCAMENTO="PROPOSTO"</formula>
    </cfRule>
    <cfRule type="expression" dxfId="604" priority="268" stopIfTrue="1">
      <formula>$C30=1</formula>
    </cfRule>
    <cfRule type="expression" dxfId="603" priority="269" stopIfTrue="1">
      <formula>OR(AND(ISNUMBER($C30),$C30=0),$C30=2,$C30=3,$C30=4)</formula>
    </cfRule>
  </conditionalFormatting>
  <conditionalFormatting sqref="AM30:AN30">
    <cfRule type="expression" dxfId="602" priority="270" stopIfTrue="1">
      <formula>TIPOORCAMENTO="PROPOSTO"</formula>
    </cfRule>
    <cfRule type="expression" dxfId="601" priority="271" stopIfTrue="1">
      <formula>$C30=1</formula>
    </cfRule>
    <cfRule type="expression" dxfId="600" priority="272" stopIfTrue="1">
      <formula>OR(AND(ISNUMBER($C30),$C30=0),$C30=2,$C30=3,$C30=4)</formula>
    </cfRule>
  </conditionalFormatting>
  <conditionalFormatting sqref="X30">
    <cfRule type="expression" dxfId="599" priority="254" stopIfTrue="1">
      <formula>$C30=1</formula>
    </cfRule>
    <cfRule type="expression" dxfId="598" priority="255" stopIfTrue="1">
      <formula>OR($C30=0,$C30=2,$C30=3,$C30=4)</formula>
    </cfRule>
  </conditionalFormatting>
  <conditionalFormatting sqref="R30">
    <cfRule type="expression" dxfId="597" priority="252" stopIfTrue="1">
      <formula>$C30=1</formula>
    </cfRule>
    <cfRule type="expression" dxfId="596" priority="253" stopIfTrue="1">
      <formula>OR($C30=0,$C30=2,$C30=3,$C30=4)</formula>
    </cfRule>
  </conditionalFormatting>
  <conditionalFormatting sqref="R30">
    <cfRule type="beginsWith" dxfId="595" priority="251" operator="beginsWith" text="(">
      <formula>LEFT(R30,LEN("("))="("</formula>
    </cfRule>
  </conditionalFormatting>
  <conditionalFormatting sqref="M39">
    <cfRule type="cellIs" dxfId="594" priority="190" stopIfTrue="1" operator="notEqual">
      <formula>$N39</formula>
    </cfRule>
  </conditionalFormatting>
  <conditionalFormatting sqref="N39:O39 W39">
    <cfRule type="expression" dxfId="593" priority="191" stopIfTrue="1">
      <formula>$C39=1</formula>
    </cfRule>
    <cfRule type="expression" dxfId="592" priority="192" stopIfTrue="1">
      <formula>OR($C39=0,$C39=2,$C39=3,$C39=4)</formula>
    </cfRule>
  </conditionalFormatting>
  <conditionalFormatting sqref="V39">
    <cfRule type="expression" dxfId="591" priority="193" stopIfTrue="1">
      <formula>$C39=1</formula>
    </cfRule>
    <cfRule type="expression" dxfId="590" priority="194" stopIfTrue="1">
      <formula>OR($C39=0,$C39=2,$C39=3,$C39=4)</formula>
    </cfRule>
    <cfRule type="expression" dxfId="589" priority="195" stopIfTrue="1">
      <formula>AND(TIPOORCAMENTO="Licitado",$C39&lt;&gt;"L",$C39&lt;&gt;-1)</formula>
    </cfRule>
  </conditionalFormatting>
  <conditionalFormatting sqref="P39:Q39 S39:T39 Y39 AG39:AH39">
    <cfRule type="expression" dxfId="588" priority="196" stopIfTrue="1">
      <formula>$C39=1</formula>
    </cfRule>
    <cfRule type="expression" dxfId="587" priority="197" stopIfTrue="1">
      <formula>OR($C39=0,$C39=2,$C39=3,$C39=4)</formula>
    </cfRule>
  </conditionalFormatting>
  <conditionalFormatting sqref="AJ39">
    <cfRule type="expression" dxfId="586" priority="198" stopIfTrue="1">
      <formula>OR(ACOMPANHAMENTO&lt;&gt;"BM",TIPOORCAMENTO="Licitado")</formula>
    </cfRule>
    <cfRule type="expression" dxfId="585" priority="199" stopIfTrue="1">
      <formula>$C39=1</formula>
    </cfRule>
    <cfRule type="expression" dxfId="584" priority="200" stopIfTrue="1">
      <formula>OR(AND(ISNUMBER($C39),$C39=0),$C39=2,$C39=3,$C39=4)</formula>
    </cfRule>
  </conditionalFormatting>
  <conditionalFormatting sqref="AL39">
    <cfRule type="expression" dxfId="583" priority="201" stopIfTrue="1">
      <formula>TIPOORCAMENTO="PROPOSTO"</formula>
    </cfRule>
    <cfRule type="expression" dxfId="582" priority="202" stopIfTrue="1">
      <formula>$C39=1</formula>
    </cfRule>
    <cfRule type="expression" dxfId="581" priority="203" stopIfTrue="1">
      <formula>OR(AND(ISNUMBER($C39),$C39=0),$C39=2,$C39=3,$C39=4)</formula>
    </cfRule>
  </conditionalFormatting>
  <conditionalFormatting sqref="AM39:AN39">
    <cfRule type="expression" dxfId="580" priority="204" stopIfTrue="1">
      <formula>TIPOORCAMENTO="PROPOSTO"</formula>
    </cfRule>
    <cfRule type="expression" dxfId="579" priority="205" stopIfTrue="1">
      <formula>$C39=1</formula>
    </cfRule>
    <cfRule type="expression" dxfId="578" priority="206" stopIfTrue="1">
      <formula>OR(AND(ISNUMBER($C39),$C39=0),$C39=2,$C39=3,$C39=4)</formula>
    </cfRule>
  </conditionalFormatting>
  <conditionalFormatting sqref="X39">
    <cfRule type="expression" dxfId="577" priority="188" stopIfTrue="1">
      <formula>$C39=1</formula>
    </cfRule>
    <cfRule type="expression" dxfId="576" priority="189" stopIfTrue="1">
      <formula>OR($C39=0,$C39=2,$C39=3,$C39=4)</formula>
    </cfRule>
  </conditionalFormatting>
  <conditionalFormatting sqref="R39">
    <cfRule type="expression" dxfId="575" priority="186" stopIfTrue="1">
      <formula>$C39=1</formula>
    </cfRule>
    <cfRule type="expression" dxfId="574" priority="187" stopIfTrue="1">
      <formula>OR($C39=0,$C39=2,$C39=3,$C39=4)</formula>
    </cfRule>
  </conditionalFormatting>
  <conditionalFormatting sqref="R39">
    <cfRule type="beginsWith" dxfId="573" priority="185" operator="beginsWith" text="(">
      <formula>LEFT(R39,LEN("("))="("</formula>
    </cfRule>
  </conditionalFormatting>
  <conditionalFormatting sqref="M31">
    <cfRule type="cellIs" dxfId="572" priority="168" stopIfTrue="1" operator="notEqual">
      <formula>$N31</formula>
    </cfRule>
  </conditionalFormatting>
  <conditionalFormatting sqref="N31:O31 W31">
    <cfRule type="expression" dxfId="571" priority="169" stopIfTrue="1">
      <formula>$C31=1</formula>
    </cfRule>
    <cfRule type="expression" dxfId="570" priority="170" stopIfTrue="1">
      <formula>OR($C31=0,$C31=2,$C31=3,$C31=4)</formula>
    </cfRule>
  </conditionalFormatting>
  <conditionalFormatting sqref="V31">
    <cfRule type="expression" dxfId="569" priority="171" stopIfTrue="1">
      <formula>$C31=1</formula>
    </cfRule>
    <cfRule type="expression" dxfId="568" priority="172" stopIfTrue="1">
      <formula>OR($C31=0,$C31=2,$C31=3,$C31=4)</formula>
    </cfRule>
    <cfRule type="expression" dxfId="567" priority="173" stopIfTrue="1">
      <formula>AND(TIPOORCAMENTO="Licitado",$C31&lt;&gt;"L",$C31&lt;&gt;-1)</formula>
    </cfRule>
  </conditionalFormatting>
  <conditionalFormatting sqref="P31:Q31 S31:T31 Y31 AG31:AH31">
    <cfRule type="expression" dxfId="566" priority="174" stopIfTrue="1">
      <formula>$C31=1</formula>
    </cfRule>
    <cfRule type="expression" dxfId="565" priority="175" stopIfTrue="1">
      <formula>OR($C31=0,$C31=2,$C31=3,$C31=4)</formula>
    </cfRule>
  </conditionalFormatting>
  <conditionalFormatting sqref="AJ31">
    <cfRule type="expression" dxfId="564" priority="176" stopIfTrue="1">
      <formula>OR(ACOMPANHAMENTO&lt;&gt;"BM",TIPOORCAMENTO="Licitado")</formula>
    </cfRule>
    <cfRule type="expression" dxfId="563" priority="177" stopIfTrue="1">
      <formula>$C31=1</formula>
    </cfRule>
    <cfRule type="expression" dxfId="562" priority="178" stopIfTrue="1">
      <formula>OR(AND(ISNUMBER($C31),$C31=0),$C31=2,$C31=3,$C31=4)</formula>
    </cfRule>
  </conditionalFormatting>
  <conditionalFormatting sqref="AL31">
    <cfRule type="expression" dxfId="561" priority="179" stopIfTrue="1">
      <formula>TIPOORCAMENTO="PROPOSTO"</formula>
    </cfRule>
    <cfRule type="expression" dxfId="560" priority="180" stopIfTrue="1">
      <formula>$C31=1</formula>
    </cfRule>
    <cfRule type="expression" dxfId="559" priority="181" stopIfTrue="1">
      <formula>OR(AND(ISNUMBER($C31),$C31=0),$C31=2,$C31=3,$C31=4)</formula>
    </cfRule>
  </conditionalFormatting>
  <conditionalFormatting sqref="AM31:AN31">
    <cfRule type="expression" dxfId="558" priority="182" stopIfTrue="1">
      <formula>TIPOORCAMENTO="PROPOSTO"</formula>
    </cfRule>
    <cfRule type="expression" dxfId="557" priority="183" stopIfTrue="1">
      <formula>$C31=1</formula>
    </cfRule>
    <cfRule type="expression" dxfId="556" priority="184" stopIfTrue="1">
      <formula>OR(AND(ISNUMBER($C31),$C31=0),$C31=2,$C31=3,$C31=4)</formula>
    </cfRule>
  </conditionalFormatting>
  <conditionalFormatting sqref="X31">
    <cfRule type="expression" dxfId="555" priority="166" stopIfTrue="1">
      <formula>$C31=1</formula>
    </cfRule>
    <cfRule type="expression" dxfId="554" priority="167" stopIfTrue="1">
      <formula>OR($C31=0,$C31=2,$C31=3,$C31=4)</formula>
    </cfRule>
  </conditionalFormatting>
  <conditionalFormatting sqref="R31">
    <cfRule type="expression" dxfId="553" priority="164" stopIfTrue="1">
      <formula>$C31=1</formula>
    </cfRule>
    <cfRule type="expression" dxfId="552" priority="165" stopIfTrue="1">
      <formula>OR($C31=0,$C31=2,$C31=3,$C31=4)</formula>
    </cfRule>
  </conditionalFormatting>
  <conditionalFormatting sqref="R31">
    <cfRule type="beginsWith" dxfId="551" priority="163" operator="beginsWith" text="(">
      <formula>LEFT(R31,LEN("("))="("</formula>
    </cfRule>
  </conditionalFormatting>
  <conditionalFormatting sqref="M35:M36">
    <cfRule type="cellIs" dxfId="550" priority="124" stopIfTrue="1" operator="notEqual">
      <formula>$N35</formula>
    </cfRule>
  </conditionalFormatting>
  <conditionalFormatting sqref="N35:O36 W35:W36">
    <cfRule type="expression" dxfId="549" priority="125" stopIfTrue="1">
      <formula>$C35=1</formula>
    </cfRule>
    <cfRule type="expression" dxfId="548" priority="126" stopIfTrue="1">
      <formula>OR($C35=0,$C35=2,$C35=3,$C35=4)</formula>
    </cfRule>
  </conditionalFormatting>
  <conditionalFormatting sqref="V35:V36">
    <cfRule type="expression" dxfId="547" priority="127" stopIfTrue="1">
      <formula>$C35=1</formula>
    </cfRule>
    <cfRule type="expression" dxfId="546" priority="128" stopIfTrue="1">
      <formula>OR($C35=0,$C35=2,$C35=3,$C35=4)</formula>
    </cfRule>
    <cfRule type="expression" dxfId="545" priority="129" stopIfTrue="1">
      <formula>AND(TIPOORCAMENTO="Licitado",$C35&lt;&gt;"L",$C35&lt;&gt;-1)</formula>
    </cfRule>
  </conditionalFormatting>
  <conditionalFormatting sqref="P35:Q36 S35:T36 Y35:Y36 AG35:AH36">
    <cfRule type="expression" dxfId="544" priority="130" stopIfTrue="1">
      <formula>$C35=1</formula>
    </cfRule>
    <cfRule type="expression" dxfId="543" priority="131" stopIfTrue="1">
      <formula>OR($C35=0,$C35=2,$C35=3,$C35=4)</formula>
    </cfRule>
  </conditionalFormatting>
  <conditionalFormatting sqref="AJ35:AJ36">
    <cfRule type="expression" dxfId="542" priority="132" stopIfTrue="1">
      <formula>OR(ACOMPANHAMENTO&lt;&gt;"BM",TIPOORCAMENTO="Licitado")</formula>
    </cfRule>
    <cfRule type="expression" dxfId="541" priority="133" stopIfTrue="1">
      <formula>$C35=1</formula>
    </cfRule>
    <cfRule type="expression" dxfId="540" priority="134" stopIfTrue="1">
      <formula>OR(AND(ISNUMBER($C35),$C35=0),$C35=2,$C35=3,$C35=4)</formula>
    </cfRule>
  </conditionalFormatting>
  <conditionalFormatting sqref="AL35:AL36">
    <cfRule type="expression" dxfId="539" priority="135" stopIfTrue="1">
      <formula>TIPOORCAMENTO="PROPOSTO"</formula>
    </cfRule>
    <cfRule type="expression" dxfId="538" priority="136" stopIfTrue="1">
      <formula>$C35=1</formula>
    </cfRule>
    <cfRule type="expression" dxfId="537" priority="137" stopIfTrue="1">
      <formula>OR(AND(ISNUMBER($C35),$C35=0),$C35=2,$C35=3,$C35=4)</formula>
    </cfRule>
  </conditionalFormatting>
  <conditionalFormatting sqref="AM35:AN36">
    <cfRule type="expression" dxfId="536" priority="138" stopIfTrue="1">
      <formula>TIPOORCAMENTO="PROPOSTO"</formula>
    </cfRule>
    <cfRule type="expression" dxfId="535" priority="139" stopIfTrue="1">
      <formula>$C35=1</formula>
    </cfRule>
    <cfRule type="expression" dxfId="534" priority="140" stopIfTrue="1">
      <formula>OR(AND(ISNUMBER($C35),$C35=0),$C35=2,$C35=3,$C35=4)</formula>
    </cfRule>
  </conditionalFormatting>
  <conditionalFormatting sqref="X35:X36">
    <cfRule type="expression" dxfId="533" priority="122" stopIfTrue="1">
      <formula>$C35=1</formula>
    </cfRule>
    <cfRule type="expression" dxfId="532" priority="123" stopIfTrue="1">
      <formula>OR($C35=0,$C35=2,$C35=3,$C35=4)</formula>
    </cfRule>
  </conditionalFormatting>
  <conditionalFormatting sqref="R35:R36">
    <cfRule type="expression" dxfId="531" priority="120" stopIfTrue="1">
      <formula>$C35=1</formula>
    </cfRule>
    <cfRule type="expression" dxfId="530" priority="121" stopIfTrue="1">
      <formula>OR($C35=0,$C35=2,$C35=3,$C35=4)</formula>
    </cfRule>
  </conditionalFormatting>
  <conditionalFormatting sqref="R35:R36">
    <cfRule type="beginsWith" dxfId="529" priority="119" operator="beginsWith" text="(">
      <formula>LEFT(R35,LEN("("))="("</formula>
    </cfRule>
  </conditionalFormatting>
  <conditionalFormatting sqref="M40:M42">
    <cfRule type="cellIs" dxfId="528" priority="102" stopIfTrue="1" operator="notEqual">
      <formula>$N40</formula>
    </cfRule>
  </conditionalFormatting>
  <conditionalFormatting sqref="N40:O42 W40:W42">
    <cfRule type="expression" dxfId="527" priority="103" stopIfTrue="1">
      <formula>$C40=1</formula>
    </cfRule>
    <cfRule type="expression" dxfId="526" priority="104" stopIfTrue="1">
      <formula>OR($C40=0,$C40=2,$C40=3,$C40=4)</formula>
    </cfRule>
  </conditionalFormatting>
  <conditionalFormatting sqref="V40:V42">
    <cfRule type="expression" dxfId="525" priority="105" stopIfTrue="1">
      <formula>$C40=1</formula>
    </cfRule>
    <cfRule type="expression" dxfId="524" priority="106" stopIfTrue="1">
      <formula>OR($C40=0,$C40=2,$C40=3,$C40=4)</formula>
    </cfRule>
    <cfRule type="expression" dxfId="523" priority="107" stopIfTrue="1">
      <formula>AND(TIPOORCAMENTO="Licitado",$C40&lt;&gt;"L",$C40&lt;&gt;-1)</formula>
    </cfRule>
  </conditionalFormatting>
  <conditionalFormatting sqref="P40:P42 T40:T42 Y40:Y42 AG40:AH42">
    <cfRule type="expression" dxfId="522" priority="108" stopIfTrue="1">
      <formula>$C40=1</formula>
    </cfRule>
    <cfRule type="expression" dxfId="521" priority="109" stopIfTrue="1">
      <formula>OR($C40=0,$C40=2,$C40=3,$C40=4)</formula>
    </cfRule>
  </conditionalFormatting>
  <conditionalFormatting sqref="AL40:AL42">
    <cfRule type="expression" dxfId="520" priority="113" stopIfTrue="1">
      <formula>TIPOORCAMENTO="PROPOSTO"</formula>
    </cfRule>
    <cfRule type="expression" dxfId="519" priority="114" stopIfTrue="1">
      <formula>$C40=1</formula>
    </cfRule>
    <cfRule type="expression" dxfId="518" priority="115" stopIfTrue="1">
      <formula>OR(AND(ISNUMBER($C40),$C40=0),$C40=2,$C40=3,$C40=4)</formula>
    </cfRule>
  </conditionalFormatting>
  <conditionalFormatting sqref="AM40:AN42">
    <cfRule type="expression" dxfId="517" priority="116" stopIfTrue="1">
      <formula>TIPOORCAMENTO="PROPOSTO"</formula>
    </cfRule>
    <cfRule type="expression" dxfId="516" priority="117" stopIfTrue="1">
      <formula>$C40=1</formula>
    </cfRule>
    <cfRule type="expression" dxfId="515" priority="118" stopIfTrue="1">
      <formula>OR(AND(ISNUMBER($C40),$C40=0),$C40=2,$C40=3,$C40=4)</formula>
    </cfRule>
  </conditionalFormatting>
  <conditionalFormatting sqref="X40:X42">
    <cfRule type="expression" dxfId="514" priority="100" stopIfTrue="1">
      <formula>$C40=1</formula>
    </cfRule>
    <cfRule type="expression" dxfId="513" priority="101" stopIfTrue="1">
      <formula>OR($C40=0,$C40=2,$C40=3,$C40=4)</formula>
    </cfRule>
  </conditionalFormatting>
  <conditionalFormatting sqref="Q40 S40">
    <cfRule type="expression" dxfId="512" priority="95" stopIfTrue="1">
      <formula>$C40=1</formula>
    </cfRule>
    <cfRule type="expression" dxfId="511" priority="96" stopIfTrue="1">
      <formula>OR($C40=0,$C40=2,$C40=3,$C40=4)</formula>
    </cfRule>
  </conditionalFormatting>
  <conditionalFormatting sqref="R40">
    <cfRule type="expression" dxfId="510" priority="93" stopIfTrue="1">
      <formula>$C40=1</formula>
    </cfRule>
    <cfRule type="expression" dxfId="509" priority="94" stopIfTrue="1">
      <formula>OR($C40=0,$C40=2,$C40=3,$C40=4)</formula>
    </cfRule>
  </conditionalFormatting>
  <conditionalFormatting sqref="R40">
    <cfRule type="beginsWith" dxfId="508" priority="92" operator="beginsWith" text="(">
      <formula>LEFT(R40,LEN("("))="("</formula>
    </cfRule>
  </conditionalFormatting>
  <conditionalFormatting sqref="Q42 S42">
    <cfRule type="expression" dxfId="507" priority="90" stopIfTrue="1">
      <formula>$C42=1</formula>
    </cfRule>
    <cfRule type="expression" dxfId="506" priority="91" stopIfTrue="1">
      <formula>OR($C42=0,$C42=2,$C42=3,$C42=4)</formula>
    </cfRule>
  </conditionalFormatting>
  <conditionalFormatting sqref="R42">
    <cfRule type="expression" dxfId="505" priority="88" stopIfTrue="1">
      <formula>$C42=1</formula>
    </cfRule>
    <cfRule type="expression" dxfId="504" priority="89" stopIfTrue="1">
      <formula>OR($C42=0,$C42=2,$C42=3,$C42=4)</formula>
    </cfRule>
  </conditionalFormatting>
  <conditionalFormatting sqref="R42">
    <cfRule type="beginsWith" dxfId="503" priority="87" operator="beginsWith" text="(">
      <formula>LEFT(R42,LEN("("))="("</formula>
    </cfRule>
  </conditionalFormatting>
  <conditionalFormatting sqref="Q41 S41">
    <cfRule type="expression" dxfId="502" priority="85" stopIfTrue="1">
      <formula>$C41=1</formula>
    </cfRule>
    <cfRule type="expression" dxfId="501" priority="86" stopIfTrue="1">
      <formula>OR($C41=0,$C41=2,$C41=3,$C41=4)</formula>
    </cfRule>
  </conditionalFormatting>
  <conditionalFormatting sqref="R41">
    <cfRule type="expression" dxfId="500" priority="83" stopIfTrue="1">
      <formula>$C41=1</formula>
    </cfRule>
    <cfRule type="expression" dxfId="499" priority="84" stopIfTrue="1">
      <formula>OR($C41=0,$C41=2,$C41=3,$C41=4)</formula>
    </cfRule>
  </conditionalFormatting>
  <conditionalFormatting sqref="R41">
    <cfRule type="beginsWith" dxfId="498" priority="82" operator="beginsWith" text="(">
      <formula>LEFT(R41,LEN("("))="("</formula>
    </cfRule>
  </conditionalFormatting>
  <conditionalFormatting sqref="U40">
    <cfRule type="expression" dxfId="497" priority="79" stopIfTrue="1">
      <formula>$C40=1</formula>
    </cfRule>
    <cfRule type="expression" dxfId="496" priority="80" stopIfTrue="1">
      <formula>OR($C40=0,$C40=2,$C40=3,$C40=4)</formula>
    </cfRule>
    <cfRule type="expression" dxfId="495" priority="81" stopIfTrue="1">
      <formula>AND(TIPOORCAMENTO="Licitado",$C40&lt;&gt;"L",$C40&lt;&gt;-1)</formula>
    </cfRule>
  </conditionalFormatting>
  <conditionalFormatting sqref="U42">
    <cfRule type="expression" dxfId="494" priority="76" stopIfTrue="1">
      <formula>$C42=1</formula>
    </cfRule>
    <cfRule type="expression" dxfId="493" priority="77" stopIfTrue="1">
      <formula>OR($C42=0,$C42=2,$C42=3,$C42=4)</formula>
    </cfRule>
    <cfRule type="expression" dxfId="492" priority="78" stopIfTrue="1">
      <formula>AND(TIPOORCAMENTO="Licitado",$C42&lt;&gt;"L",$C42&lt;&gt;-1)</formula>
    </cfRule>
  </conditionalFormatting>
  <conditionalFormatting sqref="U41">
    <cfRule type="expression" dxfId="491" priority="73" stopIfTrue="1">
      <formula>$C41=1</formula>
    </cfRule>
    <cfRule type="expression" dxfId="490" priority="74" stopIfTrue="1">
      <formula>OR($C41=0,$C41=2,$C41=3,$C41=4)</formula>
    </cfRule>
    <cfRule type="expression" dxfId="489" priority="75" stopIfTrue="1">
      <formula>AND(TIPOORCAMENTO="Licitado",$C41&lt;&gt;"L",$C41&lt;&gt;-1)</formula>
    </cfRule>
  </conditionalFormatting>
  <conditionalFormatting sqref="AJ42">
    <cfRule type="expression" dxfId="488" priority="70" stopIfTrue="1">
      <formula>OR(ACOMPANHAMENTO&lt;&gt;"BM",TIPOORCAMENTO="Licitado")</formula>
    </cfRule>
    <cfRule type="expression" dxfId="487" priority="71" stopIfTrue="1">
      <formula>$C42=1</formula>
    </cfRule>
    <cfRule type="expression" dxfId="486" priority="72" stopIfTrue="1">
      <formula>OR(AND(ISNUMBER($C42),$C42=0),$C42=2,$C42=3,$C42=4)</formula>
    </cfRule>
  </conditionalFormatting>
  <conditionalFormatting sqref="AJ40">
    <cfRule type="expression" dxfId="485" priority="67" stopIfTrue="1">
      <formula>OR(ACOMPANHAMENTO&lt;&gt;"BM",TIPOORCAMENTO="Licitado")</formula>
    </cfRule>
    <cfRule type="expression" dxfId="484" priority="68" stopIfTrue="1">
      <formula>$C40=1</formula>
    </cfRule>
    <cfRule type="expression" dxfId="483" priority="69" stopIfTrue="1">
      <formula>OR(AND(ISNUMBER($C40),$C40=0),$C40=2,$C40=3,$C40=4)</formula>
    </cfRule>
  </conditionalFormatting>
  <conditionalFormatting sqref="AJ41">
    <cfRule type="expression" dxfId="482" priority="64" stopIfTrue="1">
      <formula>OR(ACOMPANHAMENTO&lt;&gt;"BM",TIPOORCAMENTO="Licitado")</formula>
    </cfRule>
    <cfRule type="expression" dxfId="481" priority="65" stopIfTrue="1">
      <formula>$C41=1</formula>
    </cfRule>
    <cfRule type="expression" dxfId="480" priority="66" stopIfTrue="1">
      <formula>OR(AND(ISNUMBER($C41),$C41=0),$C41=2,$C41=3,$C41=4)</formula>
    </cfRule>
  </conditionalFormatting>
  <conditionalFormatting sqref="M32:M33">
    <cfRule type="cellIs" dxfId="479" priority="47" stopIfTrue="1" operator="notEqual">
      <formula>$N32</formula>
    </cfRule>
  </conditionalFormatting>
  <conditionalFormatting sqref="N32:O33 W32:W33">
    <cfRule type="expression" dxfId="478" priority="48" stopIfTrue="1">
      <formula>$C32=1</formula>
    </cfRule>
    <cfRule type="expression" dxfId="477" priority="49" stopIfTrue="1">
      <formula>OR($C32=0,$C32=2,$C32=3,$C32=4)</formula>
    </cfRule>
  </conditionalFormatting>
  <conditionalFormatting sqref="V32:V33">
    <cfRule type="expression" dxfId="476" priority="50" stopIfTrue="1">
      <formula>$C32=1</formula>
    </cfRule>
    <cfRule type="expression" dxfId="475" priority="51" stopIfTrue="1">
      <formula>OR($C32=0,$C32=2,$C32=3,$C32=4)</formula>
    </cfRule>
    <cfRule type="expression" dxfId="474" priority="52" stopIfTrue="1">
      <formula>AND(TIPOORCAMENTO="Licitado",$C32&lt;&gt;"L",$C32&lt;&gt;-1)</formula>
    </cfRule>
  </conditionalFormatting>
  <conditionalFormatting sqref="P32:P33 T32:T33 Y32:Y33 AG32:AH33">
    <cfRule type="expression" dxfId="473" priority="53" stopIfTrue="1">
      <formula>$C32=1</formula>
    </cfRule>
    <cfRule type="expression" dxfId="472" priority="54" stopIfTrue="1">
      <formula>OR($C32=0,$C32=2,$C32=3,$C32=4)</formula>
    </cfRule>
  </conditionalFormatting>
  <conditionalFormatting sqref="AJ32:AJ33">
    <cfRule type="expression" dxfId="471" priority="55" stopIfTrue="1">
      <formula>OR(ACOMPANHAMENTO&lt;&gt;"BM",TIPOORCAMENTO="Licitado")</formula>
    </cfRule>
    <cfRule type="expression" dxfId="470" priority="56" stopIfTrue="1">
      <formula>$C32=1</formula>
    </cfRule>
    <cfRule type="expression" dxfId="469" priority="57" stopIfTrue="1">
      <formula>OR(AND(ISNUMBER($C32),$C32=0),$C32=2,$C32=3,$C32=4)</formula>
    </cfRule>
  </conditionalFormatting>
  <conditionalFormatting sqref="AL32:AL33">
    <cfRule type="expression" dxfId="468" priority="58" stopIfTrue="1">
      <formula>TIPOORCAMENTO="PROPOSTO"</formula>
    </cfRule>
    <cfRule type="expression" dxfId="467" priority="59" stopIfTrue="1">
      <formula>$C32=1</formula>
    </cfRule>
    <cfRule type="expression" dxfId="466" priority="60" stopIfTrue="1">
      <formula>OR(AND(ISNUMBER($C32),$C32=0),$C32=2,$C32=3,$C32=4)</formula>
    </cfRule>
  </conditionalFormatting>
  <conditionalFormatting sqref="AM32:AN33">
    <cfRule type="expression" dxfId="465" priority="61" stopIfTrue="1">
      <formula>TIPOORCAMENTO="PROPOSTO"</formula>
    </cfRule>
    <cfRule type="expression" dxfId="464" priority="62" stopIfTrue="1">
      <formula>$C32=1</formula>
    </cfRule>
    <cfRule type="expression" dxfId="463" priority="63" stopIfTrue="1">
      <formula>OR(AND(ISNUMBER($C32),$C32=0),$C32=2,$C32=3,$C32=4)</formula>
    </cfRule>
  </conditionalFormatting>
  <conditionalFormatting sqref="X32:X33">
    <cfRule type="expression" dxfId="462" priority="45" stopIfTrue="1">
      <formula>$C32=1</formula>
    </cfRule>
    <cfRule type="expression" dxfId="461" priority="46" stopIfTrue="1">
      <formula>OR($C32=0,$C32=2,$C32=3,$C32=4)</formula>
    </cfRule>
  </conditionalFormatting>
  <conditionalFormatting sqref="Q32:Q33 S32:S33">
    <cfRule type="expression" dxfId="460" priority="40" stopIfTrue="1">
      <formula>$C32=1</formula>
    </cfRule>
    <cfRule type="expression" dxfId="459" priority="41" stopIfTrue="1">
      <formula>OR($C32=0,$C32=2,$C32=3,$C32=4)</formula>
    </cfRule>
  </conditionalFormatting>
  <conditionalFormatting sqref="R32:R33">
    <cfRule type="expression" dxfId="458" priority="38" stopIfTrue="1">
      <formula>$C32=1</formula>
    </cfRule>
    <cfRule type="expression" dxfId="457" priority="39" stopIfTrue="1">
      <formula>OR($C32=0,$C32=2,$C32=3,$C32=4)</formula>
    </cfRule>
  </conditionalFormatting>
  <conditionalFormatting sqref="R32:R33">
    <cfRule type="beginsWith" dxfId="456" priority="37" operator="beginsWith" text="(">
      <formula>LEFT(R32,LEN("("))="("</formula>
    </cfRule>
  </conditionalFormatting>
  <conditionalFormatting sqref="U32:U33">
    <cfRule type="expression" dxfId="455" priority="34" stopIfTrue="1">
      <formula>$C32=1</formula>
    </cfRule>
    <cfRule type="expression" dxfId="454" priority="35" stopIfTrue="1">
      <formula>OR($C32=0,$C32=2,$C32=3,$C32=4)</formula>
    </cfRule>
    <cfRule type="expression" dxfId="453" priority="36" stopIfTrue="1">
      <formula>AND(TIPOORCAMENTO="Licitado",$C32&lt;&gt;"L",$C32&lt;&gt;-1)</formula>
    </cfRule>
  </conditionalFormatting>
  <conditionalFormatting sqref="M43:M44">
    <cfRule type="cellIs" dxfId="452" priority="17" stopIfTrue="1" operator="notEqual">
      <formula>$N43</formula>
    </cfRule>
  </conditionalFormatting>
  <conditionalFormatting sqref="N43:O44 W43:W44">
    <cfRule type="expression" dxfId="451" priority="18" stopIfTrue="1">
      <formula>$C43=1</formula>
    </cfRule>
    <cfRule type="expression" dxfId="450" priority="19" stopIfTrue="1">
      <formula>OR($C43=0,$C43=2,$C43=3,$C43=4)</formula>
    </cfRule>
  </conditionalFormatting>
  <conditionalFormatting sqref="V43:V44">
    <cfRule type="expression" dxfId="449" priority="20" stopIfTrue="1">
      <formula>$C43=1</formula>
    </cfRule>
    <cfRule type="expression" dxfId="448" priority="21" stopIfTrue="1">
      <formula>OR($C43=0,$C43=2,$C43=3,$C43=4)</formula>
    </cfRule>
    <cfRule type="expression" dxfId="447" priority="22" stopIfTrue="1">
      <formula>AND(TIPOORCAMENTO="Licitado",$C43&lt;&gt;"L",$C43&lt;&gt;-1)</formula>
    </cfRule>
  </conditionalFormatting>
  <conditionalFormatting sqref="P43:P44 T43:T44 Y43:Y44 AG43:AH44">
    <cfRule type="expression" dxfId="446" priority="23" stopIfTrue="1">
      <formula>$C43=1</formula>
    </cfRule>
    <cfRule type="expression" dxfId="445" priority="24" stopIfTrue="1">
      <formula>OR($C43=0,$C43=2,$C43=3,$C43=4)</formula>
    </cfRule>
  </conditionalFormatting>
  <conditionalFormatting sqref="AL43:AL44">
    <cfRule type="expression" dxfId="444" priority="28" stopIfTrue="1">
      <formula>TIPOORCAMENTO="PROPOSTO"</formula>
    </cfRule>
    <cfRule type="expression" dxfId="443" priority="29" stopIfTrue="1">
      <formula>$C43=1</formula>
    </cfRule>
    <cfRule type="expression" dxfId="442" priority="30" stopIfTrue="1">
      <formula>OR(AND(ISNUMBER($C43),$C43=0),$C43=2,$C43=3,$C43=4)</formula>
    </cfRule>
  </conditionalFormatting>
  <conditionalFormatting sqref="AM43:AN44">
    <cfRule type="expression" dxfId="441" priority="31" stopIfTrue="1">
      <formula>TIPOORCAMENTO="PROPOSTO"</formula>
    </cfRule>
    <cfRule type="expression" dxfId="440" priority="32" stopIfTrue="1">
      <formula>$C43=1</formula>
    </cfRule>
    <cfRule type="expression" dxfId="439" priority="33" stopIfTrue="1">
      <formula>OR(AND(ISNUMBER($C43),$C43=0),$C43=2,$C43=3,$C43=4)</formula>
    </cfRule>
  </conditionalFormatting>
  <conditionalFormatting sqref="X43:X44">
    <cfRule type="expression" dxfId="438" priority="15" stopIfTrue="1">
      <formula>$C43=1</formula>
    </cfRule>
    <cfRule type="expression" dxfId="437" priority="16" stopIfTrue="1">
      <formula>OR($C43=0,$C43=2,$C43=3,$C43=4)</formula>
    </cfRule>
  </conditionalFormatting>
  <conditionalFormatting sqref="Q43:Q44 S43:S44">
    <cfRule type="expression" dxfId="436" priority="10" stopIfTrue="1">
      <formula>$C43=1</formula>
    </cfRule>
    <cfRule type="expression" dxfId="435" priority="11" stopIfTrue="1">
      <formula>OR($C43=0,$C43=2,$C43=3,$C43=4)</formula>
    </cfRule>
  </conditionalFormatting>
  <conditionalFormatting sqref="R43:R44">
    <cfRule type="expression" dxfId="434" priority="8" stopIfTrue="1">
      <formula>$C43=1</formula>
    </cfRule>
    <cfRule type="expression" dxfId="433" priority="9" stopIfTrue="1">
      <formula>OR($C43=0,$C43=2,$C43=3,$C43=4)</formula>
    </cfRule>
  </conditionalFormatting>
  <conditionalFormatting sqref="R43:R44">
    <cfRule type="beginsWith" dxfId="432" priority="7" operator="beginsWith" text="(">
      <formula>LEFT(R43,LEN("("))="("</formula>
    </cfRule>
  </conditionalFormatting>
  <conditionalFormatting sqref="U43:U44">
    <cfRule type="expression" dxfId="431" priority="4" stopIfTrue="1">
      <formula>$C43=1</formula>
    </cfRule>
    <cfRule type="expression" dxfId="430" priority="5" stopIfTrue="1">
      <formula>OR($C43=0,$C43=2,$C43=3,$C43=4)</formula>
    </cfRule>
    <cfRule type="expression" dxfId="429" priority="6" stopIfTrue="1">
      <formula>AND(TIPOORCAMENTO="Licitado",$C43&lt;&gt;"L",$C43&lt;&gt;-1)</formula>
    </cfRule>
  </conditionalFormatting>
  <conditionalFormatting sqref="AJ43:AJ44">
    <cfRule type="expression" dxfId="428" priority="1" stopIfTrue="1">
      <formula>OR(ACOMPANHAMENTO&lt;&gt;"BM",TIPOORCAMENTO="Licitado")</formula>
    </cfRule>
    <cfRule type="expression" dxfId="427" priority="2" stopIfTrue="1">
      <formula>$C43=1</formula>
    </cfRule>
    <cfRule type="expression" dxfId="426" priority="3" stopIfTrue="1">
      <formula>OR(AND(ISNUMBER($C43),$C43=0),$C43=2,$C43=3,$C43=4)</formula>
    </cfRule>
  </conditionalFormatting>
  <dataValidations count="8">
    <dataValidation type="decimal" operator="greaterThan" allowBlank="1" showErrorMessage="1" error="Apenas números decimais maiores que zero." sqref="U14 AL14 AJ14 AL16:AL47 U16:U47 AJ16:AJ47"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7"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7" xr:uid="{00000000-0002-0000-0400-000006000000}"/>
    <dataValidation type="list" errorStyle="information" allowBlank="1" showInputMessage="1" prompt="Selecione uma sigla de unidade na lista suspensa." sqref="S14 S16:S47"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7"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7"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7"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7"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IF(AUTOEVENTO="Manual",ROUND(SUMPRODUCT((CÁLCULO!$M$15:$M$48=EVENTOS!$C1)*(OFFSET(CÁLCULO!$AA$15:$AA$48,0,E$13))),2),0)</f>
        <v>0</v>
      </c>
      <c r="F1" s="183">
        <f ca="1">IF(AUTOEVENTO="Manual",ROUND(SUMPRODUCT((CÁLCULO!$M$15:$M$48=EVENTOS!$C1)*(OFFSET(CÁLCULO!$AA$15,0,1):OFFSET(CÁLCULO!$AL$48,0,-1))),2),0)</f>
        <v>0</v>
      </c>
      <c r="G1" s="621" t="str">
        <f ca="1">IF(AND(D1=0,F1&gt;0),"NOME",
 IF(AND(D1&lt;&gt;0,$F$14&gt;0,F1=0),"VALOR",
 IF(AND(Import.TipoArredondamento="TransfereGOV",$A1="F",LEN(D1)&gt;100),"Nome &gt;100","")))</f>
        <v/>
      </c>
      <c r="H1" s="620" cm="1">
        <f t="array" aca="1" ref="H1" ca="1">IF(AUTOEVENTO="Manual",ROUND(SUMPRODUCT((CÁLCULO!$M$15:$M$48=EVENTOS!$C1)*(OFFSET(CÁLCULO!$AA$15:$AA$48,0,H$13))),2),0)</f>
        <v>0</v>
      </c>
      <c r="I1" s="620" cm="1">
        <f t="array" aca="1" ref="I1" ca="1">IF(AUTOEVENTO="Manual",ROUND(SUMPRODUCT((CÁLCULO!$M$15:$M$48=EVENTOS!$C1)*(OFFSET(CÁLCULO!$AA$15:$AA$48,0,I$13))),2),0)</f>
        <v>0</v>
      </c>
      <c r="J1" s="620" cm="1">
        <f t="array" aca="1" ref="J1" ca="1">IF(AUTOEVENTO="Manual",ROUND(SUMPRODUCT((CÁLCULO!$M$15:$M$48=EVENTOS!$C1)*(OFFSET(CÁLCULO!$AA$15:$AA$48,0,J$13))),2),0)</f>
        <v>0</v>
      </c>
      <c r="K1" s="620" cm="1">
        <f t="array" aca="1" ref="K1" ca="1">IF(AUTOEVENTO="Manual",ROUND(SUMPRODUCT((CÁLCULO!$M$15:$M$48=EVENTOS!$C1)*(OFFSET(CÁLCULO!$AA$15:$AA$48,0,K$13))),2),0)</f>
        <v>0</v>
      </c>
      <c r="L1" s="620" cm="1">
        <f t="array" aca="1" ref="L1" ca="1">IF(AUTOEVENTO="Manual",ROUND(SUMPRODUCT((CÁLCULO!$M$15:$M$48=EVENTOS!$C1)*(OFFSET(CÁLCULO!$AA$15:$AA$48,0,L$13))),2),0)</f>
        <v>0</v>
      </c>
      <c r="M1" s="620" cm="1">
        <f t="array" aca="1" ref="M1" ca="1">IF(AUTOEVENTO="Manual",ROUND(SUMPRODUCT((CÁLCULO!$M$15:$M$48=EVENTOS!$C1)*(OFFSET(CÁLCULO!$AA$15:$AA$48,0,M$13))),2),0)</f>
        <v>0</v>
      </c>
      <c r="N1" s="620" cm="1">
        <f t="array" aca="1" ref="N1" ca="1">IF(AUTOEVENTO="Manual",ROUND(SUMPRODUCT((CÁLCULO!$M$15:$M$48=EVENTOS!$C1)*(OFFSET(CÁLCULO!$AA$15:$AA$48,0,N$13))),2),0)</f>
        <v>0</v>
      </c>
      <c r="O1" s="620" cm="1">
        <f t="array" aca="1" ref="O1" ca="1">IF(AUTOEVENTO="Manual",ROUND(SUMPRODUCT((CÁLCULO!$M$15:$M$48=EVENTOS!$C1)*(OFFSET(CÁLCULO!$AA$15:$AA$48,0,O$13))),2),0)</f>
        <v>0</v>
      </c>
      <c r="P1" s="620" cm="1">
        <f t="array" aca="1" ref="P1" ca="1">IF(AUTOEVENTO="Manual",ROUND(SUMPRODUCT((CÁLCULO!$M$15:$M$48=EVENTOS!$C1)*(OFFSET(CÁLCULO!$AA$15:$AA$48,0,P$13))),2),0)</f>
        <v>0</v>
      </c>
      <c r="Q1" s="620" cm="1">
        <f t="array" aca="1" ref="Q1" ca="1">IF(AUTOEVENTO="Manual",ROUND(SUMPRODUCT((CÁLCULO!$M$15:$M$48=EVENTOS!$C1)*(OFFSET(CÁLCULO!$AA$15:$AA$48,0,Q$13))),2),0)</f>
        <v>0</v>
      </c>
      <c r="R1" s="620" cm="1">
        <f t="array" aca="1" ref="R1" ca="1">IF(AUTOEVENTO="Manual",ROUND(SUMPRODUCT((CÁLCULO!$M$15:$M$48=EVENTOS!$C1)*(OFFSET(CÁLCULO!$AA$15:$AA$48,0,R$13))),2),0)</f>
        <v>0</v>
      </c>
      <c r="S1" s="620" cm="1">
        <f t="array" aca="1" ref="S1" ca="1">IF(AUTOEVENTO="Manual",ROUND(SUMPRODUCT((CÁLCULO!$M$15:$M$48=EVENTOS!$C1)*(OFFSET(CÁLCULO!$AA$15:$AA$48,0,S$13))),2),0)</f>
        <v>0</v>
      </c>
      <c r="T1" s="620" cm="1">
        <f t="array" aca="1" ref="T1" ca="1">IF(AUTOEVENTO="Manual",ROUND(SUMPRODUCT((CÁLCULO!$M$15:$M$48=EVENTOS!$C1)*(OFFSET(CÁLCULO!$AA$15:$AA$48,0,T$13))),2),0)</f>
        <v>0</v>
      </c>
      <c r="U1" s="620" cm="1">
        <f t="array" aca="1" ref="U1" ca="1">IF(AUTOEVENTO="Manual",ROUND(SUMPRODUCT((CÁLCULO!$M$15:$M$48=EVENTOS!$C1)*(OFFSET(CÁLCULO!$AA$15:$AA$48,0,U$13))),2),0)</f>
        <v>0</v>
      </c>
      <c r="V1" s="620" cm="1">
        <f t="array" aca="1" ref="V1" ca="1">IF(AUTOEVENTO="Manual",ROUND(SUMPRODUCT((CÁLCULO!$M$15:$M$48=EVENTOS!$C1)*(OFFSET(CÁLCULO!$AA$15:$AA$48,0,V$13))),2),0)</f>
        <v>0</v>
      </c>
      <c r="W1" s="620" cm="1">
        <f t="array" aca="1" ref="W1" ca="1">IF(AUTOEVENTO="Manual",ROUND(SUMPRODUCT((CÁLCULO!$M$15:$M$48=EVENTOS!$C1)*(OFFSET(CÁLCULO!$AA$15:$AA$48,0,W$13))),2),0)</f>
        <v>0</v>
      </c>
      <c r="X1" s="620" cm="1">
        <f t="array" aca="1" ref="X1" ca="1">IF(AUTOEVENTO="Manual",ROUND(SUMPRODUCT((CÁLCULO!$M$15:$M$48=EVENTOS!$C1)*(OFFSET(CÁLCULO!$AA$15:$AA$48,0,X$13))),2),0)</f>
        <v>0</v>
      </c>
      <c r="Y1" s="620" cm="1">
        <f t="array" aca="1" ref="Y1" ca="1">IF(AUTOEVENTO="Manual",ROUND(SUMPRODUCT((CÁLCULO!$M$15:$M$48=EVENTOS!$C1)*(OFFSET(CÁLCULO!$AA$15:$AA$48,0,Y$13))),2),0)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25" t="str">
        <f>Import.Apelido</f>
        <v xml:space="preserve">Ponte Herminio Gonçalves </v>
      </c>
      <c r="G5" s="726"/>
      <c r="H5" s="726"/>
      <c r="I5" s="726"/>
      <c r="J5" s="726"/>
      <c r="K5" s="726"/>
      <c r="L5" s="726"/>
      <c r="M5" s="727"/>
      <c r="N5" s="56">
        <f>Import.CR</f>
        <v>0</v>
      </c>
      <c r="O5" s="56">
        <f>Import.SICONV</f>
        <v>0</v>
      </c>
      <c r="P5" s="725" t="str">
        <f>Import.Apelido</f>
        <v xml:space="preserve">Ponte Herminio Gonçalves </v>
      </c>
      <c r="Q5" s="726"/>
      <c r="R5" s="726"/>
      <c r="S5" s="726"/>
      <c r="T5" s="726"/>
      <c r="U5" s="726"/>
      <c r="V5" s="726"/>
      <c r="W5" s="727"/>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28">
        <f ca="1">OFFSET(CÁLCULO!$P$12,0,EVENTOS!E$13)</f>
        <v>0</v>
      </c>
      <c r="F10" t="s">
        <v>752</v>
      </c>
      <c r="G10" s="729"/>
      <c r="H10" s="728">
        <f ca="1">OFFSET(CÁLCULO!$P$12,0,EVENTOS!H$13)</f>
        <v>0</v>
      </c>
      <c r="I10" s="728" t="str">
        <f ca="1">OFFSET(CÁLCULO!$P$12,0,EVENTOS!I$13)</f>
        <v>.</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IF($C$15=0,0,ROUND(SUMPRODUCT((CÁLCULO!$M$15:$M$48=EVENTOS!$C15)*(ORÇAMENTO!$X$15:'ORÇAMENTO'!$X$48)),2))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IF(AUTOEVENTO="Manual",ROUND(SUMPRODUCT((CÁLCULO!$M$15:$M$48=EVENTOS!$C16)*(OFFSET(CÁLCULO!$AA$15:$AA$48,0,E$13))),2),0)</f>
        <v>0</v>
      </c>
      <c r="F16" s="183">
        <f ca="1">IF(AUTOEVENTO="Manual",ROUND(SUMPRODUCT((CÁLCULO!$M$15:$M$48=EVENTOS!$C16)*(OFFSET(CÁLCULO!$AA$15,0,1):OFFSET(CÁLCULO!$AL$48,0,-1))),2),0)</f>
        <v>0</v>
      </c>
      <c r="G16" s="621" t="str">
        <f t="shared" ref="G16:G47" ca="1" si="5">IF(AND(D16=0,F16&gt;0),"NOME",
 IF(AND(D16&lt;&gt;0,$F$14&gt;0,F16=0),"VALOR",
 IF(AND(Import.TipoArredondamento="TransfereGOV",$A16="F",LEN(D16)&gt;100),"Nome &gt;100","")))</f>
        <v/>
      </c>
      <c r="H16" s="620" cm="1">
        <f t="array" aca="1" ref="H16" ca="1">IF(AUTOEVENTO="Manual",ROUND(SUMPRODUCT((CÁLCULO!$M$15:$M$48=EVENTOS!$C16)*(OFFSET(CÁLCULO!$AA$15:$AA$48,0,H$13))),2),0)</f>
        <v>0</v>
      </c>
      <c r="I16" s="620" cm="1">
        <f t="array" aca="1" ref="I16" ca="1">IF(AUTOEVENTO="Manual",ROUND(SUMPRODUCT((CÁLCULO!$M$15:$M$48=EVENTOS!$C16)*(OFFSET(CÁLCULO!$AA$15:$AA$48,0,I$13))),2),0)</f>
        <v>0</v>
      </c>
      <c r="J16" s="620" cm="1">
        <f t="array" aca="1" ref="J16" ca="1">IF(AUTOEVENTO="Manual",ROUND(SUMPRODUCT((CÁLCULO!$M$15:$M$48=EVENTOS!$C16)*(OFFSET(CÁLCULO!$AA$15:$AA$48,0,J$13))),2),0)</f>
        <v>0</v>
      </c>
      <c r="K16" s="620" cm="1">
        <f t="array" aca="1" ref="K16" ca="1">IF(AUTOEVENTO="Manual",ROUND(SUMPRODUCT((CÁLCULO!$M$15:$M$48=EVENTOS!$C16)*(OFFSET(CÁLCULO!$AA$15:$AA$48,0,K$13))),2),0)</f>
        <v>0</v>
      </c>
      <c r="L16" s="620" cm="1">
        <f t="array" aca="1" ref="L16" ca="1">IF(AUTOEVENTO="Manual",ROUND(SUMPRODUCT((CÁLCULO!$M$15:$M$48=EVENTOS!$C16)*(OFFSET(CÁLCULO!$AA$15:$AA$48,0,L$13))),2),0)</f>
        <v>0</v>
      </c>
      <c r="M16" s="620" cm="1">
        <f t="array" aca="1" ref="M16" ca="1">IF(AUTOEVENTO="Manual",ROUND(SUMPRODUCT((CÁLCULO!$M$15:$M$48=EVENTOS!$C16)*(OFFSET(CÁLCULO!$AA$15:$AA$48,0,M$13))),2),0)</f>
        <v>0</v>
      </c>
      <c r="N16" s="620" cm="1">
        <f t="array" aca="1" ref="N16" ca="1">IF(AUTOEVENTO="Manual",ROUND(SUMPRODUCT((CÁLCULO!$M$15:$M$48=EVENTOS!$C16)*(OFFSET(CÁLCULO!$AA$15:$AA$48,0,N$13))),2),0)</f>
        <v>0</v>
      </c>
      <c r="O16" s="620" cm="1">
        <f t="array" aca="1" ref="O16" ca="1">IF(AUTOEVENTO="Manual",ROUND(SUMPRODUCT((CÁLCULO!$M$15:$M$48=EVENTOS!$C16)*(OFFSET(CÁLCULO!$AA$15:$AA$48,0,O$13))),2),0)</f>
        <v>0</v>
      </c>
      <c r="P16" s="620" cm="1">
        <f t="array" aca="1" ref="P16" ca="1">IF(AUTOEVENTO="Manual",ROUND(SUMPRODUCT((CÁLCULO!$M$15:$M$48=EVENTOS!$C16)*(OFFSET(CÁLCULO!$AA$15:$AA$48,0,P$13))),2),0)</f>
        <v>0</v>
      </c>
      <c r="Q16" s="620" cm="1">
        <f t="array" aca="1" ref="Q16" ca="1">IF(AUTOEVENTO="Manual",ROUND(SUMPRODUCT((CÁLCULO!$M$15:$M$48=EVENTOS!$C16)*(OFFSET(CÁLCULO!$AA$15:$AA$48,0,Q$13))),2),0)</f>
        <v>0</v>
      </c>
      <c r="R16" s="620" cm="1">
        <f t="array" aca="1" ref="R16" ca="1">IF(AUTOEVENTO="Manual",ROUND(SUMPRODUCT((CÁLCULO!$M$15:$M$48=EVENTOS!$C16)*(OFFSET(CÁLCULO!$AA$15:$AA$48,0,R$13))),2),0)</f>
        <v>0</v>
      </c>
      <c r="S16" s="620" cm="1">
        <f t="array" aca="1" ref="S16" ca="1">IF(AUTOEVENTO="Manual",ROUND(SUMPRODUCT((CÁLCULO!$M$15:$M$48=EVENTOS!$C16)*(OFFSET(CÁLCULO!$AA$15:$AA$48,0,S$13))),2),0)</f>
        <v>0</v>
      </c>
      <c r="T16" s="620" cm="1">
        <f t="array" aca="1" ref="T16" ca="1">IF(AUTOEVENTO="Manual",ROUND(SUMPRODUCT((CÁLCULO!$M$15:$M$48=EVENTOS!$C16)*(OFFSET(CÁLCULO!$AA$15:$AA$48,0,T$13))),2),0)</f>
        <v>0</v>
      </c>
      <c r="U16" s="620" cm="1">
        <f t="array" aca="1" ref="U16" ca="1">IF(AUTOEVENTO="Manual",ROUND(SUMPRODUCT((CÁLCULO!$M$15:$M$48=EVENTOS!$C16)*(OFFSET(CÁLCULO!$AA$15:$AA$48,0,U$13))),2),0)</f>
        <v>0</v>
      </c>
      <c r="V16" s="620" cm="1">
        <f t="array" aca="1" ref="V16" ca="1">IF(AUTOEVENTO="Manual",ROUND(SUMPRODUCT((CÁLCULO!$M$15:$M$48=EVENTOS!$C16)*(OFFSET(CÁLCULO!$AA$15:$AA$48,0,V$13))),2),0)</f>
        <v>0</v>
      </c>
      <c r="W16" s="620" cm="1">
        <f t="array" aca="1" ref="W16" ca="1">IF(AUTOEVENTO="Manual",ROUND(SUMPRODUCT((CÁLCULO!$M$15:$M$48=EVENTOS!$C16)*(OFFSET(CÁLCULO!$AA$15:$AA$48,0,W$13))),2),0)</f>
        <v>0</v>
      </c>
      <c r="X16" s="620" cm="1">
        <f t="array" aca="1" ref="X16" ca="1">IF(AUTOEVENTO="Manual",ROUND(SUMPRODUCT((CÁLCULO!$M$15:$M$48=EVENTOS!$C16)*(OFFSET(CÁLCULO!$AA$15:$AA$48,0,X$13))),2),0)</f>
        <v>0</v>
      </c>
      <c r="Y16" s="620" cm="1">
        <f t="array" aca="1" ref="Y16" ca="1">IF(AUTOEVENTO="Manual",ROUND(SUMPRODUCT((CÁLCULO!$M$15:$M$48=EVENTOS!$C16)*(OFFSET(CÁLCULO!$AA$15:$AA$48,0,Y$13))),2),0)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IF(AUTOEVENTO="Manual",ROUND(SUMPRODUCT((CÁLCULO!$M$15:$M$48=EVENTOS!$C17)*(OFFSET(CÁLCULO!$AA$15:$AA$48,0,E$13))),2),0)</f>
        <v>0</v>
      </c>
      <c r="F17" s="183">
        <f ca="1">IF(AUTOEVENTO="Manual",ROUND(SUMPRODUCT((CÁLCULO!$M$15:$M$48=EVENTOS!$C17)*(OFFSET(CÁLCULO!$AA$15,0,1):OFFSET(CÁLCULO!$AL$48,0,-1))),2),0)</f>
        <v>0</v>
      </c>
      <c r="G17" s="621" t="str">
        <f t="shared" ca="1" si="5"/>
        <v/>
      </c>
      <c r="H17" s="620" cm="1">
        <f t="array" aca="1" ref="H17" ca="1">IF(AUTOEVENTO="Manual",ROUND(SUMPRODUCT((CÁLCULO!$M$15:$M$48=EVENTOS!$C17)*(OFFSET(CÁLCULO!$AA$15:$AA$48,0,H$13))),2),0)</f>
        <v>0</v>
      </c>
      <c r="I17" s="620" cm="1">
        <f t="array" aca="1" ref="I17" ca="1">IF(AUTOEVENTO="Manual",ROUND(SUMPRODUCT((CÁLCULO!$M$15:$M$48=EVENTOS!$C17)*(OFFSET(CÁLCULO!$AA$15:$AA$48,0,I$13))),2),0)</f>
        <v>0</v>
      </c>
      <c r="J17" s="620" cm="1">
        <f t="array" aca="1" ref="J17" ca="1">IF(AUTOEVENTO="Manual",ROUND(SUMPRODUCT((CÁLCULO!$M$15:$M$48=EVENTOS!$C17)*(OFFSET(CÁLCULO!$AA$15:$AA$48,0,J$13))),2),0)</f>
        <v>0</v>
      </c>
      <c r="K17" s="620" cm="1">
        <f t="array" aca="1" ref="K17" ca="1">IF(AUTOEVENTO="Manual",ROUND(SUMPRODUCT((CÁLCULO!$M$15:$M$48=EVENTOS!$C17)*(OFFSET(CÁLCULO!$AA$15:$AA$48,0,K$13))),2),0)</f>
        <v>0</v>
      </c>
      <c r="L17" s="620" cm="1">
        <f t="array" aca="1" ref="L17" ca="1">IF(AUTOEVENTO="Manual",ROUND(SUMPRODUCT((CÁLCULO!$M$15:$M$48=EVENTOS!$C17)*(OFFSET(CÁLCULO!$AA$15:$AA$48,0,L$13))),2),0)</f>
        <v>0</v>
      </c>
      <c r="M17" s="620" cm="1">
        <f t="array" aca="1" ref="M17" ca="1">IF(AUTOEVENTO="Manual",ROUND(SUMPRODUCT((CÁLCULO!$M$15:$M$48=EVENTOS!$C17)*(OFFSET(CÁLCULO!$AA$15:$AA$48,0,M$13))),2),0)</f>
        <v>0</v>
      </c>
      <c r="N17" s="620" cm="1">
        <f t="array" aca="1" ref="N17" ca="1">IF(AUTOEVENTO="Manual",ROUND(SUMPRODUCT((CÁLCULO!$M$15:$M$48=EVENTOS!$C17)*(OFFSET(CÁLCULO!$AA$15:$AA$48,0,N$13))),2),0)</f>
        <v>0</v>
      </c>
      <c r="O17" s="620" cm="1">
        <f t="array" aca="1" ref="O17" ca="1">IF(AUTOEVENTO="Manual",ROUND(SUMPRODUCT((CÁLCULO!$M$15:$M$48=EVENTOS!$C17)*(OFFSET(CÁLCULO!$AA$15:$AA$48,0,O$13))),2),0)</f>
        <v>0</v>
      </c>
      <c r="P17" s="620" cm="1">
        <f t="array" aca="1" ref="P17" ca="1">IF(AUTOEVENTO="Manual",ROUND(SUMPRODUCT((CÁLCULO!$M$15:$M$48=EVENTOS!$C17)*(OFFSET(CÁLCULO!$AA$15:$AA$48,0,P$13))),2),0)</f>
        <v>0</v>
      </c>
      <c r="Q17" s="620" cm="1">
        <f t="array" aca="1" ref="Q17" ca="1">IF(AUTOEVENTO="Manual",ROUND(SUMPRODUCT((CÁLCULO!$M$15:$M$48=EVENTOS!$C17)*(OFFSET(CÁLCULO!$AA$15:$AA$48,0,Q$13))),2),0)</f>
        <v>0</v>
      </c>
      <c r="R17" s="620" cm="1">
        <f t="array" aca="1" ref="R17" ca="1">IF(AUTOEVENTO="Manual",ROUND(SUMPRODUCT((CÁLCULO!$M$15:$M$48=EVENTOS!$C17)*(OFFSET(CÁLCULO!$AA$15:$AA$48,0,R$13))),2),0)</f>
        <v>0</v>
      </c>
      <c r="S17" s="620" cm="1">
        <f t="array" aca="1" ref="S17" ca="1">IF(AUTOEVENTO="Manual",ROUND(SUMPRODUCT((CÁLCULO!$M$15:$M$48=EVENTOS!$C17)*(OFFSET(CÁLCULO!$AA$15:$AA$48,0,S$13))),2),0)</f>
        <v>0</v>
      </c>
      <c r="T17" s="620" cm="1">
        <f t="array" aca="1" ref="T17" ca="1">IF(AUTOEVENTO="Manual",ROUND(SUMPRODUCT((CÁLCULO!$M$15:$M$48=EVENTOS!$C17)*(OFFSET(CÁLCULO!$AA$15:$AA$48,0,T$13))),2),0)</f>
        <v>0</v>
      </c>
      <c r="U17" s="620" cm="1">
        <f t="array" aca="1" ref="U17" ca="1">IF(AUTOEVENTO="Manual",ROUND(SUMPRODUCT((CÁLCULO!$M$15:$M$48=EVENTOS!$C17)*(OFFSET(CÁLCULO!$AA$15:$AA$48,0,U$13))),2),0)</f>
        <v>0</v>
      </c>
      <c r="V17" s="620" cm="1">
        <f t="array" aca="1" ref="V17" ca="1">IF(AUTOEVENTO="Manual",ROUND(SUMPRODUCT((CÁLCULO!$M$15:$M$48=EVENTOS!$C17)*(OFFSET(CÁLCULO!$AA$15:$AA$48,0,V$13))),2),0)</f>
        <v>0</v>
      </c>
      <c r="W17" s="620" cm="1">
        <f t="array" aca="1" ref="W17" ca="1">IF(AUTOEVENTO="Manual",ROUND(SUMPRODUCT((CÁLCULO!$M$15:$M$48=EVENTOS!$C17)*(OFFSET(CÁLCULO!$AA$15:$AA$48,0,W$13))),2),0)</f>
        <v>0</v>
      </c>
      <c r="X17" s="620" cm="1">
        <f t="array" aca="1" ref="X17" ca="1">IF(AUTOEVENTO="Manual",ROUND(SUMPRODUCT((CÁLCULO!$M$15:$M$48=EVENTOS!$C17)*(OFFSET(CÁLCULO!$AA$15:$AA$48,0,X$13))),2),0)</f>
        <v>0</v>
      </c>
      <c r="Y17" s="620" cm="1">
        <f t="array" aca="1" ref="Y17" ca="1">IF(AUTOEVENTO="Manual",ROUND(SUMPRODUCT((CÁLCULO!$M$15:$M$48=EVENTOS!$C17)*(OFFSET(CÁLCULO!$AA$15:$AA$48,0,Y$13))),2),0)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IF(AUTOEVENTO="Manual",ROUND(SUMPRODUCT((CÁLCULO!$M$15:$M$48=EVENTOS!$C18)*(OFFSET(CÁLCULO!$AA$15:$AA$48,0,E$13))),2),0)</f>
        <v>0</v>
      </c>
      <c r="F18" s="183">
        <f ca="1">IF(AUTOEVENTO="Manual",ROUND(SUMPRODUCT((CÁLCULO!$M$15:$M$48=EVENTOS!$C18)*(OFFSET(CÁLCULO!$AA$15,0,1):OFFSET(CÁLCULO!$AL$48,0,-1))),2),0)</f>
        <v>0</v>
      </c>
      <c r="G18" s="621" t="str">
        <f t="shared" ca="1" si="5"/>
        <v/>
      </c>
      <c r="H18" s="620" cm="1">
        <f t="array" aca="1" ref="H18" ca="1">IF(AUTOEVENTO="Manual",ROUND(SUMPRODUCT((CÁLCULO!$M$15:$M$48=EVENTOS!$C18)*(OFFSET(CÁLCULO!$AA$15:$AA$48,0,H$13))),2),0)</f>
        <v>0</v>
      </c>
      <c r="I18" s="620" cm="1">
        <f t="array" aca="1" ref="I18" ca="1">IF(AUTOEVENTO="Manual",ROUND(SUMPRODUCT((CÁLCULO!$M$15:$M$48=EVENTOS!$C18)*(OFFSET(CÁLCULO!$AA$15:$AA$48,0,I$13))),2),0)</f>
        <v>0</v>
      </c>
      <c r="J18" s="620" cm="1">
        <f t="array" aca="1" ref="J18" ca="1">IF(AUTOEVENTO="Manual",ROUND(SUMPRODUCT((CÁLCULO!$M$15:$M$48=EVENTOS!$C18)*(OFFSET(CÁLCULO!$AA$15:$AA$48,0,J$13))),2),0)</f>
        <v>0</v>
      </c>
      <c r="K18" s="620" cm="1">
        <f t="array" aca="1" ref="K18" ca="1">IF(AUTOEVENTO="Manual",ROUND(SUMPRODUCT((CÁLCULO!$M$15:$M$48=EVENTOS!$C18)*(OFFSET(CÁLCULO!$AA$15:$AA$48,0,K$13))),2),0)</f>
        <v>0</v>
      </c>
      <c r="L18" s="620" cm="1">
        <f t="array" aca="1" ref="L18" ca="1">IF(AUTOEVENTO="Manual",ROUND(SUMPRODUCT((CÁLCULO!$M$15:$M$48=EVENTOS!$C18)*(OFFSET(CÁLCULO!$AA$15:$AA$48,0,L$13))),2),0)</f>
        <v>0</v>
      </c>
      <c r="M18" s="620" cm="1">
        <f t="array" aca="1" ref="M18" ca="1">IF(AUTOEVENTO="Manual",ROUND(SUMPRODUCT((CÁLCULO!$M$15:$M$48=EVENTOS!$C18)*(OFFSET(CÁLCULO!$AA$15:$AA$48,0,M$13))),2),0)</f>
        <v>0</v>
      </c>
      <c r="N18" s="620" cm="1">
        <f t="array" aca="1" ref="N18" ca="1">IF(AUTOEVENTO="Manual",ROUND(SUMPRODUCT((CÁLCULO!$M$15:$M$48=EVENTOS!$C18)*(OFFSET(CÁLCULO!$AA$15:$AA$48,0,N$13))),2),0)</f>
        <v>0</v>
      </c>
      <c r="O18" s="620" cm="1">
        <f t="array" aca="1" ref="O18" ca="1">IF(AUTOEVENTO="Manual",ROUND(SUMPRODUCT((CÁLCULO!$M$15:$M$48=EVENTOS!$C18)*(OFFSET(CÁLCULO!$AA$15:$AA$48,0,O$13))),2),0)</f>
        <v>0</v>
      </c>
      <c r="P18" s="620" cm="1">
        <f t="array" aca="1" ref="P18" ca="1">IF(AUTOEVENTO="Manual",ROUND(SUMPRODUCT((CÁLCULO!$M$15:$M$48=EVENTOS!$C18)*(OFFSET(CÁLCULO!$AA$15:$AA$48,0,P$13))),2),0)</f>
        <v>0</v>
      </c>
      <c r="Q18" s="620" cm="1">
        <f t="array" aca="1" ref="Q18" ca="1">IF(AUTOEVENTO="Manual",ROUND(SUMPRODUCT((CÁLCULO!$M$15:$M$48=EVENTOS!$C18)*(OFFSET(CÁLCULO!$AA$15:$AA$48,0,Q$13))),2),0)</f>
        <v>0</v>
      </c>
      <c r="R18" s="620" cm="1">
        <f t="array" aca="1" ref="R18" ca="1">IF(AUTOEVENTO="Manual",ROUND(SUMPRODUCT((CÁLCULO!$M$15:$M$48=EVENTOS!$C18)*(OFFSET(CÁLCULO!$AA$15:$AA$48,0,R$13))),2),0)</f>
        <v>0</v>
      </c>
      <c r="S18" s="620" cm="1">
        <f t="array" aca="1" ref="S18" ca="1">IF(AUTOEVENTO="Manual",ROUND(SUMPRODUCT((CÁLCULO!$M$15:$M$48=EVENTOS!$C18)*(OFFSET(CÁLCULO!$AA$15:$AA$48,0,S$13))),2),0)</f>
        <v>0</v>
      </c>
      <c r="T18" s="620" cm="1">
        <f t="array" aca="1" ref="T18" ca="1">IF(AUTOEVENTO="Manual",ROUND(SUMPRODUCT((CÁLCULO!$M$15:$M$48=EVENTOS!$C18)*(OFFSET(CÁLCULO!$AA$15:$AA$48,0,T$13))),2),0)</f>
        <v>0</v>
      </c>
      <c r="U18" s="620" cm="1">
        <f t="array" aca="1" ref="U18" ca="1">IF(AUTOEVENTO="Manual",ROUND(SUMPRODUCT((CÁLCULO!$M$15:$M$48=EVENTOS!$C18)*(OFFSET(CÁLCULO!$AA$15:$AA$48,0,U$13))),2),0)</f>
        <v>0</v>
      </c>
      <c r="V18" s="620" cm="1">
        <f t="array" aca="1" ref="V18" ca="1">IF(AUTOEVENTO="Manual",ROUND(SUMPRODUCT((CÁLCULO!$M$15:$M$48=EVENTOS!$C18)*(OFFSET(CÁLCULO!$AA$15:$AA$48,0,V$13))),2),0)</f>
        <v>0</v>
      </c>
      <c r="W18" s="620" cm="1">
        <f t="array" aca="1" ref="W18" ca="1">IF(AUTOEVENTO="Manual",ROUND(SUMPRODUCT((CÁLCULO!$M$15:$M$48=EVENTOS!$C18)*(OFFSET(CÁLCULO!$AA$15:$AA$48,0,W$13))),2),0)</f>
        <v>0</v>
      </c>
      <c r="X18" s="620" cm="1">
        <f t="array" aca="1" ref="X18" ca="1">IF(AUTOEVENTO="Manual",ROUND(SUMPRODUCT((CÁLCULO!$M$15:$M$48=EVENTOS!$C18)*(OFFSET(CÁLCULO!$AA$15:$AA$48,0,X$13))),2),0)</f>
        <v>0</v>
      </c>
      <c r="Y18" s="620" cm="1">
        <f t="array" aca="1" ref="Y18" ca="1">IF(AUTOEVENTO="Manual",ROUND(SUMPRODUCT((CÁLCULO!$M$15:$M$48=EVENTOS!$C18)*(OFFSET(CÁLCULO!$AA$15:$AA$48,0,Y$13))),2),0)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IF(AUTOEVENTO="Manual",ROUND(SUMPRODUCT((CÁLCULO!$M$15:$M$48=EVENTOS!$C19)*(OFFSET(CÁLCULO!$AA$15:$AA$48,0,E$13))),2),0)</f>
        <v>0</v>
      </c>
      <c r="F19" s="183">
        <f ca="1">IF(AUTOEVENTO="Manual",ROUND(SUMPRODUCT((CÁLCULO!$M$15:$M$48=EVENTOS!$C19)*(OFFSET(CÁLCULO!$AA$15,0,1):OFFSET(CÁLCULO!$AL$48,0,-1))),2),0)</f>
        <v>0</v>
      </c>
      <c r="G19" s="621" t="str">
        <f t="shared" ca="1" si="5"/>
        <v/>
      </c>
      <c r="H19" s="620" cm="1">
        <f t="array" aca="1" ref="H19" ca="1">IF(AUTOEVENTO="Manual",ROUND(SUMPRODUCT((CÁLCULO!$M$15:$M$48=EVENTOS!$C19)*(OFFSET(CÁLCULO!$AA$15:$AA$48,0,H$13))),2),0)</f>
        <v>0</v>
      </c>
      <c r="I19" s="620" cm="1">
        <f t="array" aca="1" ref="I19" ca="1">IF(AUTOEVENTO="Manual",ROUND(SUMPRODUCT((CÁLCULO!$M$15:$M$48=EVENTOS!$C19)*(OFFSET(CÁLCULO!$AA$15:$AA$48,0,I$13))),2),0)</f>
        <v>0</v>
      </c>
      <c r="J19" s="620" cm="1">
        <f t="array" aca="1" ref="J19" ca="1">IF(AUTOEVENTO="Manual",ROUND(SUMPRODUCT((CÁLCULO!$M$15:$M$48=EVENTOS!$C19)*(OFFSET(CÁLCULO!$AA$15:$AA$48,0,J$13))),2),0)</f>
        <v>0</v>
      </c>
      <c r="K19" s="620" cm="1">
        <f t="array" aca="1" ref="K19" ca="1">IF(AUTOEVENTO="Manual",ROUND(SUMPRODUCT((CÁLCULO!$M$15:$M$48=EVENTOS!$C19)*(OFFSET(CÁLCULO!$AA$15:$AA$48,0,K$13))),2),0)</f>
        <v>0</v>
      </c>
      <c r="L19" s="620" cm="1">
        <f t="array" aca="1" ref="L19" ca="1">IF(AUTOEVENTO="Manual",ROUND(SUMPRODUCT((CÁLCULO!$M$15:$M$48=EVENTOS!$C19)*(OFFSET(CÁLCULO!$AA$15:$AA$48,0,L$13))),2),0)</f>
        <v>0</v>
      </c>
      <c r="M19" s="620" cm="1">
        <f t="array" aca="1" ref="M19" ca="1">IF(AUTOEVENTO="Manual",ROUND(SUMPRODUCT((CÁLCULO!$M$15:$M$48=EVENTOS!$C19)*(OFFSET(CÁLCULO!$AA$15:$AA$48,0,M$13))),2),0)</f>
        <v>0</v>
      </c>
      <c r="N19" s="620" cm="1">
        <f t="array" aca="1" ref="N19" ca="1">IF(AUTOEVENTO="Manual",ROUND(SUMPRODUCT((CÁLCULO!$M$15:$M$48=EVENTOS!$C19)*(OFFSET(CÁLCULO!$AA$15:$AA$48,0,N$13))),2),0)</f>
        <v>0</v>
      </c>
      <c r="O19" s="620" cm="1">
        <f t="array" aca="1" ref="O19" ca="1">IF(AUTOEVENTO="Manual",ROUND(SUMPRODUCT((CÁLCULO!$M$15:$M$48=EVENTOS!$C19)*(OFFSET(CÁLCULO!$AA$15:$AA$48,0,O$13))),2),0)</f>
        <v>0</v>
      </c>
      <c r="P19" s="620" cm="1">
        <f t="array" aca="1" ref="P19" ca="1">IF(AUTOEVENTO="Manual",ROUND(SUMPRODUCT((CÁLCULO!$M$15:$M$48=EVENTOS!$C19)*(OFFSET(CÁLCULO!$AA$15:$AA$48,0,P$13))),2),0)</f>
        <v>0</v>
      </c>
      <c r="Q19" s="620" cm="1">
        <f t="array" aca="1" ref="Q19" ca="1">IF(AUTOEVENTO="Manual",ROUND(SUMPRODUCT((CÁLCULO!$M$15:$M$48=EVENTOS!$C19)*(OFFSET(CÁLCULO!$AA$15:$AA$48,0,Q$13))),2),0)</f>
        <v>0</v>
      </c>
      <c r="R19" s="620" cm="1">
        <f t="array" aca="1" ref="R19" ca="1">IF(AUTOEVENTO="Manual",ROUND(SUMPRODUCT((CÁLCULO!$M$15:$M$48=EVENTOS!$C19)*(OFFSET(CÁLCULO!$AA$15:$AA$48,0,R$13))),2),0)</f>
        <v>0</v>
      </c>
      <c r="S19" s="620" cm="1">
        <f t="array" aca="1" ref="S19" ca="1">IF(AUTOEVENTO="Manual",ROUND(SUMPRODUCT((CÁLCULO!$M$15:$M$48=EVENTOS!$C19)*(OFFSET(CÁLCULO!$AA$15:$AA$48,0,S$13))),2),0)</f>
        <v>0</v>
      </c>
      <c r="T19" s="620" cm="1">
        <f t="array" aca="1" ref="T19" ca="1">IF(AUTOEVENTO="Manual",ROUND(SUMPRODUCT((CÁLCULO!$M$15:$M$48=EVENTOS!$C19)*(OFFSET(CÁLCULO!$AA$15:$AA$48,0,T$13))),2),0)</f>
        <v>0</v>
      </c>
      <c r="U19" s="620" cm="1">
        <f t="array" aca="1" ref="U19" ca="1">IF(AUTOEVENTO="Manual",ROUND(SUMPRODUCT((CÁLCULO!$M$15:$M$48=EVENTOS!$C19)*(OFFSET(CÁLCULO!$AA$15:$AA$48,0,U$13))),2),0)</f>
        <v>0</v>
      </c>
      <c r="V19" s="620" cm="1">
        <f t="array" aca="1" ref="V19" ca="1">IF(AUTOEVENTO="Manual",ROUND(SUMPRODUCT((CÁLCULO!$M$15:$M$48=EVENTOS!$C19)*(OFFSET(CÁLCULO!$AA$15:$AA$48,0,V$13))),2),0)</f>
        <v>0</v>
      </c>
      <c r="W19" s="620" cm="1">
        <f t="array" aca="1" ref="W19" ca="1">IF(AUTOEVENTO="Manual",ROUND(SUMPRODUCT((CÁLCULO!$M$15:$M$48=EVENTOS!$C19)*(OFFSET(CÁLCULO!$AA$15:$AA$48,0,W$13))),2),0)</f>
        <v>0</v>
      </c>
      <c r="X19" s="620" cm="1">
        <f t="array" aca="1" ref="X19" ca="1">IF(AUTOEVENTO="Manual",ROUND(SUMPRODUCT((CÁLCULO!$M$15:$M$48=EVENTOS!$C19)*(OFFSET(CÁLCULO!$AA$15:$AA$48,0,X$13))),2),0)</f>
        <v>0</v>
      </c>
      <c r="Y19" s="620" cm="1">
        <f t="array" aca="1" ref="Y19" ca="1">IF(AUTOEVENTO="Manual",ROUND(SUMPRODUCT((CÁLCULO!$M$15:$M$48=EVENTOS!$C19)*(OFFSET(CÁLCULO!$AA$15:$AA$48,0,Y$13))),2),0)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IF(AUTOEVENTO="Manual",ROUND(SUMPRODUCT((CÁLCULO!$M$15:$M$48=EVENTOS!$C20)*(OFFSET(CÁLCULO!$AA$15:$AA$48,0,E$13))),2),0)</f>
        <v>0</v>
      </c>
      <c r="F20" s="183">
        <f ca="1">IF(AUTOEVENTO="Manual",ROUND(SUMPRODUCT((CÁLCULO!$M$15:$M$48=EVENTOS!$C20)*(OFFSET(CÁLCULO!$AA$15,0,1):OFFSET(CÁLCULO!$AL$48,0,-1))),2),0)</f>
        <v>0</v>
      </c>
      <c r="G20" s="621" t="str">
        <f t="shared" ca="1" si="5"/>
        <v/>
      </c>
      <c r="H20" s="620" cm="1">
        <f t="array" aca="1" ref="H20" ca="1">IF(AUTOEVENTO="Manual",ROUND(SUMPRODUCT((CÁLCULO!$M$15:$M$48=EVENTOS!$C20)*(OFFSET(CÁLCULO!$AA$15:$AA$48,0,H$13))),2),0)</f>
        <v>0</v>
      </c>
      <c r="I20" s="620" cm="1">
        <f t="array" aca="1" ref="I20" ca="1">IF(AUTOEVENTO="Manual",ROUND(SUMPRODUCT((CÁLCULO!$M$15:$M$48=EVENTOS!$C20)*(OFFSET(CÁLCULO!$AA$15:$AA$48,0,I$13))),2),0)</f>
        <v>0</v>
      </c>
      <c r="J20" s="620" cm="1">
        <f t="array" aca="1" ref="J20" ca="1">IF(AUTOEVENTO="Manual",ROUND(SUMPRODUCT((CÁLCULO!$M$15:$M$48=EVENTOS!$C20)*(OFFSET(CÁLCULO!$AA$15:$AA$48,0,J$13))),2),0)</f>
        <v>0</v>
      </c>
      <c r="K20" s="620" cm="1">
        <f t="array" aca="1" ref="K20" ca="1">IF(AUTOEVENTO="Manual",ROUND(SUMPRODUCT((CÁLCULO!$M$15:$M$48=EVENTOS!$C20)*(OFFSET(CÁLCULO!$AA$15:$AA$48,0,K$13))),2),0)</f>
        <v>0</v>
      </c>
      <c r="L20" s="620" cm="1">
        <f t="array" aca="1" ref="L20" ca="1">IF(AUTOEVENTO="Manual",ROUND(SUMPRODUCT((CÁLCULO!$M$15:$M$48=EVENTOS!$C20)*(OFFSET(CÁLCULO!$AA$15:$AA$48,0,L$13))),2),0)</f>
        <v>0</v>
      </c>
      <c r="M20" s="620" cm="1">
        <f t="array" aca="1" ref="M20" ca="1">IF(AUTOEVENTO="Manual",ROUND(SUMPRODUCT((CÁLCULO!$M$15:$M$48=EVENTOS!$C20)*(OFFSET(CÁLCULO!$AA$15:$AA$48,0,M$13))),2),0)</f>
        <v>0</v>
      </c>
      <c r="N20" s="620" cm="1">
        <f t="array" aca="1" ref="N20" ca="1">IF(AUTOEVENTO="Manual",ROUND(SUMPRODUCT((CÁLCULO!$M$15:$M$48=EVENTOS!$C20)*(OFFSET(CÁLCULO!$AA$15:$AA$48,0,N$13))),2),0)</f>
        <v>0</v>
      </c>
      <c r="O20" s="620" cm="1">
        <f t="array" aca="1" ref="O20" ca="1">IF(AUTOEVENTO="Manual",ROUND(SUMPRODUCT((CÁLCULO!$M$15:$M$48=EVENTOS!$C20)*(OFFSET(CÁLCULO!$AA$15:$AA$48,0,O$13))),2),0)</f>
        <v>0</v>
      </c>
      <c r="P20" s="620" cm="1">
        <f t="array" aca="1" ref="P20" ca="1">IF(AUTOEVENTO="Manual",ROUND(SUMPRODUCT((CÁLCULO!$M$15:$M$48=EVENTOS!$C20)*(OFFSET(CÁLCULO!$AA$15:$AA$48,0,P$13))),2),0)</f>
        <v>0</v>
      </c>
      <c r="Q20" s="620" cm="1">
        <f t="array" aca="1" ref="Q20" ca="1">IF(AUTOEVENTO="Manual",ROUND(SUMPRODUCT((CÁLCULO!$M$15:$M$48=EVENTOS!$C20)*(OFFSET(CÁLCULO!$AA$15:$AA$48,0,Q$13))),2),0)</f>
        <v>0</v>
      </c>
      <c r="R20" s="620" cm="1">
        <f t="array" aca="1" ref="R20" ca="1">IF(AUTOEVENTO="Manual",ROUND(SUMPRODUCT((CÁLCULO!$M$15:$M$48=EVENTOS!$C20)*(OFFSET(CÁLCULO!$AA$15:$AA$48,0,R$13))),2),0)</f>
        <v>0</v>
      </c>
      <c r="S20" s="620" cm="1">
        <f t="array" aca="1" ref="S20" ca="1">IF(AUTOEVENTO="Manual",ROUND(SUMPRODUCT((CÁLCULO!$M$15:$M$48=EVENTOS!$C20)*(OFFSET(CÁLCULO!$AA$15:$AA$48,0,S$13))),2),0)</f>
        <v>0</v>
      </c>
      <c r="T20" s="620" cm="1">
        <f t="array" aca="1" ref="T20" ca="1">IF(AUTOEVENTO="Manual",ROUND(SUMPRODUCT((CÁLCULO!$M$15:$M$48=EVENTOS!$C20)*(OFFSET(CÁLCULO!$AA$15:$AA$48,0,T$13))),2),0)</f>
        <v>0</v>
      </c>
      <c r="U20" s="620" cm="1">
        <f t="array" aca="1" ref="U20" ca="1">IF(AUTOEVENTO="Manual",ROUND(SUMPRODUCT((CÁLCULO!$M$15:$M$48=EVENTOS!$C20)*(OFFSET(CÁLCULO!$AA$15:$AA$48,0,U$13))),2),0)</f>
        <v>0</v>
      </c>
      <c r="V20" s="620" cm="1">
        <f t="array" aca="1" ref="V20" ca="1">IF(AUTOEVENTO="Manual",ROUND(SUMPRODUCT((CÁLCULO!$M$15:$M$48=EVENTOS!$C20)*(OFFSET(CÁLCULO!$AA$15:$AA$48,0,V$13))),2),0)</f>
        <v>0</v>
      </c>
      <c r="W20" s="620" cm="1">
        <f t="array" aca="1" ref="W20" ca="1">IF(AUTOEVENTO="Manual",ROUND(SUMPRODUCT((CÁLCULO!$M$15:$M$48=EVENTOS!$C20)*(OFFSET(CÁLCULO!$AA$15:$AA$48,0,W$13))),2),0)</f>
        <v>0</v>
      </c>
      <c r="X20" s="620" cm="1">
        <f t="array" aca="1" ref="X20" ca="1">IF(AUTOEVENTO="Manual",ROUND(SUMPRODUCT((CÁLCULO!$M$15:$M$48=EVENTOS!$C20)*(OFFSET(CÁLCULO!$AA$15:$AA$48,0,X$13))),2),0)</f>
        <v>0</v>
      </c>
      <c r="Y20" s="620" cm="1">
        <f t="array" aca="1" ref="Y20" ca="1">IF(AUTOEVENTO="Manual",ROUND(SUMPRODUCT((CÁLCULO!$M$15:$M$48=EVENTOS!$C20)*(OFFSET(CÁLCULO!$AA$15:$AA$48,0,Y$13))),2),0)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IF(AUTOEVENTO="Manual",ROUND(SUMPRODUCT((CÁLCULO!$M$15:$M$48=EVENTOS!$C21)*(OFFSET(CÁLCULO!$AA$15:$AA$48,0,E$13))),2),0)</f>
        <v>0</v>
      </c>
      <c r="F21" s="183">
        <f ca="1">IF(AUTOEVENTO="Manual",ROUND(SUMPRODUCT((CÁLCULO!$M$15:$M$48=EVENTOS!$C21)*(OFFSET(CÁLCULO!$AA$15,0,1):OFFSET(CÁLCULO!$AL$48,0,-1))),2),0)</f>
        <v>0</v>
      </c>
      <c r="G21" s="621" t="str">
        <f t="shared" ca="1" si="5"/>
        <v/>
      </c>
      <c r="H21" s="620" cm="1">
        <f t="array" aca="1" ref="H21" ca="1">IF(AUTOEVENTO="Manual",ROUND(SUMPRODUCT((CÁLCULO!$M$15:$M$48=EVENTOS!$C21)*(OFFSET(CÁLCULO!$AA$15:$AA$48,0,H$13))),2),0)</f>
        <v>0</v>
      </c>
      <c r="I21" s="620" cm="1">
        <f t="array" aca="1" ref="I21" ca="1">IF(AUTOEVENTO="Manual",ROUND(SUMPRODUCT((CÁLCULO!$M$15:$M$48=EVENTOS!$C21)*(OFFSET(CÁLCULO!$AA$15:$AA$48,0,I$13))),2),0)</f>
        <v>0</v>
      </c>
      <c r="J21" s="620" cm="1">
        <f t="array" aca="1" ref="J21" ca="1">IF(AUTOEVENTO="Manual",ROUND(SUMPRODUCT((CÁLCULO!$M$15:$M$48=EVENTOS!$C21)*(OFFSET(CÁLCULO!$AA$15:$AA$48,0,J$13))),2),0)</f>
        <v>0</v>
      </c>
      <c r="K21" s="620" cm="1">
        <f t="array" aca="1" ref="K21" ca="1">IF(AUTOEVENTO="Manual",ROUND(SUMPRODUCT((CÁLCULO!$M$15:$M$48=EVENTOS!$C21)*(OFFSET(CÁLCULO!$AA$15:$AA$48,0,K$13))),2),0)</f>
        <v>0</v>
      </c>
      <c r="L21" s="620" cm="1">
        <f t="array" aca="1" ref="L21" ca="1">IF(AUTOEVENTO="Manual",ROUND(SUMPRODUCT((CÁLCULO!$M$15:$M$48=EVENTOS!$C21)*(OFFSET(CÁLCULO!$AA$15:$AA$48,0,L$13))),2),0)</f>
        <v>0</v>
      </c>
      <c r="M21" s="620" cm="1">
        <f t="array" aca="1" ref="M21" ca="1">IF(AUTOEVENTO="Manual",ROUND(SUMPRODUCT((CÁLCULO!$M$15:$M$48=EVENTOS!$C21)*(OFFSET(CÁLCULO!$AA$15:$AA$48,0,M$13))),2),0)</f>
        <v>0</v>
      </c>
      <c r="N21" s="620" cm="1">
        <f t="array" aca="1" ref="N21" ca="1">IF(AUTOEVENTO="Manual",ROUND(SUMPRODUCT((CÁLCULO!$M$15:$M$48=EVENTOS!$C21)*(OFFSET(CÁLCULO!$AA$15:$AA$48,0,N$13))),2),0)</f>
        <v>0</v>
      </c>
      <c r="O21" s="620" cm="1">
        <f t="array" aca="1" ref="O21" ca="1">IF(AUTOEVENTO="Manual",ROUND(SUMPRODUCT((CÁLCULO!$M$15:$M$48=EVENTOS!$C21)*(OFFSET(CÁLCULO!$AA$15:$AA$48,0,O$13))),2),0)</f>
        <v>0</v>
      </c>
      <c r="P21" s="620" cm="1">
        <f t="array" aca="1" ref="P21" ca="1">IF(AUTOEVENTO="Manual",ROUND(SUMPRODUCT((CÁLCULO!$M$15:$M$48=EVENTOS!$C21)*(OFFSET(CÁLCULO!$AA$15:$AA$48,0,P$13))),2),0)</f>
        <v>0</v>
      </c>
      <c r="Q21" s="620" cm="1">
        <f t="array" aca="1" ref="Q21" ca="1">IF(AUTOEVENTO="Manual",ROUND(SUMPRODUCT((CÁLCULO!$M$15:$M$48=EVENTOS!$C21)*(OFFSET(CÁLCULO!$AA$15:$AA$48,0,Q$13))),2),0)</f>
        <v>0</v>
      </c>
      <c r="R21" s="620" cm="1">
        <f t="array" aca="1" ref="R21" ca="1">IF(AUTOEVENTO="Manual",ROUND(SUMPRODUCT((CÁLCULO!$M$15:$M$48=EVENTOS!$C21)*(OFFSET(CÁLCULO!$AA$15:$AA$48,0,R$13))),2),0)</f>
        <v>0</v>
      </c>
      <c r="S21" s="620" cm="1">
        <f t="array" aca="1" ref="S21" ca="1">IF(AUTOEVENTO="Manual",ROUND(SUMPRODUCT((CÁLCULO!$M$15:$M$48=EVENTOS!$C21)*(OFFSET(CÁLCULO!$AA$15:$AA$48,0,S$13))),2),0)</f>
        <v>0</v>
      </c>
      <c r="T21" s="620" cm="1">
        <f t="array" aca="1" ref="T21" ca="1">IF(AUTOEVENTO="Manual",ROUND(SUMPRODUCT((CÁLCULO!$M$15:$M$48=EVENTOS!$C21)*(OFFSET(CÁLCULO!$AA$15:$AA$48,0,T$13))),2),0)</f>
        <v>0</v>
      </c>
      <c r="U21" s="620" cm="1">
        <f t="array" aca="1" ref="U21" ca="1">IF(AUTOEVENTO="Manual",ROUND(SUMPRODUCT((CÁLCULO!$M$15:$M$48=EVENTOS!$C21)*(OFFSET(CÁLCULO!$AA$15:$AA$48,0,U$13))),2),0)</f>
        <v>0</v>
      </c>
      <c r="V21" s="620" cm="1">
        <f t="array" aca="1" ref="V21" ca="1">IF(AUTOEVENTO="Manual",ROUND(SUMPRODUCT((CÁLCULO!$M$15:$M$48=EVENTOS!$C21)*(OFFSET(CÁLCULO!$AA$15:$AA$48,0,V$13))),2),0)</f>
        <v>0</v>
      </c>
      <c r="W21" s="620" cm="1">
        <f t="array" aca="1" ref="W21" ca="1">IF(AUTOEVENTO="Manual",ROUND(SUMPRODUCT((CÁLCULO!$M$15:$M$48=EVENTOS!$C21)*(OFFSET(CÁLCULO!$AA$15:$AA$48,0,W$13))),2),0)</f>
        <v>0</v>
      </c>
      <c r="X21" s="620" cm="1">
        <f t="array" aca="1" ref="X21" ca="1">IF(AUTOEVENTO="Manual",ROUND(SUMPRODUCT((CÁLCULO!$M$15:$M$48=EVENTOS!$C21)*(OFFSET(CÁLCULO!$AA$15:$AA$48,0,X$13))),2),0)</f>
        <v>0</v>
      </c>
      <c r="Y21" s="620" cm="1">
        <f t="array" aca="1" ref="Y21" ca="1">IF(AUTOEVENTO="Manual",ROUND(SUMPRODUCT((CÁLCULO!$M$15:$M$48=EVENTOS!$C21)*(OFFSET(CÁLCULO!$AA$15:$AA$48,0,Y$13))),2),0)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IF(AUTOEVENTO="Manual",ROUND(SUMPRODUCT((CÁLCULO!$M$15:$M$48=EVENTOS!$C22)*(OFFSET(CÁLCULO!$AA$15:$AA$48,0,E$13))),2),0)</f>
        <v>0</v>
      </c>
      <c r="F22" s="183">
        <f ca="1">IF(AUTOEVENTO="Manual",ROUND(SUMPRODUCT((CÁLCULO!$M$15:$M$48=EVENTOS!$C22)*(OFFSET(CÁLCULO!$AA$15,0,1):OFFSET(CÁLCULO!$AL$48,0,-1))),2),0)</f>
        <v>0</v>
      </c>
      <c r="G22" s="621" t="str">
        <f t="shared" ca="1" si="5"/>
        <v/>
      </c>
      <c r="H22" s="620" cm="1">
        <f t="array" aca="1" ref="H22" ca="1">IF(AUTOEVENTO="Manual",ROUND(SUMPRODUCT((CÁLCULO!$M$15:$M$48=EVENTOS!$C22)*(OFFSET(CÁLCULO!$AA$15:$AA$48,0,H$13))),2),0)</f>
        <v>0</v>
      </c>
      <c r="I22" s="620" cm="1">
        <f t="array" aca="1" ref="I22" ca="1">IF(AUTOEVENTO="Manual",ROUND(SUMPRODUCT((CÁLCULO!$M$15:$M$48=EVENTOS!$C22)*(OFFSET(CÁLCULO!$AA$15:$AA$48,0,I$13))),2),0)</f>
        <v>0</v>
      </c>
      <c r="J22" s="620" cm="1">
        <f t="array" aca="1" ref="J22" ca="1">IF(AUTOEVENTO="Manual",ROUND(SUMPRODUCT((CÁLCULO!$M$15:$M$48=EVENTOS!$C22)*(OFFSET(CÁLCULO!$AA$15:$AA$48,0,J$13))),2),0)</f>
        <v>0</v>
      </c>
      <c r="K22" s="620" cm="1">
        <f t="array" aca="1" ref="K22" ca="1">IF(AUTOEVENTO="Manual",ROUND(SUMPRODUCT((CÁLCULO!$M$15:$M$48=EVENTOS!$C22)*(OFFSET(CÁLCULO!$AA$15:$AA$48,0,K$13))),2),0)</f>
        <v>0</v>
      </c>
      <c r="L22" s="620" cm="1">
        <f t="array" aca="1" ref="L22" ca="1">IF(AUTOEVENTO="Manual",ROUND(SUMPRODUCT((CÁLCULO!$M$15:$M$48=EVENTOS!$C22)*(OFFSET(CÁLCULO!$AA$15:$AA$48,0,L$13))),2),0)</f>
        <v>0</v>
      </c>
      <c r="M22" s="620" cm="1">
        <f t="array" aca="1" ref="M22" ca="1">IF(AUTOEVENTO="Manual",ROUND(SUMPRODUCT((CÁLCULO!$M$15:$M$48=EVENTOS!$C22)*(OFFSET(CÁLCULO!$AA$15:$AA$48,0,M$13))),2),0)</f>
        <v>0</v>
      </c>
      <c r="N22" s="620" cm="1">
        <f t="array" aca="1" ref="N22" ca="1">IF(AUTOEVENTO="Manual",ROUND(SUMPRODUCT((CÁLCULO!$M$15:$M$48=EVENTOS!$C22)*(OFFSET(CÁLCULO!$AA$15:$AA$48,0,N$13))),2),0)</f>
        <v>0</v>
      </c>
      <c r="O22" s="620" cm="1">
        <f t="array" aca="1" ref="O22" ca="1">IF(AUTOEVENTO="Manual",ROUND(SUMPRODUCT((CÁLCULO!$M$15:$M$48=EVENTOS!$C22)*(OFFSET(CÁLCULO!$AA$15:$AA$48,0,O$13))),2),0)</f>
        <v>0</v>
      </c>
      <c r="P22" s="620" cm="1">
        <f t="array" aca="1" ref="P22" ca="1">IF(AUTOEVENTO="Manual",ROUND(SUMPRODUCT((CÁLCULO!$M$15:$M$48=EVENTOS!$C22)*(OFFSET(CÁLCULO!$AA$15:$AA$48,0,P$13))),2),0)</f>
        <v>0</v>
      </c>
      <c r="Q22" s="620" cm="1">
        <f t="array" aca="1" ref="Q22" ca="1">IF(AUTOEVENTO="Manual",ROUND(SUMPRODUCT((CÁLCULO!$M$15:$M$48=EVENTOS!$C22)*(OFFSET(CÁLCULO!$AA$15:$AA$48,0,Q$13))),2),0)</f>
        <v>0</v>
      </c>
      <c r="R22" s="620" cm="1">
        <f t="array" aca="1" ref="R22" ca="1">IF(AUTOEVENTO="Manual",ROUND(SUMPRODUCT((CÁLCULO!$M$15:$M$48=EVENTOS!$C22)*(OFFSET(CÁLCULO!$AA$15:$AA$48,0,R$13))),2),0)</f>
        <v>0</v>
      </c>
      <c r="S22" s="620" cm="1">
        <f t="array" aca="1" ref="S22" ca="1">IF(AUTOEVENTO="Manual",ROUND(SUMPRODUCT((CÁLCULO!$M$15:$M$48=EVENTOS!$C22)*(OFFSET(CÁLCULO!$AA$15:$AA$48,0,S$13))),2),0)</f>
        <v>0</v>
      </c>
      <c r="T22" s="620" cm="1">
        <f t="array" aca="1" ref="T22" ca="1">IF(AUTOEVENTO="Manual",ROUND(SUMPRODUCT((CÁLCULO!$M$15:$M$48=EVENTOS!$C22)*(OFFSET(CÁLCULO!$AA$15:$AA$48,0,T$13))),2),0)</f>
        <v>0</v>
      </c>
      <c r="U22" s="620" cm="1">
        <f t="array" aca="1" ref="U22" ca="1">IF(AUTOEVENTO="Manual",ROUND(SUMPRODUCT((CÁLCULO!$M$15:$M$48=EVENTOS!$C22)*(OFFSET(CÁLCULO!$AA$15:$AA$48,0,U$13))),2),0)</f>
        <v>0</v>
      </c>
      <c r="V22" s="620" cm="1">
        <f t="array" aca="1" ref="V22" ca="1">IF(AUTOEVENTO="Manual",ROUND(SUMPRODUCT((CÁLCULO!$M$15:$M$48=EVENTOS!$C22)*(OFFSET(CÁLCULO!$AA$15:$AA$48,0,V$13))),2),0)</f>
        <v>0</v>
      </c>
      <c r="W22" s="620" cm="1">
        <f t="array" aca="1" ref="W22" ca="1">IF(AUTOEVENTO="Manual",ROUND(SUMPRODUCT((CÁLCULO!$M$15:$M$48=EVENTOS!$C22)*(OFFSET(CÁLCULO!$AA$15:$AA$48,0,W$13))),2),0)</f>
        <v>0</v>
      </c>
      <c r="X22" s="620" cm="1">
        <f t="array" aca="1" ref="X22" ca="1">IF(AUTOEVENTO="Manual",ROUND(SUMPRODUCT((CÁLCULO!$M$15:$M$48=EVENTOS!$C22)*(OFFSET(CÁLCULO!$AA$15:$AA$48,0,X$13))),2),0)</f>
        <v>0</v>
      </c>
      <c r="Y22" s="620" cm="1">
        <f t="array" aca="1" ref="Y22" ca="1">IF(AUTOEVENTO="Manual",ROUND(SUMPRODUCT((CÁLCULO!$M$15:$M$48=EVENTOS!$C22)*(OFFSET(CÁLCULO!$AA$15:$AA$48,0,Y$13))),2),0)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IF(AUTOEVENTO="Manual",ROUND(SUMPRODUCT((CÁLCULO!$M$15:$M$48=EVENTOS!$C23)*(OFFSET(CÁLCULO!$AA$15:$AA$48,0,E$13))),2),0)</f>
        <v>0</v>
      </c>
      <c r="F23" s="183">
        <f ca="1">IF(AUTOEVENTO="Manual",ROUND(SUMPRODUCT((CÁLCULO!$M$15:$M$48=EVENTOS!$C23)*(OFFSET(CÁLCULO!$AA$15,0,1):OFFSET(CÁLCULO!$AL$48,0,-1))),2),0)</f>
        <v>0</v>
      </c>
      <c r="G23" s="621" t="str">
        <f t="shared" ca="1" si="5"/>
        <v/>
      </c>
      <c r="H23" s="620" cm="1">
        <f t="array" aca="1" ref="H23" ca="1">IF(AUTOEVENTO="Manual",ROUND(SUMPRODUCT((CÁLCULO!$M$15:$M$48=EVENTOS!$C23)*(OFFSET(CÁLCULO!$AA$15:$AA$48,0,H$13))),2),0)</f>
        <v>0</v>
      </c>
      <c r="I23" s="620" cm="1">
        <f t="array" aca="1" ref="I23" ca="1">IF(AUTOEVENTO="Manual",ROUND(SUMPRODUCT((CÁLCULO!$M$15:$M$48=EVENTOS!$C23)*(OFFSET(CÁLCULO!$AA$15:$AA$48,0,I$13))),2),0)</f>
        <v>0</v>
      </c>
      <c r="J23" s="620" cm="1">
        <f t="array" aca="1" ref="J23" ca="1">IF(AUTOEVENTO="Manual",ROUND(SUMPRODUCT((CÁLCULO!$M$15:$M$48=EVENTOS!$C23)*(OFFSET(CÁLCULO!$AA$15:$AA$48,0,J$13))),2),0)</f>
        <v>0</v>
      </c>
      <c r="K23" s="620" cm="1">
        <f t="array" aca="1" ref="K23" ca="1">IF(AUTOEVENTO="Manual",ROUND(SUMPRODUCT((CÁLCULO!$M$15:$M$48=EVENTOS!$C23)*(OFFSET(CÁLCULO!$AA$15:$AA$48,0,K$13))),2),0)</f>
        <v>0</v>
      </c>
      <c r="L23" s="620" cm="1">
        <f t="array" aca="1" ref="L23" ca="1">IF(AUTOEVENTO="Manual",ROUND(SUMPRODUCT((CÁLCULO!$M$15:$M$48=EVENTOS!$C23)*(OFFSET(CÁLCULO!$AA$15:$AA$48,0,L$13))),2),0)</f>
        <v>0</v>
      </c>
      <c r="M23" s="620" cm="1">
        <f t="array" aca="1" ref="M23" ca="1">IF(AUTOEVENTO="Manual",ROUND(SUMPRODUCT((CÁLCULO!$M$15:$M$48=EVENTOS!$C23)*(OFFSET(CÁLCULO!$AA$15:$AA$48,0,M$13))),2),0)</f>
        <v>0</v>
      </c>
      <c r="N23" s="620" cm="1">
        <f t="array" aca="1" ref="N23" ca="1">IF(AUTOEVENTO="Manual",ROUND(SUMPRODUCT((CÁLCULO!$M$15:$M$48=EVENTOS!$C23)*(OFFSET(CÁLCULO!$AA$15:$AA$48,0,N$13))),2),0)</f>
        <v>0</v>
      </c>
      <c r="O23" s="620" cm="1">
        <f t="array" aca="1" ref="O23" ca="1">IF(AUTOEVENTO="Manual",ROUND(SUMPRODUCT((CÁLCULO!$M$15:$M$48=EVENTOS!$C23)*(OFFSET(CÁLCULO!$AA$15:$AA$48,0,O$13))),2),0)</f>
        <v>0</v>
      </c>
      <c r="P23" s="620" cm="1">
        <f t="array" aca="1" ref="P23" ca="1">IF(AUTOEVENTO="Manual",ROUND(SUMPRODUCT((CÁLCULO!$M$15:$M$48=EVENTOS!$C23)*(OFFSET(CÁLCULO!$AA$15:$AA$48,0,P$13))),2),0)</f>
        <v>0</v>
      </c>
      <c r="Q23" s="620" cm="1">
        <f t="array" aca="1" ref="Q23" ca="1">IF(AUTOEVENTO="Manual",ROUND(SUMPRODUCT((CÁLCULO!$M$15:$M$48=EVENTOS!$C23)*(OFFSET(CÁLCULO!$AA$15:$AA$48,0,Q$13))),2),0)</f>
        <v>0</v>
      </c>
      <c r="R23" s="620" cm="1">
        <f t="array" aca="1" ref="R23" ca="1">IF(AUTOEVENTO="Manual",ROUND(SUMPRODUCT((CÁLCULO!$M$15:$M$48=EVENTOS!$C23)*(OFFSET(CÁLCULO!$AA$15:$AA$48,0,R$13))),2),0)</f>
        <v>0</v>
      </c>
      <c r="S23" s="620" cm="1">
        <f t="array" aca="1" ref="S23" ca="1">IF(AUTOEVENTO="Manual",ROUND(SUMPRODUCT((CÁLCULO!$M$15:$M$48=EVENTOS!$C23)*(OFFSET(CÁLCULO!$AA$15:$AA$48,0,S$13))),2),0)</f>
        <v>0</v>
      </c>
      <c r="T23" s="620" cm="1">
        <f t="array" aca="1" ref="T23" ca="1">IF(AUTOEVENTO="Manual",ROUND(SUMPRODUCT((CÁLCULO!$M$15:$M$48=EVENTOS!$C23)*(OFFSET(CÁLCULO!$AA$15:$AA$48,0,T$13))),2),0)</f>
        <v>0</v>
      </c>
      <c r="U23" s="620" cm="1">
        <f t="array" aca="1" ref="U23" ca="1">IF(AUTOEVENTO="Manual",ROUND(SUMPRODUCT((CÁLCULO!$M$15:$M$48=EVENTOS!$C23)*(OFFSET(CÁLCULO!$AA$15:$AA$48,0,U$13))),2),0)</f>
        <v>0</v>
      </c>
      <c r="V23" s="620" cm="1">
        <f t="array" aca="1" ref="V23" ca="1">IF(AUTOEVENTO="Manual",ROUND(SUMPRODUCT((CÁLCULO!$M$15:$M$48=EVENTOS!$C23)*(OFFSET(CÁLCULO!$AA$15:$AA$48,0,V$13))),2),0)</f>
        <v>0</v>
      </c>
      <c r="W23" s="620" cm="1">
        <f t="array" aca="1" ref="W23" ca="1">IF(AUTOEVENTO="Manual",ROUND(SUMPRODUCT((CÁLCULO!$M$15:$M$48=EVENTOS!$C23)*(OFFSET(CÁLCULO!$AA$15:$AA$48,0,W$13))),2),0)</f>
        <v>0</v>
      </c>
      <c r="X23" s="620" cm="1">
        <f t="array" aca="1" ref="X23" ca="1">IF(AUTOEVENTO="Manual",ROUND(SUMPRODUCT((CÁLCULO!$M$15:$M$48=EVENTOS!$C23)*(OFFSET(CÁLCULO!$AA$15:$AA$48,0,X$13))),2),0)</f>
        <v>0</v>
      </c>
      <c r="Y23" s="620" cm="1">
        <f t="array" aca="1" ref="Y23" ca="1">IF(AUTOEVENTO="Manual",ROUND(SUMPRODUCT((CÁLCULO!$M$15:$M$48=EVENTOS!$C23)*(OFFSET(CÁLCULO!$AA$15:$AA$48,0,Y$13))),2),0)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IF(AUTOEVENTO="Manual",ROUND(SUMPRODUCT((CÁLCULO!$M$15:$M$48=EVENTOS!$C24)*(OFFSET(CÁLCULO!$AA$15:$AA$48,0,E$13))),2),0)</f>
        <v>0</v>
      </c>
      <c r="F24" s="183">
        <f ca="1">IF(AUTOEVENTO="Manual",ROUND(SUMPRODUCT((CÁLCULO!$M$15:$M$48=EVENTOS!$C24)*(OFFSET(CÁLCULO!$AA$15,0,1):OFFSET(CÁLCULO!$AL$48,0,-1))),2),0)</f>
        <v>0</v>
      </c>
      <c r="G24" s="621" t="str">
        <f t="shared" ca="1" si="5"/>
        <v/>
      </c>
      <c r="H24" s="620" cm="1">
        <f t="array" aca="1" ref="H24" ca="1">IF(AUTOEVENTO="Manual",ROUND(SUMPRODUCT((CÁLCULO!$M$15:$M$48=EVENTOS!$C24)*(OFFSET(CÁLCULO!$AA$15:$AA$48,0,H$13))),2),0)</f>
        <v>0</v>
      </c>
      <c r="I24" s="620" cm="1">
        <f t="array" aca="1" ref="I24" ca="1">IF(AUTOEVENTO="Manual",ROUND(SUMPRODUCT((CÁLCULO!$M$15:$M$48=EVENTOS!$C24)*(OFFSET(CÁLCULO!$AA$15:$AA$48,0,I$13))),2),0)</f>
        <v>0</v>
      </c>
      <c r="J24" s="620" cm="1">
        <f t="array" aca="1" ref="J24" ca="1">IF(AUTOEVENTO="Manual",ROUND(SUMPRODUCT((CÁLCULO!$M$15:$M$48=EVENTOS!$C24)*(OFFSET(CÁLCULO!$AA$15:$AA$48,0,J$13))),2),0)</f>
        <v>0</v>
      </c>
      <c r="K24" s="620" cm="1">
        <f t="array" aca="1" ref="K24" ca="1">IF(AUTOEVENTO="Manual",ROUND(SUMPRODUCT((CÁLCULO!$M$15:$M$48=EVENTOS!$C24)*(OFFSET(CÁLCULO!$AA$15:$AA$48,0,K$13))),2),0)</f>
        <v>0</v>
      </c>
      <c r="L24" s="620" cm="1">
        <f t="array" aca="1" ref="L24" ca="1">IF(AUTOEVENTO="Manual",ROUND(SUMPRODUCT((CÁLCULO!$M$15:$M$48=EVENTOS!$C24)*(OFFSET(CÁLCULO!$AA$15:$AA$48,0,L$13))),2),0)</f>
        <v>0</v>
      </c>
      <c r="M24" s="620" cm="1">
        <f t="array" aca="1" ref="M24" ca="1">IF(AUTOEVENTO="Manual",ROUND(SUMPRODUCT((CÁLCULO!$M$15:$M$48=EVENTOS!$C24)*(OFFSET(CÁLCULO!$AA$15:$AA$48,0,M$13))),2),0)</f>
        <v>0</v>
      </c>
      <c r="N24" s="620" cm="1">
        <f t="array" aca="1" ref="N24" ca="1">IF(AUTOEVENTO="Manual",ROUND(SUMPRODUCT((CÁLCULO!$M$15:$M$48=EVENTOS!$C24)*(OFFSET(CÁLCULO!$AA$15:$AA$48,0,N$13))),2),0)</f>
        <v>0</v>
      </c>
      <c r="O24" s="620" cm="1">
        <f t="array" aca="1" ref="O24" ca="1">IF(AUTOEVENTO="Manual",ROUND(SUMPRODUCT((CÁLCULO!$M$15:$M$48=EVENTOS!$C24)*(OFFSET(CÁLCULO!$AA$15:$AA$48,0,O$13))),2),0)</f>
        <v>0</v>
      </c>
      <c r="P24" s="620" cm="1">
        <f t="array" aca="1" ref="P24" ca="1">IF(AUTOEVENTO="Manual",ROUND(SUMPRODUCT((CÁLCULO!$M$15:$M$48=EVENTOS!$C24)*(OFFSET(CÁLCULO!$AA$15:$AA$48,0,P$13))),2),0)</f>
        <v>0</v>
      </c>
      <c r="Q24" s="620" cm="1">
        <f t="array" aca="1" ref="Q24" ca="1">IF(AUTOEVENTO="Manual",ROUND(SUMPRODUCT((CÁLCULO!$M$15:$M$48=EVENTOS!$C24)*(OFFSET(CÁLCULO!$AA$15:$AA$48,0,Q$13))),2),0)</f>
        <v>0</v>
      </c>
      <c r="R24" s="620" cm="1">
        <f t="array" aca="1" ref="R24" ca="1">IF(AUTOEVENTO="Manual",ROUND(SUMPRODUCT((CÁLCULO!$M$15:$M$48=EVENTOS!$C24)*(OFFSET(CÁLCULO!$AA$15:$AA$48,0,R$13))),2),0)</f>
        <v>0</v>
      </c>
      <c r="S24" s="620" cm="1">
        <f t="array" aca="1" ref="S24" ca="1">IF(AUTOEVENTO="Manual",ROUND(SUMPRODUCT((CÁLCULO!$M$15:$M$48=EVENTOS!$C24)*(OFFSET(CÁLCULO!$AA$15:$AA$48,0,S$13))),2),0)</f>
        <v>0</v>
      </c>
      <c r="T24" s="620" cm="1">
        <f t="array" aca="1" ref="T24" ca="1">IF(AUTOEVENTO="Manual",ROUND(SUMPRODUCT((CÁLCULO!$M$15:$M$48=EVENTOS!$C24)*(OFFSET(CÁLCULO!$AA$15:$AA$48,0,T$13))),2),0)</f>
        <v>0</v>
      </c>
      <c r="U24" s="620" cm="1">
        <f t="array" aca="1" ref="U24" ca="1">IF(AUTOEVENTO="Manual",ROUND(SUMPRODUCT((CÁLCULO!$M$15:$M$48=EVENTOS!$C24)*(OFFSET(CÁLCULO!$AA$15:$AA$48,0,U$13))),2),0)</f>
        <v>0</v>
      </c>
      <c r="V24" s="620" cm="1">
        <f t="array" aca="1" ref="V24" ca="1">IF(AUTOEVENTO="Manual",ROUND(SUMPRODUCT((CÁLCULO!$M$15:$M$48=EVENTOS!$C24)*(OFFSET(CÁLCULO!$AA$15:$AA$48,0,V$13))),2),0)</f>
        <v>0</v>
      </c>
      <c r="W24" s="620" cm="1">
        <f t="array" aca="1" ref="W24" ca="1">IF(AUTOEVENTO="Manual",ROUND(SUMPRODUCT((CÁLCULO!$M$15:$M$48=EVENTOS!$C24)*(OFFSET(CÁLCULO!$AA$15:$AA$48,0,W$13))),2),0)</f>
        <v>0</v>
      </c>
      <c r="X24" s="620" cm="1">
        <f t="array" aca="1" ref="X24" ca="1">IF(AUTOEVENTO="Manual",ROUND(SUMPRODUCT((CÁLCULO!$M$15:$M$48=EVENTOS!$C24)*(OFFSET(CÁLCULO!$AA$15:$AA$48,0,X$13))),2),0)</f>
        <v>0</v>
      </c>
      <c r="Y24" s="620" cm="1">
        <f t="array" aca="1" ref="Y24" ca="1">IF(AUTOEVENTO="Manual",ROUND(SUMPRODUCT((CÁLCULO!$M$15:$M$48=EVENTOS!$C24)*(OFFSET(CÁLCULO!$AA$15:$AA$48,0,Y$13))),2),0)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IF(AUTOEVENTO="Manual",ROUND(SUMPRODUCT((CÁLCULO!$M$15:$M$48=EVENTOS!$C25)*(OFFSET(CÁLCULO!$AA$15:$AA$48,0,E$13))),2),0)</f>
        <v>0</v>
      </c>
      <c r="F25" s="183">
        <f ca="1">IF(AUTOEVENTO="Manual",ROUND(SUMPRODUCT((CÁLCULO!$M$15:$M$48=EVENTOS!$C25)*(OFFSET(CÁLCULO!$AA$15,0,1):OFFSET(CÁLCULO!$AL$48,0,-1))),2),0)</f>
        <v>0</v>
      </c>
      <c r="G25" s="621" t="str">
        <f t="shared" ca="1" si="5"/>
        <v/>
      </c>
      <c r="H25" s="620" cm="1">
        <f t="array" aca="1" ref="H25" ca="1">IF(AUTOEVENTO="Manual",ROUND(SUMPRODUCT((CÁLCULO!$M$15:$M$48=EVENTOS!$C25)*(OFFSET(CÁLCULO!$AA$15:$AA$48,0,H$13))),2),0)</f>
        <v>0</v>
      </c>
      <c r="I25" s="620" cm="1">
        <f t="array" aca="1" ref="I25" ca="1">IF(AUTOEVENTO="Manual",ROUND(SUMPRODUCT((CÁLCULO!$M$15:$M$48=EVENTOS!$C25)*(OFFSET(CÁLCULO!$AA$15:$AA$48,0,I$13))),2),0)</f>
        <v>0</v>
      </c>
      <c r="J25" s="620" cm="1">
        <f t="array" aca="1" ref="J25" ca="1">IF(AUTOEVENTO="Manual",ROUND(SUMPRODUCT((CÁLCULO!$M$15:$M$48=EVENTOS!$C25)*(OFFSET(CÁLCULO!$AA$15:$AA$48,0,J$13))),2),0)</f>
        <v>0</v>
      </c>
      <c r="K25" s="620" cm="1">
        <f t="array" aca="1" ref="K25" ca="1">IF(AUTOEVENTO="Manual",ROUND(SUMPRODUCT((CÁLCULO!$M$15:$M$48=EVENTOS!$C25)*(OFFSET(CÁLCULO!$AA$15:$AA$48,0,K$13))),2),0)</f>
        <v>0</v>
      </c>
      <c r="L25" s="620" cm="1">
        <f t="array" aca="1" ref="L25" ca="1">IF(AUTOEVENTO="Manual",ROUND(SUMPRODUCT((CÁLCULO!$M$15:$M$48=EVENTOS!$C25)*(OFFSET(CÁLCULO!$AA$15:$AA$48,0,L$13))),2),0)</f>
        <v>0</v>
      </c>
      <c r="M25" s="620" cm="1">
        <f t="array" aca="1" ref="M25" ca="1">IF(AUTOEVENTO="Manual",ROUND(SUMPRODUCT((CÁLCULO!$M$15:$M$48=EVENTOS!$C25)*(OFFSET(CÁLCULO!$AA$15:$AA$48,0,M$13))),2),0)</f>
        <v>0</v>
      </c>
      <c r="N25" s="620" cm="1">
        <f t="array" aca="1" ref="N25" ca="1">IF(AUTOEVENTO="Manual",ROUND(SUMPRODUCT((CÁLCULO!$M$15:$M$48=EVENTOS!$C25)*(OFFSET(CÁLCULO!$AA$15:$AA$48,0,N$13))),2),0)</f>
        <v>0</v>
      </c>
      <c r="O25" s="620" cm="1">
        <f t="array" aca="1" ref="O25" ca="1">IF(AUTOEVENTO="Manual",ROUND(SUMPRODUCT((CÁLCULO!$M$15:$M$48=EVENTOS!$C25)*(OFFSET(CÁLCULO!$AA$15:$AA$48,0,O$13))),2),0)</f>
        <v>0</v>
      </c>
      <c r="P25" s="620" cm="1">
        <f t="array" aca="1" ref="P25" ca="1">IF(AUTOEVENTO="Manual",ROUND(SUMPRODUCT((CÁLCULO!$M$15:$M$48=EVENTOS!$C25)*(OFFSET(CÁLCULO!$AA$15:$AA$48,0,P$13))),2),0)</f>
        <v>0</v>
      </c>
      <c r="Q25" s="620" cm="1">
        <f t="array" aca="1" ref="Q25" ca="1">IF(AUTOEVENTO="Manual",ROUND(SUMPRODUCT((CÁLCULO!$M$15:$M$48=EVENTOS!$C25)*(OFFSET(CÁLCULO!$AA$15:$AA$48,0,Q$13))),2),0)</f>
        <v>0</v>
      </c>
      <c r="R25" s="620" cm="1">
        <f t="array" aca="1" ref="R25" ca="1">IF(AUTOEVENTO="Manual",ROUND(SUMPRODUCT((CÁLCULO!$M$15:$M$48=EVENTOS!$C25)*(OFFSET(CÁLCULO!$AA$15:$AA$48,0,R$13))),2),0)</f>
        <v>0</v>
      </c>
      <c r="S25" s="620" cm="1">
        <f t="array" aca="1" ref="S25" ca="1">IF(AUTOEVENTO="Manual",ROUND(SUMPRODUCT((CÁLCULO!$M$15:$M$48=EVENTOS!$C25)*(OFFSET(CÁLCULO!$AA$15:$AA$48,0,S$13))),2),0)</f>
        <v>0</v>
      </c>
      <c r="T25" s="620" cm="1">
        <f t="array" aca="1" ref="T25" ca="1">IF(AUTOEVENTO="Manual",ROUND(SUMPRODUCT((CÁLCULO!$M$15:$M$48=EVENTOS!$C25)*(OFFSET(CÁLCULO!$AA$15:$AA$48,0,T$13))),2),0)</f>
        <v>0</v>
      </c>
      <c r="U25" s="620" cm="1">
        <f t="array" aca="1" ref="U25" ca="1">IF(AUTOEVENTO="Manual",ROUND(SUMPRODUCT((CÁLCULO!$M$15:$M$48=EVENTOS!$C25)*(OFFSET(CÁLCULO!$AA$15:$AA$48,0,U$13))),2),0)</f>
        <v>0</v>
      </c>
      <c r="V25" s="620" cm="1">
        <f t="array" aca="1" ref="V25" ca="1">IF(AUTOEVENTO="Manual",ROUND(SUMPRODUCT((CÁLCULO!$M$15:$M$48=EVENTOS!$C25)*(OFFSET(CÁLCULO!$AA$15:$AA$48,0,V$13))),2),0)</f>
        <v>0</v>
      </c>
      <c r="W25" s="620" cm="1">
        <f t="array" aca="1" ref="W25" ca="1">IF(AUTOEVENTO="Manual",ROUND(SUMPRODUCT((CÁLCULO!$M$15:$M$48=EVENTOS!$C25)*(OFFSET(CÁLCULO!$AA$15:$AA$48,0,W$13))),2),0)</f>
        <v>0</v>
      </c>
      <c r="X25" s="620" cm="1">
        <f t="array" aca="1" ref="X25" ca="1">IF(AUTOEVENTO="Manual",ROUND(SUMPRODUCT((CÁLCULO!$M$15:$M$48=EVENTOS!$C25)*(OFFSET(CÁLCULO!$AA$15:$AA$48,0,X$13))),2),0)</f>
        <v>0</v>
      </c>
      <c r="Y25" s="620" cm="1">
        <f t="array" aca="1" ref="Y25" ca="1">IF(AUTOEVENTO="Manual",ROUND(SUMPRODUCT((CÁLCULO!$M$15:$M$48=EVENTOS!$C25)*(OFFSET(CÁLCULO!$AA$15:$AA$48,0,Y$13))),2),0)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IF(AUTOEVENTO="Manual",ROUND(SUMPRODUCT((CÁLCULO!$M$15:$M$48=EVENTOS!$C26)*(OFFSET(CÁLCULO!$AA$15:$AA$48,0,E$13))),2),0)</f>
        <v>0</v>
      </c>
      <c r="F26" s="183">
        <f ca="1">IF(AUTOEVENTO="Manual",ROUND(SUMPRODUCT((CÁLCULO!$M$15:$M$48=EVENTOS!$C26)*(OFFSET(CÁLCULO!$AA$15,0,1):OFFSET(CÁLCULO!$AL$48,0,-1))),2),0)</f>
        <v>0</v>
      </c>
      <c r="G26" s="621" t="str">
        <f t="shared" ca="1" si="5"/>
        <v/>
      </c>
      <c r="H26" s="620" cm="1">
        <f t="array" aca="1" ref="H26" ca="1">IF(AUTOEVENTO="Manual",ROUND(SUMPRODUCT((CÁLCULO!$M$15:$M$48=EVENTOS!$C26)*(OFFSET(CÁLCULO!$AA$15:$AA$48,0,H$13))),2),0)</f>
        <v>0</v>
      </c>
      <c r="I26" s="620" cm="1">
        <f t="array" aca="1" ref="I26" ca="1">IF(AUTOEVENTO="Manual",ROUND(SUMPRODUCT((CÁLCULO!$M$15:$M$48=EVENTOS!$C26)*(OFFSET(CÁLCULO!$AA$15:$AA$48,0,I$13))),2),0)</f>
        <v>0</v>
      </c>
      <c r="J26" s="620" cm="1">
        <f t="array" aca="1" ref="J26" ca="1">IF(AUTOEVENTO="Manual",ROUND(SUMPRODUCT((CÁLCULO!$M$15:$M$48=EVENTOS!$C26)*(OFFSET(CÁLCULO!$AA$15:$AA$48,0,J$13))),2),0)</f>
        <v>0</v>
      </c>
      <c r="K26" s="620" cm="1">
        <f t="array" aca="1" ref="K26" ca="1">IF(AUTOEVENTO="Manual",ROUND(SUMPRODUCT((CÁLCULO!$M$15:$M$48=EVENTOS!$C26)*(OFFSET(CÁLCULO!$AA$15:$AA$48,0,K$13))),2),0)</f>
        <v>0</v>
      </c>
      <c r="L26" s="620" cm="1">
        <f t="array" aca="1" ref="L26" ca="1">IF(AUTOEVENTO="Manual",ROUND(SUMPRODUCT((CÁLCULO!$M$15:$M$48=EVENTOS!$C26)*(OFFSET(CÁLCULO!$AA$15:$AA$48,0,L$13))),2),0)</f>
        <v>0</v>
      </c>
      <c r="M26" s="620" cm="1">
        <f t="array" aca="1" ref="M26" ca="1">IF(AUTOEVENTO="Manual",ROUND(SUMPRODUCT((CÁLCULO!$M$15:$M$48=EVENTOS!$C26)*(OFFSET(CÁLCULO!$AA$15:$AA$48,0,M$13))),2),0)</f>
        <v>0</v>
      </c>
      <c r="N26" s="620" cm="1">
        <f t="array" aca="1" ref="N26" ca="1">IF(AUTOEVENTO="Manual",ROUND(SUMPRODUCT((CÁLCULO!$M$15:$M$48=EVENTOS!$C26)*(OFFSET(CÁLCULO!$AA$15:$AA$48,0,N$13))),2),0)</f>
        <v>0</v>
      </c>
      <c r="O26" s="620" cm="1">
        <f t="array" aca="1" ref="O26" ca="1">IF(AUTOEVENTO="Manual",ROUND(SUMPRODUCT((CÁLCULO!$M$15:$M$48=EVENTOS!$C26)*(OFFSET(CÁLCULO!$AA$15:$AA$48,0,O$13))),2),0)</f>
        <v>0</v>
      </c>
      <c r="P26" s="620" cm="1">
        <f t="array" aca="1" ref="P26" ca="1">IF(AUTOEVENTO="Manual",ROUND(SUMPRODUCT((CÁLCULO!$M$15:$M$48=EVENTOS!$C26)*(OFFSET(CÁLCULO!$AA$15:$AA$48,0,P$13))),2),0)</f>
        <v>0</v>
      </c>
      <c r="Q26" s="620" cm="1">
        <f t="array" aca="1" ref="Q26" ca="1">IF(AUTOEVENTO="Manual",ROUND(SUMPRODUCT((CÁLCULO!$M$15:$M$48=EVENTOS!$C26)*(OFFSET(CÁLCULO!$AA$15:$AA$48,0,Q$13))),2),0)</f>
        <v>0</v>
      </c>
      <c r="R26" s="620" cm="1">
        <f t="array" aca="1" ref="R26" ca="1">IF(AUTOEVENTO="Manual",ROUND(SUMPRODUCT((CÁLCULO!$M$15:$M$48=EVENTOS!$C26)*(OFFSET(CÁLCULO!$AA$15:$AA$48,0,R$13))),2),0)</f>
        <v>0</v>
      </c>
      <c r="S26" s="620" cm="1">
        <f t="array" aca="1" ref="S26" ca="1">IF(AUTOEVENTO="Manual",ROUND(SUMPRODUCT((CÁLCULO!$M$15:$M$48=EVENTOS!$C26)*(OFFSET(CÁLCULO!$AA$15:$AA$48,0,S$13))),2),0)</f>
        <v>0</v>
      </c>
      <c r="T26" s="620" cm="1">
        <f t="array" aca="1" ref="T26" ca="1">IF(AUTOEVENTO="Manual",ROUND(SUMPRODUCT((CÁLCULO!$M$15:$M$48=EVENTOS!$C26)*(OFFSET(CÁLCULO!$AA$15:$AA$48,0,T$13))),2),0)</f>
        <v>0</v>
      </c>
      <c r="U26" s="620" cm="1">
        <f t="array" aca="1" ref="U26" ca="1">IF(AUTOEVENTO="Manual",ROUND(SUMPRODUCT((CÁLCULO!$M$15:$M$48=EVENTOS!$C26)*(OFFSET(CÁLCULO!$AA$15:$AA$48,0,U$13))),2),0)</f>
        <v>0</v>
      </c>
      <c r="V26" s="620" cm="1">
        <f t="array" aca="1" ref="V26" ca="1">IF(AUTOEVENTO="Manual",ROUND(SUMPRODUCT((CÁLCULO!$M$15:$M$48=EVENTOS!$C26)*(OFFSET(CÁLCULO!$AA$15:$AA$48,0,V$13))),2),0)</f>
        <v>0</v>
      </c>
      <c r="W26" s="620" cm="1">
        <f t="array" aca="1" ref="W26" ca="1">IF(AUTOEVENTO="Manual",ROUND(SUMPRODUCT((CÁLCULO!$M$15:$M$48=EVENTOS!$C26)*(OFFSET(CÁLCULO!$AA$15:$AA$48,0,W$13))),2),0)</f>
        <v>0</v>
      </c>
      <c r="X26" s="620" cm="1">
        <f t="array" aca="1" ref="X26" ca="1">IF(AUTOEVENTO="Manual",ROUND(SUMPRODUCT((CÁLCULO!$M$15:$M$48=EVENTOS!$C26)*(OFFSET(CÁLCULO!$AA$15:$AA$48,0,X$13))),2),0)</f>
        <v>0</v>
      </c>
      <c r="Y26" s="620" cm="1">
        <f t="array" aca="1" ref="Y26" ca="1">IF(AUTOEVENTO="Manual",ROUND(SUMPRODUCT((CÁLCULO!$M$15:$M$48=EVENTOS!$C26)*(OFFSET(CÁLCULO!$AA$15:$AA$48,0,Y$13))),2),0)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IF(AUTOEVENTO="Manual",ROUND(SUMPRODUCT((CÁLCULO!$M$15:$M$48=EVENTOS!$C27)*(OFFSET(CÁLCULO!$AA$15:$AA$48,0,E$13))),2),0)</f>
        <v>0</v>
      </c>
      <c r="F27" s="183">
        <f ca="1">IF(AUTOEVENTO="Manual",ROUND(SUMPRODUCT((CÁLCULO!$M$15:$M$48=EVENTOS!$C27)*(OFFSET(CÁLCULO!$AA$15,0,1):OFFSET(CÁLCULO!$AL$48,0,-1))),2),0)</f>
        <v>0</v>
      </c>
      <c r="G27" s="621" t="str">
        <f t="shared" ca="1" si="5"/>
        <v/>
      </c>
      <c r="H27" s="620" cm="1">
        <f t="array" aca="1" ref="H27" ca="1">IF(AUTOEVENTO="Manual",ROUND(SUMPRODUCT((CÁLCULO!$M$15:$M$48=EVENTOS!$C27)*(OFFSET(CÁLCULO!$AA$15:$AA$48,0,H$13))),2),0)</f>
        <v>0</v>
      </c>
      <c r="I27" s="620" cm="1">
        <f t="array" aca="1" ref="I27" ca="1">IF(AUTOEVENTO="Manual",ROUND(SUMPRODUCT((CÁLCULO!$M$15:$M$48=EVENTOS!$C27)*(OFFSET(CÁLCULO!$AA$15:$AA$48,0,I$13))),2),0)</f>
        <v>0</v>
      </c>
      <c r="J27" s="620" cm="1">
        <f t="array" aca="1" ref="J27" ca="1">IF(AUTOEVENTO="Manual",ROUND(SUMPRODUCT((CÁLCULO!$M$15:$M$48=EVENTOS!$C27)*(OFFSET(CÁLCULO!$AA$15:$AA$48,0,J$13))),2),0)</f>
        <v>0</v>
      </c>
      <c r="K27" s="620" cm="1">
        <f t="array" aca="1" ref="K27" ca="1">IF(AUTOEVENTO="Manual",ROUND(SUMPRODUCT((CÁLCULO!$M$15:$M$48=EVENTOS!$C27)*(OFFSET(CÁLCULO!$AA$15:$AA$48,0,K$13))),2),0)</f>
        <v>0</v>
      </c>
      <c r="L27" s="620" cm="1">
        <f t="array" aca="1" ref="L27" ca="1">IF(AUTOEVENTO="Manual",ROUND(SUMPRODUCT((CÁLCULO!$M$15:$M$48=EVENTOS!$C27)*(OFFSET(CÁLCULO!$AA$15:$AA$48,0,L$13))),2),0)</f>
        <v>0</v>
      </c>
      <c r="M27" s="620" cm="1">
        <f t="array" aca="1" ref="M27" ca="1">IF(AUTOEVENTO="Manual",ROUND(SUMPRODUCT((CÁLCULO!$M$15:$M$48=EVENTOS!$C27)*(OFFSET(CÁLCULO!$AA$15:$AA$48,0,M$13))),2),0)</f>
        <v>0</v>
      </c>
      <c r="N27" s="620" cm="1">
        <f t="array" aca="1" ref="N27" ca="1">IF(AUTOEVENTO="Manual",ROUND(SUMPRODUCT((CÁLCULO!$M$15:$M$48=EVENTOS!$C27)*(OFFSET(CÁLCULO!$AA$15:$AA$48,0,N$13))),2),0)</f>
        <v>0</v>
      </c>
      <c r="O27" s="620" cm="1">
        <f t="array" aca="1" ref="O27" ca="1">IF(AUTOEVENTO="Manual",ROUND(SUMPRODUCT((CÁLCULO!$M$15:$M$48=EVENTOS!$C27)*(OFFSET(CÁLCULO!$AA$15:$AA$48,0,O$13))),2),0)</f>
        <v>0</v>
      </c>
      <c r="P27" s="620" cm="1">
        <f t="array" aca="1" ref="P27" ca="1">IF(AUTOEVENTO="Manual",ROUND(SUMPRODUCT((CÁLCULO!$M$15:$M$48=EVENTOS!$C27)*(OFFSET(CÁLCULO!$AA$15:$AA$48,0,P$13))),2),0)</f>
        <v>0</v>
      </c>
      <c r="Q27" s="620" cm="1">
        <f t="array" aca="1" ref="Q27" ca="1">IF(AUTOEVENTO="Manual",ROUND(SUMPRODUCT((CÁLCULO!$M$15:$M$48=EVENTOS!$C27)*(OFFSET(CÁLCULO!$AA$15:$AA$48,0,Q$13))),2),0)</f>
        <v>0</v>
      </c>
      <c r="R27" s="620" cm="1">
        <f t="array" aca="1" ref="R27" ca="1">IF(AUTOEVENTO="Manual",ROUND(SUMPRODUCT((CÁLCULO!$M$15:$M$48=EVENTOS!$C27)*(OFFSET(CÁLCULO!$AA$15:$AA$48,0,R$13))),2),0)</f>
        <v>0</v>
      </c>
      <c r="S27" s="620" cm="1">
        <f t="array" aca="1" ref="S27" ca="1">IF(AUTOEVENTO="Manual",ROUND(SUMPRODUCT((CÁLCULO!$M$15:$M$48=EVENTOS!$C27)*(OFFSET(CÁLCULO!$AA$15:$AA$48,0,S$13))),2),0)</f>
        <v>0</v>
      </c>
      <c r="T27" s="620" cm="1">
        <f t="array" aca="1" ref="T27" ca="1">IF(AUTOEVENTO="Manual",ROUND(SUMPRODUCT((CÁLCULO!$M$15:$M$48=EVENTOS!$C27)*(OFFSET(CÁLCULO!$AA$15:$AA$48,0,T$13))),2),0)</f>
        <v>0</v>
      </c>
      <c r="U27" s="620" cm="1">
        <f t="array" aca="1" ref="U27" ca="1">IF(AUTOEVENTO="Manual",ROUND(SUMPRODUCT((CÁLCULO!$M$15:$M$48=EVENTOS!$C27)*(OFFSET(CÁLCULO!$AA$15:$AA$48,0,U$13))),2),0)</f>
        <v>0</v>
      </c>
      <c r="V27" s="620" cm="1">
        <f t="array" aca="1" ref="V27" ca="1">IF(AUTOEVENTO="Manual",ROUND(SUMPRODUCT((CÁLCULO!$M$15:$M$48=EVENTOS!$C27)*(OFFSET(CÁLCULO!$AA$15:$AA$48,0,V$13))),2),0)</f>
        <v>0</v>
      </c>
      <c r="W27" s="620" cm="1">
        <f t="array" aca="1" ref="W27" ca="1">IF(AUTOEVENTO="Manual",ROUND(SUMPRODUCT((CÁLCULO!$M$15:$M$48=EVENTOS!$C27)*(OFFSET(CÁLCULO!$AA$15:$AA$48,0,W$13))),2),0)</f>
        <v>0</v>
      </c>
      <c r="X27" s="620" cm="1">
        <f t="array" aca="1" ref="X27" ca="1">IF(AUTOEVENTO="Manual",ROUND(SUMPRODUCT((CÁLCULO!$M$15:$M$48=EVENTOS!$C27)*(OFFSET(CÁLCULO!$AA$15:$AA$48,0,X$13))),2),0)</f>
        <v>0</v>
      </c>
      <c r="Y27" s="620" cm="1">
        <f t="array" aca="1" ref="Y27" ca="1">IF(AUTOEVENTO="Manual",ROUND(SUMPRODUCT((CÁLCULO!$M$15:$M$48=EVENTOS!$C27)*(OFFSET(CÁLCULO!$AA$15:$AA$48,0,Y$13))),2),0)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IF(AUTOEVENTO="Manual",ROUND(SUMPRODUCT((CÁLCULO!$M$15:$M$48=EVENTOS!$C28)*(OFFSET(CÁLCULO!$AA$15:$AA$48,0,E$13))),2),0)</f>
        <v>0</v>
      </c>
      <c r="F28" s="183">
        <f ca="1">IF(AUTOEVENTO="Manual",ROUND(SUMPRODUCT((CÁLCULO!$M$15:$M$48=EVENTOS!$C28)*(OFFSET(CÁLCULO!$AA$15,0,1):OFFSET(CÁLCULO!$AL$48,0,-1))),2),0)</f>
        <v>0</v>
      </c>
      <c r="G28" s="621" t="str">
        <f t="shared" ca="1" si="5"/>
        <v/>
      </c>
      <c r="H28" s="620" cm="1">
        <f t="array" aca="1" ref="H28" ca="1">IF(AUTOEVENTO="Manual",ROUND(SUMPRODUCT((CÁLCULO!$M$15:$M$48=EVENTOS!$C28)*(OFFSET(CÁLCULO!$AA$15:$AA$48,0,H$13))),2),0)</f>
        <v>0</v>
      </c>
      <c r="I28" s="620" cm="1">
        <f t="array" aca="1" ref="I28" ca="1">IF(AUTOEVENTO="Manual",ROUND(SUMPRODUCT((CÁLCULO!$M$15:$M$48=EVENTOS!$C28)*(OFFSET(CÁLCULO!$AA$15:$AA$48,0,I$13))),2),0)</f>
        <v>0</v>
      </c>
      <c r="J28" s="620" cm="1">
        <f t="array" aca="1" ref="J28" ca="1">IF(AUTOEVENTO="Manual",ROUND(SUMPRODUCT((CÁLCULO!$M$15:$M$48=EVENTOS!$C28)*(OFFSET(CÁLCULO!$AA$15:$AA$48,0,J$13))),2),0)</f>
        <v>0</v>
      </c>
      <c r="K28" s="620" cm="1">
        <f t="array" aca="1" ref="K28" ca="1">IF(AUTOEVENTO="Manual",ROUND(SUMPRODUCT((CÁLCULO!$M$15:$M$48=EVENTOS!$C28)*(OFFSET(CÁLCULO!$AA$15:$AA$48,0,K$13))),2),0)</f>
        <v>0</v>
      </c>
      <c r="L28" s="620" cm="1">
        <f t="array" aca="1" ref="L28" ca="1">IF(AUTOEVENTO="Manual",ROUND(SUMPRODUCT((CÁLCULO!$M$15:$M$48=EVENTOS!$C28)*(OFFSET(CÁLCULO!$AA$15:$AA$48,0,L$13))),2),0)</f>
        <v>0</v>
      </c>
      <c r="M28" s="620" cm="1">
        <f t="array" aca="1" ref="M28" ca="1">IF(AUTOEVENTO="Manual",ROUND(SUMPRODUCT((CÁLCULO!$M$15:$M$48=EVENTOS!$C28)*(OFFSET(CÁLCULO!$AA$15:$AA$48,0,M$13))),2),0)</f>
        <v>0</v>
      </c>
      <c r="N28" s="620" cm="1">
        <f t="array" aca="1" ref="N28" ca="1">IF(AUTOEVENTO="Manual",ROUND(SUMPRODUCT((CÁLCULO!$M$15:$M$48=EVENTOS!$C28)*(OFFSET(CÁLCULO!$AA$15:$AA$48,0,N$13))),2),0)</f>
        <v>0</v>
      </c>
      <c r="O28" s="620" cm="1">
        <f t="array" aca="1" ref="O28" ca="1">IF(AUTOEVENTO="Manual",ROUND(SUMPRODUCT((CÁLCULO!$M$15:$M$48=EVENTOS!$C28)*(OFFSET(CÁLCULO!$AA$15:$AA$48,0,O$13))),2),0)</f>
        <v>0</v>
      </c>
      <c r="P28" s="620" cm="1">
        <f t="array" aca="1" ref="P28" ca="1">IF(AUTOEVENTO="Manual",ROUND(SUMPRODUCT((CÁLCULO!$M$15:$M$48=EVENTOS!$C28)*(OFFSET(CÁLCULO!$AA$15:$AA$48,0,P$13))),2),0)</f>
        <v>0</v>
      </c>
      <c r="Q28" s="620" cm="1">
        <f t="array" aca="1" ref="Q28" ca="1">IF(AUTOEVENTO="Manual",ROUND(SUMPRODUCT((CÁLCULO!$M$15:$M$48=EVENTOS!$C28)*(OFFSET(CÁLCULO!$AA$15:$AA$48,0,Q$13))),2),0)</f>
        <v>0</v>
      </c>
      <c r="R28" s="620" cm="1">
        <f t="array" aca="1" ref="R28" ca="1">IF(AUTOEVENTO="Manual",ROUND(SUMPRODUCT((CÁLCULO!$M$15:$M$48=EVENTOS!$C28)*(OFFSET(CÁLCULO!$AA$15:$AA$48,0,R$13))),2),0)</f>
        <v>0</v>
      </c>
      <c r="S28" s="620" cm="1">
        <f t="array" aca="1" ref="S28" ca="1">IF(AUTOEVENTO="Manual",ROUND(SUMPRODUCT((CÁLCULO!$M$15:$M$48=EVENTOS!$C28)*(OFFSET(CÁLCULO!$AA$15:$AA$48,0,S$13))),2),0)</f>
        <v>0</v>
      </c>
      <c r="T28" s="620" cm="1">
        <f t="array" aca="1" ref="T28" ca="1">IF(AUTOEVENTO="Manual",ROUND(SUMPRODUCT((CÁLCULO!$M$15:$M$48=EVENTOS!$C28)*(OFFSET(CÁLCULO!$AA$15:$AA$48,0,T$13))),2),0)</f>
        <v>0</v>
      </c>
      <c r="U28" s="620" cm="1">
        <f t="array" aca="1" ref="U28" ca="1">IF(AUTOEVENTO="Manual",ROUND(SUMPRODUCT((CÁLCULO!$M$15:$M$48=EVENTOS!$C28)*(OFFSET(CÁLCULO!$AA$15:$AA$48,0,U$13))),2),0)</f>
        <v>0</v>
      </c>
      <c r="V28" s="620" cm="1">
        <f t="array" aca="1" ref="V28" ca="1">IF(AUTOEVENTO="Manual",ROUND(SUMPRODUCT((CÁLCULO!$M$15:$M$48=EVENTOS!$C28)*(OFFSET(CÁLCULO!$AA$15:$AA$48,0,V$13))),2),0)</f>
        <v>0</v>
      </c>
      <c r="W28" s="620" cm="1">
        <f t="array" aca="1" ref="W28" ca="1">IF(AUTOEVENTO="Manual",ROUND(SUMPRODUCT((CÁLCULO!$M$15:$M$48=EVENTOS!$C28)*(OFFSET(CÁLCULO!$AA$15:$AA$48,0,W$13))),2),0)</f>
        <v>0</v>
      </c>
      <c r="X28" s="620" cm="1">
        <f t="array" aca="1" ref="X28" ca="1">IF(AUTOEVENTO="Manual",ROUND(SUMPRODUCT((CÁLCULO!$M$15:$M$48=EVENTOS!$C28)*(OFFSET(CÁLCULO!$AA$15:$AA$48,0,X$13))),2),0)</f>
        <v>0</v>
      </c>
      <c r="Y28" s="620" cm="1">
        <f t="array" aca="1" ref="Y28" ca="1">IF(AUTOEVENTO="Manual",ROUND(SUMPRODUCT((CÁLCULO!$M$15:$M$48=EVENTOS!$C28)*(OFFSET(CÁLCULO!$AA$15:$AA$48,0,Y$13))),2),0)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IF(AUTOEVENTO="Manual",ROUND(SUMPRODUCT((CÁLCULO!$M$15:$M$48=EVENTOS!$C29)*(OFFSET(CÁLCULO!$AA$15:$AA$48,0,E$13))),2),0)</f>
        <v>0</v>
      </c>
      <c r="F29" s="183">
        <f ca="1">IF(AUTOEVENTO="Manual",ROUND(SUMPRODUCT((CÁLCULO!$M$15:$M$48=EVENTOS!$C29)*(OFFSET(CÁLCULO!$AA$15,0,1):OFFSET(CÁLCULO!$AL$48,0,-1))),2),0)</f>
        <v>0</v>
      </c>
      <c r="G29" s="621" t="str">
        <f t="shared" ca="1" si="5"/>
        <v/>
      </c>
      <c r="H29" s="620" cm="1">
        <f t="array" aca="1" ref="H29" ca="1">IF(AUTOEVENTO="Manual",ROUND(SUMPRODUCT((CÁLCULO!$M$15:$M$48=EVENTOS!$C29)*(OFFSET(CÁLCULO!$AA$15:$AA$48,0,H$13))),2),0)</f>
        <v>0</v>
      </c>
      <c r="I29" s="620" cm="1">
        <f t="array" aca="1" ref="I29" ca="1">IF(AUTOEVENTO="Manual",ROUND(SUMPRODUCT((CÁLCULO!$M$15:$M$48=EVENTOS!$C29)*(OFFSET(CÁLCULO!$AA$15:$AA$48,0,I$13))),2),0)</f>
        <v>0</v>
      </c>
      <c r="J29" s="620" cm="1">
        <f t="array" aca="1" ref="J29" ca="1">IF(AUTOEVENTO="Manual",ROUND(SUMPRODUCT((CÁLCULO!$M$15:$M$48=EVENTOS!$C29)*(OFFSET(CÁLCULO!$AA$15:$AA$48,0,J$13))),2),0)</f>
        <v>0</v>
      </c>
      <c r="K29" s="620" cm="1">
        <f t="array" aca="1" ref="K29" ca="1">IF(AUTOEVENTO="Manual",ROUND(SUMPRODUCT((CÁLCULO!$M$15:$M$48=EVENTOS!$C29)*(OFFSET(CÁLCULO!$AA$15:$AA$48,0,K$13))),2),0)</f>
        <v>0</v>
      </c>
      <c r="L29" s="620" cm="1">
        <f t="array" aca="1" ref="L29" ca="1">IF(AUTOEVENTO="Manual",ROUND(SUMPRODUCT((CÁLCULO!$M$15:$M$48=EVENTOS!$C29)*(OFFSET(CÁLCULO!$AA$15:$AA$48,0,L$13))),2),0)</f>
        <v>0</v>
      </c>
      <c r="M29" s="620" cm="1">
        <f t="array" aca="1" ref="M29" ca="1">IF(AUTOEVENTO="Manual",ROUND(SUMPRODUCT((CÁLCULO!$M$15:$M$48=EVENTOS!$C29)*(OFFSET(CÁLCULO!$AA$15:$AA$48,0,M$13))),2),0)</f>
        <v>0</v>
      </c>
      <c r="N29" s="620" cm="1">
        <f t="array" aca="1" ref="N29" ca="1">IF(AUTOEVENTO="Manual",ROUND(SUMPRODUCT((CÁLCULO!$M$15:$M$48=EVENTOS!$C29)*(OFFSET(CÁLCULO!$AA$15:$AA$48,0,N$13))),2),0)</f>
        <v>0</v>
      </c>
      <c r="O29" s="620" cm="1">
        <f t="array" aca="1" ref="O29" ca="1">IF(AUTOEVENTO="Manual",ROUND(SUMPRODUCT((CÁLCULO!$M$15:$M$48=EVENTOS!$C29)*(OFFSET(CÁLCULO!$AA$15:$AA$48,0,O$13))),2),0)</f>
        <v>0</v>
      </c>
      <c r="P29" s="620" cm="1">
        <f t="array" aca="1" ref="P29" ca="1">IF(AUTOEVENTO="Manual",ROUND(SUMPRODUCT((CÁLCULO!$M$15:$M$48=EVENTOS!$C29)*(OFFSET(CÁLCULO!$AA$15:$AA$48,0,P$13))),2),0)</f>
        <v>0</v>
      </c>
      <c r="Q29" s="620" cm="1">
        <f t="array" aca="1" ref="Q29" ca="1">IF(AUTOEVENTO="Manual",ROUND(SUMPRODUCT((CÁLCULO!$M$15:$M$48=EVENTOS!$C29)*(OFFSET(CÁLCULO!$AA$15:$AA$48,0,Q$13))),2),0)</f>
        <v>0</v>
      </c>
      <c r="R29" s="620" cm="1">
        <f t="array" aca="1" ref="R29" ca="1">IF(AUTOEVENTO="Manual",ROUND(SUMPRODUCT((CÁLCULO!$M$15:$M$48=EVENTOS!$C29)*(OFFSET(CÁLCULO!$AA$15:$AA$48,0,R$13))),2),0)</f>
        <v>0</v>
      </c>
      <c r="S29" s="620" cm="1">
        <f t="array" aca="1" ref="S29" ca="1">IF(AUTOEVENTO="Manual",ROUND(SUMPRODUCT((CÁLCULO!$M$15:$M$48=EVENTOS!$C29)*(OFFSET(CÁLCULO!$AA$15:$AA$48,0,S$13))),2),0)</f>
        <v>0</v>
      </c>
      <c r="T29" s="620" cm="1">
        <f t="array" aca="1" ref="T29" ca="1">IF(AUTOEVENTO="Manual",ROUND(SUMPRODUCT((CÁLCULO!$M$15:$M$48=EVENTOS!$C29)*(OFFSET(CÁLCULO!$AA$15:$AA$48,0,T$13))),2),0)</f>
        <v>0</v>
      </c>
      <c r="U29" s="620" cm="1">
        <f t="array" aca="1" ref="U29" ca="1">IF(AUTOEVENTO="Manual",ROUND(SUMPRODUCT((CÁLCULO!$M$15:$M$48=EVENTOS!$C29)*(OFFSET(CÁLCULO!$AA$15:$AA$48,0,U$13))),2),0)</f>
        <v>0</v>
      </c>
      <c r="V29" s="620" cm="1">
        <f t="array" aca="1" ref="V29" ca="1">IF(AUTOEVENTO="Manual",ROUND(SUMPRODUCT((CÁLCULO!$M$15:$M$48=EVENTOS!$C29)*(OFFSET(CÁLCULO!$AA$15:$AA$48,0,V$13))),2),0)</f>
        <v>0</v>
      </c>
      <c r="W29" s="620" cm="1">
        <f t="array" aca="1" ref="W29" ca="1">IF(AUTOEVENTO="Manual",ROUND(SUMPRODUCT((CÁLCULO!$M$15:$M$48=EVENTOS!$C29)*(OFFSET(CÁLCULO!$AA$15:$AA$48,0,W$13))),2),0)</f>
        <v>0</v>
      </c>
      <c r="X29" s="620" cm="1">
        <f t="array" aca="1" ref="X29" ca="1">IF(AUTOEVENTO="Manual",ROUND(SUMPRODUCT((CÁLCULO!$M$15:$M$48=EVENTOS!$C29)*(OFFSET(CÁLCULO!$AA$15:$AA$48,0,X$13))),2),0)</f>
        <v>0</v>
      </c>
      <c r="Y29" s="620" cm="1">
        <f t="array" aca="1" ref="Y29" ca="1">IF(AUTOEVENTO="Manual",ROUND(SUMPRODUCT((CÁLCULO!$M$15:$M$48=EVENTOS!$C29)*(OFFSET(CÁLCULO!$AA$15:$AA$48,0,Y$13))),2),0)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IF(AUTOEVENTO="Manual",ROUND(SUMPRODUCT((CÁLCULO!$M$15:$M$48=EVENTOS!$C30)*(OFFSET(CÁLCULO!$AA$15:$AA$48,0,E$13))),2),0)</f>
        <v>0</v>
      </c>
      <c r="F30" s="183">
        <f ca="1">IF(AUTOEVENTO="Manual",ROUND(SUMPRODUCT((CÁLCULO!$M$15:$M$48=EVENTOS!$C30)*(OFFSET(CÁLCULO!$AA$15,0,1):OFFSET(CÁLCULO!$AL$48,0,-1))),2),0)</f>
        <v>0</v>
      </c>
      <c r="G30" s="621" t="str">
        <f t="shared" ca="1" si="5"/>
        <v/>
      </c>
      <c r="H30" s="620" cm="1">
        <f t="array" aca="1" ref="H30" ca="1">IF(AUTOEVENTO="Manual",ROUND(SUMPRODUCT((CÁLCULO!$M$15:$M$48=EVENTOS!$C30)*(OFFSET(CÁLCULO!$AA$15:$AA$48,0,H$13))),2),0)</f>
        <v>0</v>
      </c>
      <c r="I30" s="620" cm="1">
        <f t="array" aca="1" ref="I30" ca="1">IF(AUTOEVENTO="Manual",ROUND(SUMPRODUCT((CÁLCULO!$M$15:$M$48=EVENTOS!$C30)*(OFFSET(CÁLCULO!$AA$15:$AA$48,0,I$13))),2),0)</f>
        <v>0</v>
      </c>
      <c r="J30" s="620" cm="1">
        <f t="array" aca="1" ref="J30" ca="1">IF(AUTOEVENTO="Manual",ROUND(SUMPRODUCT((CÁLCULO!$M$15:$M$48=EVENTOS!$C30)*(OFFSET(CÁLCULO!$AA$15:$AA$48,0,J$13))),2),0)</f>
        <v>0</v>
      </c>
      <c r="K30" s="620" cm="1">
        <f t="array" aca="1" ref="K30" ca="1">IF(AUTOEVENTO="Manual",ROUND(SUMPRODUCT((CÁLCULO!$M$15:$M$48=EVENTOS!$C30)*(OFFSET(CÁLCULO!$AA$15:$AA$48,0,K$13))),2),0)</f>
        <v>0</v>
      </c>
      <c r="L30" s="620" cm="1">
        <f t="array" aca="1" ref="L30" ca="1">IF(AUTOEVENTO="Manual",ROUND(SUMPRODUCT((CÁLCULO!$M$15:$M$48=EVENTOS!$C30)*(OFFSET(CÁLCULO!$AA$15:$AA$48,0,L$13))),2),0)</f>
        <v>0</v>
      </c>
      <c r="M30" s="620" cm="1">
        <f t="array" aca="1" ref="M30" ca="1">IF(AUTOEVENTO="Manual",ROUND(SUMPRODUCT((CÁLCULO!$M$15:$M$48=EVENTOS!$C30)*(OFFSET(CÁLCULO!$AA$15:$AA$48,0,M$13))),2),0)</f>
        <v>0</v>
      </c>
      <c r="N30" s="620" cm="1">
        <f t="array" aca="1" ref="N30" ca="1">IF(AUTOEVENTO="Manual",ROUND(SUMPRODUCT((CÁLCULO!$M$15:$M$48=EVENTOS!$C30)*(OFFSET(CÁLCULO!$AA$15:$AA$48,0,N$13))),2),0)</f>
        <v>0</v>
      </c>
      <c r="O30" s="620" cm="1">
        <f t="array" aca="1" ref="O30" ca="1">IF(AUTOEVENTO="Manual",ROUND(SUMPRODUCT((CÁLCULO!$M$15:$M$48=EVENTOS!$C30)*(OFFSET(CÁLCULO!$AA$15:$AA$48,0,O$13))),2),0)</f>
        <v>0</v>
      </c>
      <c r="P30" s="620" cm="1">
        <f t="array" aca="1" ref="P30" ca="1">IF(AUTOEVENTO="Manual",ROUND(SUMPRODUCT((CÁLCULO!$M$15:$M$48=EVENTOS!$C30)*(OFFSET(CÁLCULO!$AA$15:$AA$48,0,P$13))),2),0)</f>
        <v>0</v>
      </c>
      <c r="Q30" s="620" cm="1">
        <f t="array" aca="1" ref="Q30" ca="1">IF(AUTOEVENTO="Manual",ROUND(SUMPRODUCT((CÁLCULO!$M$15:$M$48=EVENTOS!$C30)*(OFFSET(CÁLCULO!$AA$15:$AA$48,0,Q$13))),2),0)</f>
        <v>0</v>
      </c>
      <c r="R30" s="620" cm="1">
        <f t="array" aca="1" ref="R30" ca="1">IF(AUTOEVENTO="Manual",ROUND(SUMPRODUCT((CÁLCULO!$M$15:$M$48=EVENTOS!$C30)*(OFFSET(CÁLCULO!$AA$15:$AA$48,0,R$13))),2),0)</f>
        <v>0</v>
      </c>
      <c r="S30" s="620" cm="1">
        <f t="array" aca="1" ref="S30" ca="1">IF(AUTOEVENTO="Manual",ROUND(SUMPRODUCT((CÁLCULO!$M$15:$M$48=EVENTOS!$C30)*(OFFSET(CÁLCULO!$AA$15:$AA$48,0,S$13))),2),0)</f>
        <v>0</v>
      </c>
      <c r="T30" s="620" cm="1">
        <f t="array" aca="1" ref="T30" ca="1">IF(AUTOEVENTO="Manual",ROUND(SUMPRODUCT((CÁLCULO!$M$15:$M$48=EVENTOS!$C30)*(OFFSET(CÁLCULO!$AA$15:$AA$48,0,T$13))),2),0)</f>
        <v>0</v>
      </c>
      <c r="U30" s="620" cm="1">
        <f t="array" aca="1" ref="U30" ca="1">IF(AUTOEVENTO="Manual",ROUND(SUMPRODUCT((CÁLCULO!$M$15:$M$48=EVENTOS!$C30)*(OFFSET(CÁLCULO!$AA$15:$AA$48,0,U$13))),2),0)</f>
        <v>0</v>
      </c>
      <c r="V30" s="620" cm="1">
        <f t="array" aca="1" ref="V30" ca="1">IF(AUTOEVENTO="Manual",ROUND(SUMPRODUCT((CÁLCULO!$M$15:$M$48=EVENTOS!$C30)*(OFFSET(CÁLCULO!$AA$15:$AA$48,0,V$13))),2),0)</f>
        <v>0</v>
      </c>
      <c r="W30" s="620" cm="1">
        <f t="array" aca="1" ref="W30" ca="1">IF(AUTOEVENTO="Manual",ROUND(SUMPRODUCT((CÁLCULO!$M$15:$M$48=EVENTOS!$C30)*(OFFSET(CÁLCULO!$AA$15:$AA$48,0,W$13))),2),0)</f>
        <v>0</v>
      </c>
      <c r="X30" s="620" cm="1">
        <f t="array" aca="1" ref="X30" ca="1">IF(AUTOEVENTO="Manual",ROUND(SUMPRODUCT((CÁLCULO!$M$15:$M$48=EVENTOS!$C30)*(OFFSET(CÁLCULO!$AA$15:$AA$48,0,X$13))),2),0)</f>
        <v>0</v>
      </c>
      <c r="Y30" s="620" cm="1">
        <f t="array" aca="1" ref="Y30" ca="1">IF(AUTOEVENTO="Manual",ROUND(SUMPRODUCT((CÁLCULO!$M$15:$M$48=EVENTOS!$C30)*(OFFSET(CÁLCULO!$AA$15:$AA$48,0,Y$13))),2),0)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IF(AUTOEVENTO="Manual",ROUND(SUMPRODUCT((CÁLCULO!$M$15:$M$48=EVENTOS!$C31)*(OFFSET(CÁLCULO!$AA$15:$AA$48,0,E$13))),2),0)</f>
        <v>0</v>
      </c>
      <c r="F31" s="183">
        <f ca="1">IF(AUTOEVENTO="Manual",ROUND(SUMPRODUCT((CÁLCULO!$M$15:$M$48=EVENTOS!$C31)*(OFFSET(CÁLCULO!$AA$15,0,1):OFFSET(CÁLCULO!$AL$48,0,-1))),2),0)</f>
        <v>0</v>
      </c>
      <c r="G31" s="621" t="str">
        <f t="shared" ca="1" si="5"/>
        <v/>
      </c>
      <c r="H31" s="620" cm="1">
        <f t="array" aca="1" ref="H31" ca="1">IF(AUTOEVENTO="Manual",ROUND(SUMPRODUCT((CÁLCULO!$M$15:$M$48=EVENTOS!$C31)*(OFFSET(CÁLCULO!$AA$15:$AA$48,0,H$13))),2),0)</f>
        <v>0</v>
      </c>
      <c r="I31" s="620" cm="1">
        <f t="array" aca="1" ref="I31" ca="1">IF(AUTOEVENTO="Manual",ROUND(SUMPRODUCT((CÁLCULO!$M$15:$M$48=EVENTOS!$C31)*(OFFSET(CÁLCULO!$AA$15:$AA$48,0,I$13))),2),0)</f>
        <v>0</v>
      </c>
      <c r="J31" s="620" cm="1">
        <f t="array" aca="1" ref="J31" ca="1">IF(AUTOEVENTO="Manual",ROUND(SUMPRODUCT((CÁLCULO!$M$15:$M$48=EVENTOS!$C31)*(OFFSET(CÁLCULO!$AA$15:$AA$48,0,J$13))),2),0)</f>
        <v>0</v>
      </c>
      <c r="K31" s="620" cm="1">
        <f t="array" aca="1" ref="K31" ca="1">IF(AUTOEVENTO="Manual",ROUND(SUMPRODUCT((CÁLCULO!$M$15:$M$48=EVENTOS!$C31)*(OFFSET(CÁLCULO!$AA$15:$AA$48,0,K$13))),2),0)</f>
        <v>0</v>
      </c>
      <c r="L31" s="620" cm="1">
        <f t="array" aca="1" ref="L31" ca="1">IF(AUTOEVENTO="Manual",ROUND(SUMPRODUCT((CÁLCULO!$M$15:$M$48=EVENTOS!$C31)*(OFFSET(CÁLCULO!$AA$15:$AA$48,0,L$13))),2),0)</f>
        <v>0</v>
      </c>
      <c r="M31" s="620" cm="1">
        <f t="array" aca="1" ref="M31" ca="1">IF(AUTOEVENTO="Manual",ROUND(SUMPRODUCT((CÁLCULO!$M$15:$M$48=EVENTOS!$C31)*(OFFSET(CÁLCULO!$AA$15:$AA$48,0,M$13))),2),0)</f>
        <v>0</v>
      </c>
      <c r="N31" s="620" cm="1">
        <f t="array" aca="1" ref="N31" ca="1">IF(AUTOEVENTO="Manual",ROUND(SUMPRODUCT((CÁLCULO!$M$15:$M$48=EVENTOS!$C31)*(OFFSET(CÁLCULO!$AA$15:$AA$48,0,N$13))),2),0)</f>
        <v>0</v>
      </c>
      <c r="O31" s="620" cm="1">
        <f t="array" aca="1" ref="O31" ca="1">IF(AUTOEVENTO="Manual",ROUND(SUMPRODUCT((CÁLCULO!$M$15:$M$48=EVENTOS!$C31)*(OFFSET(CÁLCULO!$AA$15:$AA$48,0,O$13))),2),0)</f>
        <v>0</v>
      </c>
      <c r="P31" s="620" cm="1">
        <f t="array" aca="1" ref="P31" ca="1">IF(AUTOEVENTO="Manual",ROUND(SUMPRODUCT((CÁLCULO!$M$15:$M$48=EVENTOS!$C31)*(OFFSET(CÁLCULO!$AA$15:$AA$48,0,P$13))),2),0)</f>
        <v>0</v>
      </c>
      <c r="Q31" s="620" cm="1">
        <f t="array" aca="1" ref="Q31" ca="1">IF(AUTOEVENTO="Manual",ROUND(SUMPRODUCT((CÁLCULO!$M$15:$M$48=EVENTOS!$C31)*(OFFSET(CÁLCULO!$AA$15:$AA$48,0,Q$13))),2),0)</f>
        <v>0</v>
      </c>
      <c r="R31" s="620" cm="1">
        <f t="array" aca="1" ref="R31" ca="1">IF(AUTOEVENTO="Manual",ROUND(SUMPRODUCT((CÁLCULO!$M$15:$M$48=EVENTOS!$C31)*(OFFSET(CÁLCULO!$AA$15:$AA$48,0,R$13))),2),0)</f>
        <v>0</v>
      </c>
      <c r="S31" s="620" cm="1">
        <f t="array" aca="1" ref="S31" ca="1">IF(AUTOEVENTO="Manual",ROUND(SUMPRODUCT((CÁLCULO!$M$15:$M$48=EVENTOS!$C31)*(OFFSET(CÁLCULO!$AA$15:$AA$48,0,S$13))),2),0)</f>
        <v>0</v>
      </c>
      <c r="T31" s="620" cm="1">
        <f t="array" aca="1" ref="T31" ca="1">IF(AUTOEVENTO="Manual",ROUND(SUMPRODUCT((CÁLCULO!$M$15:$M$48=EVENTOS!$C31)*(OFFSET(CÁLCULO!$AA$15:$AA$48,0,T$13))),2),0)</f>
        <v>0</v>
      </c>
      <c r="U31" s="620" cm="1">
        <f t="array" aca="1" ref="U31" ca="1">IF(AUTOEVENTO="Manual",ROUND(SUMPRODUCT((CÁLCULO!$M$15:$M$48=EVENTOS!$C31)*(OFFSET(CÁLCULO!$AA$15:$AA$48,0,U$13))),2),0)</f>
        <v>0</v>
      </c>
      <c r="V31" s="620" cm="1">
        <f t="array" aca="1" ref="V31" ca="1">IF(AUTOEVENTO="Manual",ROUND(SUMPRODUCT((CÁLCULO!$M$15:$M$48=EVENTOS!$C31)*(OFFSET(CÁLCULO!$AA$15:$AA$48,0,V$13))),2),0)</f>
        <v>0</v>
      </c>
      <c r="W31" s="620" cm="1">
        <f t="array" aca="1" ref="W31" ca="1">IF(AUTOEVENTO="Manual",ROUND(SUMPRODUCT((CÁLCULO!$M$15:$M$48=EVENTOS!$C31)*(OFFSET(CÁLCULO!$AA$15:$AA$48,0,W$13))),2),0)</f>
        <v>0</v>
      </c>
      <c r="X31" s="620" cm="1">
        <f t="array" aca="1" ref="X31" ca="1">IF(AUTOEVENTO="Manual",ROUND(SUMPRODUCT((CÁLCULO!$M$15:$M$48=EVENTOS!$C31)*(OFFSET(CÁLCULO!$AA$15:$AA$48,0,X$13))),2),0)</f>
        <v>0</v>
      </c>
      <c r="Y31" s="620" cm="1">
        <f t="array" aca="1" ref="Y31" ca="1">IF(AUTOEVENTO="Manual",ROUND(SUMPRODUCT((CÁLCULO!$M$15:$M$48=EVENTOS!$C31)*(OFFSET(CÁLCULO!$AA$15:$AA$48,0,Y$13))),2),0)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IF(AUTOEVENTO="Manual",ROUND(SUMPRODUCT((CÁLCULO!$M$15:$M$48=EVENTOS!$C32)*(OFFSET(CÁLCULO!$AA$15:$AA$48,0,E$13))),2),0)</f>
        <v>0</v>
      </c>
      <c r="F32" s="183">
        <f ca="1">IF(AUTOEVENTO="Manual",ROUND(SUMPRODUCT((CÁLCULO!$M$15:$M$48=EVENTOS!$C32)*(OFFSET(CÁLCULO!$AA$15,0,1):OFFSET(CÁLCULO!$AL$48,0,-1))),2),0)</f>
        <v>0</v>
      </c>
      <c r="G32" s="621" t="str">
        <f t="shared" ca="1" si="5"/>
        <v/>
      </c>
      <c r="H32" s="620" cm="1">
        <f t="array" aca="1" ref="H32" ca="1">IF(AUTOEVENTO="Manual",ROUND(SUMPRODUCT((CÁLCULO!$M$15:$M$48=EVENTOS!$C32)*(OFFSET(CÁLCULO!$AA$15:$AA$48,0,H$13))),2),0)</f>
        <v>0</v>
      </c>
      <c r="I32" s="620" cm="1">
        <f t="array" aca="1" ref="I32" ca="1">IF(AUTOEVENTO="Manual",ROUND(SUMPRODUCT((CÁLCULO!$M$15:$M$48=EVENTOS!$C32)*(OFFSET(CÁLCULO!$AA$15:$AA$48,0,I$13))),2),0)</f>
        <v>0</v>
      </c>
      <c r="J32" s="620" cm="1">
        <f t="array" aca="1" ref="J32" ca="1">IF(AUTOEVENTO="Manual",ROUND(SUMPRODUCT((CÁLCULO!$M$15:$M$48=EVENTOS!$C32)*(OFFSET(CÁLCULO!$AA$15:$AA$48,0,J$13))),2),0)</f>
        <v>0</v>
      </c>
      <c r="K32" s="620" cm="1">
        <f t="array" aca="1" ref="K32" ca="1">IF(AUTOEVENTO="Manual",ROUND(SUMPRODUCT((CÁLCULO!$M$15:$M$48=EVENTOS!$C32)*(OFFSET(CÁLCULO!$AA$15:$AA$48,0,K$13))),2),0)</f>
        <v>0</v>
      </c>
      <c r="L32" s="620" cm="1">
        <f t="array" aca="1" ref="L32" ca="1">IF(AUTOEVENTO="Manual",ROUND(SUMPRODUCT((CÁLCULO!$M$15:$M$48=EVENTOS!$C32)*(OFFSET(CÁLCULO!$AA$15:$AA$48,0,L$13))),2),0)</f>
        <v>0</v>
      </c>
      <c r="M32" s="620" cm="1">
        <f t="array" aca="1" ref="M32" ca="1">IF(AUTOEVENTO="Manual",ROUND(SUMPRODUCT((CÁLCULO!$M$15:$M$48=EVENTOS!$C32)*(OFFSET(CÁLCULO!$AA$15:$AA$48,0,M$13))),2),0)</f>
        <v>0</v>
      </c>
      <c r="N32" s="620" cm="1">
        <f t="array" aca="1" ref="N32" ca="1">IF(AUTOEVENTO="Manual",ROUND(SUMPRODUCT((CÁLCULO!$M$15:$M$48=EVENTOS!$C32)*(OFFSET(CÁLCULO!$AA$15:$AA$48,0,N$13))),2),0)</f>
        <v>0</v>
      </c>
      <c r="O32" s="620" cm="1">
        <f t="array" aca="1" ref="O32" ca="1">IF(AUTOEVENTO="Manual",ROUND(SUMPRODUCT((CÁLCULO!$M$15:$M$48=EVENTOS!$C32)*(OFFSET(CÁLCULO!$AA$15:$AA$48,0,O$13))),2),0)</f>
        <v>0</v>
      </c>
      <c r="P32" s="620" cm="1">
        <f t="array" aca="1" ref="P32" ca="1">IF(AUTOEVENTO="Manual",ROUND(SUMPRODUCT((CÁLCULO!$M$15:$M$48=EVENTOS!$C32)*(OFFSET(CÁLCULO!$AA$15:$AA$48,0,P$13))),2),0)</f>
        <v>0</v>
      </c>
      <c r="Q32" s="620" cm="1">
        <f t="array" aca="1" ref="Q32" ca="1">IF(AUTOEVENTO="Manual",ROUND(SUMPRODUCT((CÁLCULO!$M$15:$M$48=EVENTOS!$C32)*(OFFSET(CÁLCULO!$AA$15:$AA$48,0,Q$13))),2),0)</f>
        <v>0</v>
      </c>
      <c r="R32" s="620" cm="1">
        <f t="array" aca="1" ref="R32" ca="1">IF(AUTOEVENTO="Manual",ROUND(SUMPRODUCT((CÁLCULO!$M$15:$M$48=EVENTOS!$C32)*(OFFSET(CÁLCULO!$AA$15:$AA$48,0,R$13))),2),0)</f>
        <v>0</v>
      </c>
      <c r="S32" s="620" cm="1">
        <f t="array" aca="1" ref="S32" ca="1">IF(AUTOEVENTO="Manual",ROUND(SUMPRODUCT((CÁLCULO!$M$15:$M$48=EVENTOS!$C32)*(OFFSET(CÁLCULO!$AA$15:$AA$48,0,S$13))),2),0)</f>
        <v>0</v>
      </c>
      <c r="T32" s="620" cm="1">
        <f t="array" aca="1" ref="T32" ca="1">IF(AUTOEVENTO="Manual",ROUND(SUMPRODUCT((CÁLCULO!$M$15:$M$48=EVENTOS!$C32)*(OFFSET(CÁLCULO!$AA$15:$AA$48,0,T$13))),2),0)</f>
        <v>0</v>
      </c>
      <c r="U32" s="620" cm="1">
        <f t="array" aca="1" ref="U32" ca="1">IF(AUTOEVENTO="Manual",ROUND(SUMPRODUCT((CÁLCULO!$M$15:$M$48=EVENTOS!$C32)*(OFFSET(CÁLCULO!$AA$15:$AA$48,0,U$13))),2),0)</f>
        <v>0</v>
      </c>
      <c r="V32" s="620" cm="1">
        <f t="array" aca="1" ref="V32" ca="1">IF(AUTOEVENTO="Manual",ROUND(SUMPRODUCT((CÁLCULO!$M$15:$M$48=EVENTOS!$C32)*(OFFSET(CÁLCULO!$AA$15:$AA$48,0,V$13))),2),0)</f>
        <v>0</v>
      </c>
      <c r="W32" s="620" cm="1">
        <f t="array" aca="1" ref="W32" ca="1">IF(AUTOEVENTO="Manual",ROUND(SUMPRODUCT((CÁLCULO!$M$15:$M$48=EVENTOS!$C32)*(OFFSET(CÁLCULO!$AA$15:$AA$48,0,W$13))),2),0)</f>
        <v>0</v>
      </c>
      <c r="X32" s="620" cm="1">
        <f t="array" aca="1" ref="X32" ca="1">IF(AUTOEVENTO="Manual",ROUND(SUMPRODUCT((CÁLCULO!$M$15:$M$48=EVENTOS!$C32)*(OFFSET(CÁLCULO!$AA$15:$AA$48,0,X$13))),2),0)</f>
        <v>0</v>
      </c>
      <c r="Y32" s="620" cm="1">
        <f t="array" aca="1" ref="Y32" ca="1">IF(AUTOEVENTO="Manual",ROUND(SUMPRODUCT((CÁLCULO!$M$15:$M$48=EVENTOS!$C32)*(OFFSET(CÁLCULO!$AA$15:$AA$48,0,Y$13))),2),0)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IF(AUTOEVENTO="Manual",ROUND(SUMPRODUCT((CÁLCULO!$M$15:$M$48=EVENTOS!$C33)*(OFFSET(CÁLCULO!$AA$15:$AA$48,0,E$13))),2),0)</f>
        <v>0</v>
      </c>
      <c r="F33" s="183">
        <f ca="1">IF(AUTOEVENTO="Manual",ROUND(SUMPRODUCT((CÁLCULO!$M$15:$M$48=EVENTOS!$C33)*(OFFSET(CÁLCULO!$AA$15,0,1):OFFSET(CÁLCULO!$AL$48,0,-1))),2),0)</f>
        <v>0</v>
      </c>
      <c r="G33" s="621" t="str">
        <f t="shared" ca="1" si="5"/>
        <v/>
      </c>
      <c r="H33" s="620" cm="1">
        <f t="array" aca="1" ref="H33" ca="1">IF(AUTOEVENTO="Manual",ROUND(SUMPRODUCT((CÁLCULO!$M$15:$M$48=EVENTOS!$C33)*(OFFSET(CÁLCULO!$AA$15:$AA$48,0,H$13))),2),0)</f>
        <v>0</v>
      </c>
      <c r="I33" s="620" cm="1">
        <f t="array" aca="1" ref="I33" ca="1">IF(AUTOEVENTO="Manual",ROUND(SUMPRODUCT((CÁLCULO!$M$15:$M$48=EVENTOS!$C33)*(OFFSET(CÁLCULO!$AA$15:$AA$48,0,I$13))),2),0)</f>
        <v>0</v>
      </c>
      <c r="J33" s="620" cm="1">
        <f t="array" aca="1" ref="J33" ca="1">IF(AUTOEVENTO="Manual",ROUND(SUMPRODUCT((CÁLCULO!$M$15:$M$48=EVENTOS!$C33)*(OFFSET(CÁLCULO!$AA$15:$AA$48,0,J$13))),2),0)</f>
        <v>0</v>
      </c>
      <c r="K33" s="620" cm="1">
        <f t="array" aca="1" ref="K33" ca="1">IF(AUTOEVENTO="Manual",ROUND(SUMPRODUCT((CÁLCULO!$M$15:$M$48=EVENTOS!$C33)*(OFFSET(CÁLCULO!$AA$15:$AA$48,0,K$13))),2),0)</f>
        <v>0</v>
      </c>
      <c r="L33" s="620" cm="1">
        <f t="array" aca="1" ref="L33" ca="1">IF(AUTOEVENTO="Manual",ROUND(SUMPRODUCT((CÁLCULO!$M$15:$M$48=EVENTOS!$C33)*(OFFSET(CÁLCULO!$AA$15:$AA$48,0,L$13))),2),0)</f>
        <v>0</v>
      </c>
      <c r="M33" s="620" cm="1">
        <f t="array" aca="1" ref="M33" ca="1">IF(AUTOEVENTO="Manual",ROUND(SUMPRODUCT((CÁLCULO!$M$15:$M$48=EVENTOS!$C33)*(OFFSET(CÁLCULO!$AA$15:$AA$48,0,M$13))),2),0)</f>
        <v>0</v>
      </c>
      <c r="N33" s="620" cm="1">
        <f t="array" aca="1" ref="N33" ca="1">IF(AUTOEVENTO="Manual",ROUND(SUMPRODUCT((CÁLCULO!$M$15:$M$48=EVENTOS!$C33)*(OFFSET(CÁLCULO!$AA$15:$AA$48,0,N$13))),2),0)</f>
        <v>0</v>
      </c>
      <c r="O33" s="620" cm="1">
        <f t="array" aca="1" ref="O33" ca="1">IF(AUTOEVENTO="Manual",ROUND(SUMPRODUCT((CÁLCULO!$M$15:$M$48=EVENTOS!$C33)*(OFFSET(CÁLCULO!$AA$15:$AA$48,0,O$13))),2),0)</f>
        <v>0</v>
      </c>
      <c r="P33" s="620" cm="1">
        <f t="array" aca="1" ref="P33" ca="1">IF(AUTOEVENTO="Manual",ROUND(SUMPRODUCT((CÁLCULO!$M$15:$M$48=EVENTOS!$C33)*(OFFSET(CÁLCULO!$AA$15:$AA$48,0,P$13))),2),0)</f>
        <v>0</v>
      </c>
      <c r="Q33" s="620" cm="1">
        <f t="array" aca="1" ref="Q33" ca="1">IF(AUTOEVENTO="Manual",ROUND(SUMPRODUCT((CÁLCULO!$M$15:$M$48=EVENTOS!$C33)*(OFFSET(CÁLCULO!$AA$15:$AA$48,0,Q$13))),2),0)</f>
        <v>0</v>
      </c>
      <c r="R33" s="620" cm="1">
        <f t="array" aca="1" ref="R33" ca="1">IF(AUTOEVENTO="Manual",ROUND(SUMPRODUCT((CÁLCULO!$M$15:$M$48=EVENTOS!$C33)*(OFFSET(CÁLCULO!$AA$15:$AA$48,0,R$13))),2),0)</f>
        <v>0</v>
      </c>
      <c r="S33" s="620" cm="1">
        <f t="array" aca="1" ref="S33" ca="1">IF(AUTOEVENTO="Manual",ROUND(SUMPRODUCT((CÁLCULO!$M$15:$M$48=EVENTOS!$C33)*(OFFSET(CÁLCULO!$AA$15:$AA$48,0,S$13))),2),0)</f>
        <v>0</v>
      </c>
      <c r="T33" s="620" cm="1">
        <f t="array" aca="1" ref="T33" ca="1">IF(AUTOEVENTO="Manual",ROUND(SUMPRODUCT((CÁLCULO!$M$15:$M$48=EVENTOS!$C33)*(OFFSET(CÁLCULO!$AA$15:$AA$48,0,T$13))),2),0)</f>
        <v>0</v>
      </c>
      <c r="U33" s="620" cm="1">
        <f t="array" aca="1" ref="U33" ca="1">IF(AUTOEVENTO="Manual",ROUND(SUMPRODUCT((CÁLCULO!$M$15:$M$48=EVENTOS!$C33)*(OFFSET(CÁLCULO!$AA$15:$AA$48,0,U$13))),2),0)</f>
        <v>0</v>
      </c>
      <c r="V33" s="620" cm="1">
        <f t="array" aca="1" ref="V33" ca="1">IF(AUTOEVENTO="Manual",ROUND(SUMPRODUCT((CÁLCULO!$M$15:$M$48=EVENTOS!$C33)*(OFFSET(CÁLCULO!$AA$15:$AA$48,0,V$13))),2),0)</f>
        <v>0</v>
      </c>
      <c r="W33" s="620" cm="1">
        <f t="array" aca="1" ref="W33" ca="1">IF(AUTOEVENTO="Manual",ROUND(SUMPRODUCT((CÁLCULO!$M$15:$M$48=EVENTOS!$C33)*(OFFSET(CÁLCULO!$AA$15:$AA$48,0,W$13))),2),0)</f>
        <v>0</v>
      </c>
      <c r="X33" s="620" cm="1">
        <f t="array" aca="1" ref="X33" ca="1">IF(AUTOEVENTO="Manual",ROUND(SUMPRODUCT((CÁLCULO!$M$15:$M$48=EVENTOS!$C33)*(OFFSET(CÁLCULO!$AA$15:$AA$48,0,X$13))),2),0)</f>
        <v>0</v>
      </c>
      <c r="Y33" s="620" cm="1">
        <f t="array" aca="1" ref="Y33" ca="1">IF(AUTOEVENTO="Manual",ROUND(SUMPRODUCT((CÁLCULO!$M$15:$M$48=EVENTOS!$C33)*(OFFSET(CÁLCULO!$AA$15:$AA$48,0,Y$13))),2),0)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IF(AUTOEVENTO="Manual",ROUND(SUMPRODUCT((CÁLCULO!$M$15:$M$48=EVENTOS!$C34)*(OFFSET(CÁLCULO!$AA$15:$AA$48,0,E$13))),2),0)</f>
        <v>0</v>
      </c>
      <c r="F34" s="183">
        <f ca="1">IF(AUTOEVENTO="Manual",ROUND(SUMPRODUCT((CÁLCULO!$M$15:$M$48=EVENTOS!$C34)*(OFFSET(CÁLCULO!$AA$15,0,1):OFFSET(CÁLCULO!$AL$48,0,-1))),2),0)</f>
        <v>0</v>
      </c>
      <c r="G34" s="621" t="str">
        <f t="shared" ca="1" si="5"/>
        <v/>
      </c>
      <c r="H34" s="620" cm="1">
        <f t="array" aca="1" ref="H34" ca="1">IF(AUTOEVENTO="Manual",ROUND(SUMPRODUCT((CÁLCULO!$M$15:$M$48=EVENTOS!$C34)*(OFFSET(CÁLCULO!$AA$15:$AA$48,0,H$13))),2),0)</f>
        <v>0</v>
      </c>
      <c r="I34" s="620" cm="1">
        <f t="array" aca="1" ref="I34" ca="1">IF(AUTOEVENTO="Manual",ROUND(SUMPRODUCT((CÁLCULO!$M$15:$M$48=EVENTOS!$C34)*(OFFSET(CÁLCULO!$AA$15:$AA$48,0,I$13))),2),0)</f>
        <v>0</v>
      </c>
      <c r="J34" s="620" cm="1">
        <f t="array" aca="1" ref="J34" ca="1">IF(AUTOEVENTO="Manual",ROUND(SUMPRODUCT((CÁLCULO!$M$15:$M$48=EVENTOS!$C34)*(OFFSET(CÁLCULO!$AA$15:$AA$48,0,J$13))),2),0)</f>
        <v>0</v>
      </c>
      <c r="K34" s="620" cm="1">
        <f t="array" aca="1" ref="K34" ca="1">IF(AUTOEVENTO="Manual",ROUND(SUMPRODUCT((CÁLCULO!$M$15:$M$48=EVENTOS!$C34)*(OFFSET(CÁLCULO!$AA$15:$AA$48,0,K$13))),2),0)</f>
        <v>0</v>
      </c>
      <c r="L34" s="620" cm="1">
        <f t="array" aca="1" ref="L34" ca="1">IF(AUTOEVENTO="Manual",ROUND(SUMPRODUCT((CÁLCULO!$M$15:$M$48=EVENTOS!$C34)*(OFFSET(CÁLCULO!$AA$15:$AA$48,0,L$13))),2),0)</f>
        <v>0</v>
      </c>
      <c r="M34" s="620" cm="1">
        <f t="array" aca="1" ref="M34" ca="1">IF(AUTOEVENTO="Manual",ROUND(SUMPRODUCT((CÁLCULO!$M$15:$M$48=EVENTOS!$C34)*(OFFSET(CÁLCULO!$AA$15:$AA$48,0,M$13))),2),0)</f>
        <v>0</v>
      </c>
      <c r="N34" s="620" cm="1">
        <f t="array" aca="1" ref="N34" ca="1">IF(AUTOEVENTO="Manual",ROUND(SUMPRODUCT((CÁLCULO!$M$15:$M$48=EVENTOS!$C34)*(OFFSET(CÁLCULO!$AA$15:$AA$48,0,N$13))),2),0)</f>
        <v>0</v>
      </c>
      <c r="O34" s="620" cm="1">
        <f t="array" aca="1" ref="O34" ca="1">IF(AUTOEVENTO="Manual",ROUND(SUMPRODUCT((CÁLCULO!$M$15:$M$48=EVENTOS!$C34)*(OFFSET(CÁLCULO!$AA$15:$AA$48,0,O$13))),2),0)</f>
        <v>0</v>
      </c>
      <c r="P34" s="620" cm="1">
        <f t="array" aca="1" ref="P34" ca="1">IF(AUTOEVENTO="Manual",ROUND(SUMPRODUCT((CÁLCULO!$M$15:$M$48=EVENTOS!$C34)*(OFFSET(CÁLCULO!$AA$15:$AA$48,0,P$13))),2),0)</f>
        <v>0</v>
      </c>
      <c r="Q34" s="620" cm="1">
        <f t="array" aca="1" ref="Q34" ca="1">IF(AUTOEVENTO="Manual",ROUND(SUMPRODUCT((CÁLCULO!$M$15:$M$48=EVENTOS!$C34)*(OFFSET(CÁLCULO!$AA$15:$AA$48,0,Q$13))),2),0)</f>
        <v>0</v>
      </c>
      <c r="R34" s="620" cm="1">
        <f t="array" aca="1" ref="R34" ca="1">IF(AUTOEVENTO="Manual",ROUND(SUMPRODUCT((CÁLCULO!$M$15:$M$48=EVENTOS!$C34)*(OFFSET(CÁLCULO!$AA$15:$AA$48,0,R$13))),2),0)</f>
        <v>0</v>
      </c>
      <c r="S34" s="620" cm="1">
        <f t="array" aca="1" ref="S34" ca="1">IF(AUTOEVENTO="Manual",ROUND(SUMPRODUCT((CÁLCULO!$M$15:$M$48=EVENTOS!$C34)*(OFFSET(CÁLCULO!$AA$15:$AA$48,0,S$13))),2),0)</f>
        <v>0</v>
      </c>
      <c r="T34" s="620" cm="1">
        <f t="array" aca="1" ref="T34" ca="1">IF(AUTOEVENTO="Manual",ROUND(SUMPRODUCT((CÁLCULO!$M$15:$M$48=EVENTOS!$C34)*(OFFSET(CÁLCULO!$AA$15:$AA$48,0,T$13))),2),0)</f>
        <v>0</v>
      </c>
      <c r="U34" s="620" cm="1">
        <f t="array" aca="1" ref="U34" ca="1">IF(AUTOEVENTO="Manual",ROUND(SUMPRODUCT((CÁLCULO!$M$15:$M$48=EVENTOS!$C34)*(OFFSET(CÁLCULO!$AA$15:$AA$48,0,U$13))),2),0)</f>
        <v>0</v>
      </c>
      <c r="V34" s="620" cm="1">
        <f t="array" aca="1" ref="V34" ca="1">IF(AUTOEVENTO="Manual",ROUND(SUMPRODUCT((CÁLCULO!$M$15:$M$48=EVENTOS!$C34)*(OFFSET(CÁLCULO!$AA$15:$AA$48,0,V$13))),2),0)</f>
        <v>0</v>
      </c>
      <c r="W34" s="620" cm="1">
        <f t="array" aca="1" ref="W34" ca="1">IF(AUTOEVENTO="Manual",ROUND(SUMPRODUCT((CÁLCULO!$M$15:$M$48=EVENTOS!$C34)*(OFFSET(CÁLCULO!$AA$15:$AA$48,0,W$13))),2),0)</f>
        <v>0</v>
      </c>
      <c r="X34" s="620" cm="1">
        <f t="array" aca="1" ref="X34" ca="1">IF(AUTOEVENTO="Manual",ROUND(SUMPRODUCT((CÁLCULO!$M$15:$M$48=EVENTOS!$C34)*(OFFSET(CÁLCULO!$AA$15:$AA$48,0,X$13))),2),0)</f>
        <v>0</v>
      </c>
      <c r="Y34" s="620" cm="1">
        <f t="array" aca="1" ref="Y34" ca="1">IF(AUTOEVENTO="Manual",ROUND(SUMPRODUCT((CÁLCULO!$M$15:$M$48=EVENTOS!$C34)*(OFFSET(CÁLCULO!$AA$15:$AA$48,0,Y$13))),2),0)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IF(AUTOEVENTO="Manual",ROUND(SUMPRODUCT((CÁLCULO!$M$15:$M$48=EVENTOS!$C35)*(OFFSET(CÁLCULO!$AA$15:$AA$48,0,E$13))),2),0)</f>
        <v>0</v>
      </c>
      <c r="F35" s="183">
        <f ca="1">IF(AUTOEVENTO="Manual",ROUND(SUMPRODUCT((CÁLCULO!$M$15:$M$48=EVENTOS!$C35)*(OFFSET(CÁLCULO!$AA$15,0,1):OFFSET(CÁLCULO!$AL$48,0,-1))),2),0)</f>
        <v>0</v>
      </c>
      <c r="G35" s="621" t="str">
        <f t="shared" ca="1" si="5"/>
        <v/>
      </c>
      <c r="H35" s="620" cm="1">
        <f t="array" aca="1" ref="H35" ca="1">IF(AUTOEVENTO="Manual",ROUND(SUMPRODUCT((CÁLCULO!$M$15:$M$48=EVENTOS!$C35)*(OFFSET(CÁLCULO!$AA$15:$AA$48,0,H$13))),2),0)</f>
        <v>0</v>
      </c>
      <c r="I35" s="620" cm="1">
        <f t="array" aca="1" ref="I35" ca="1">IF(AUTOEVENTO="Manual",ROUND(SUMPRODUCT((CÁLCULO!$M$15:$M$48=EVENTOS!$C35)*(OFFSET(CÁLCULO!$AA$15:$AA$48,0,I$13))),2),0)</f>
        <v>0</v>
      </c>
      <c r="J35" s="620" cm="1">
        <f t="array" aca="1" ref="J35" ca="1">IF(AUTOEVENTO="Manual",ROUND(SUMPRODUCT((CÁLCULO!$M$15:$M$48=EVENTOS!$C35)*(OFFSET(CÁLCULO!$AA$15:$AA$48,0,J$13))),2),0)</f>
        <v>0</v>
      </c>
      <c r="K35" s="620" cm="1">
        <f t="array" aca="1" ref="K35" ca="1">IF(AUTOEVENTO="Manual",ROUND(SUMPRODUCT((CÁLCULO!$M$15:$M$48=EVENTOS!$C35)*(OFFSET(CÁLCULO!$AA$15:$AA$48,0,K$13))),2),0)</f>
        <v>0</v>
      </c>
      <c r="L35" s="620" cm="1">
        <f t="array" aca="1" ref="L35" ca="1">IF(AUTOEVENTO="Manual",ROUND(SUMPRODUCT((CÁLCULO!$M$15:$M$48=EVENTOS!$C35)*(OFFSET(CÁLCULO!$AA$15:$AA$48,0,L$13))),2),0)</f>
        <v>0</v>
      </c>
      <c r="M35" s="620" cm="1">
        <f t="array" aca="1" ref="M35" ca="1">IF(AUTOEVENTO="Manual",ROUND(SUMPRODUCT((CÁLCULO!$M$15:$M$48=EVENTOS!$C35)*(OFFSET(CÁLCULO!$AA$15:$AA$48,0,M$13))),2),0)</f>
        <v>0</v>
      </c>
      <c r="N35" s="620" cm="1">
        <f t="array" aca="1" ref="N35" ca="1">IF(AUTOEVENTO="Manual",ROUND(SUMPRODUCT((CÁLCULO!$M$15:$M$48=EVENTOS!$C35)*(OFFSET(CÁLCULO!$AA$15:$AA$48,0,N$13))),2),0)</f>
        <v>0</v>
      </c>
      <c r="O35" s="620" cm="1">
        <f t="array" aca="1" ref="O35" ca="1">IF(AUTOEVENTO="Manual",ROUND(SUMPRODUCT((CÁLCULO!$M$15:$M$48=EVENTOS!$C35)*(OFFSET(CÁLCULO!$AA$15:$AA$48,0,O$13))),2),0)</f>
        <v>0</v>
      </c>
      <c r="P35" s="620" cm="1">
        <f t="array" aca="1" ref="P35" ca="1">IF(AUTOEVENTO="Manual",ROUND(SUMPRODUCT((CÁLCULO!$M$15:$M$48=EVENTOS!$C35)*(OFFSET(CÁLCULO!$AA$15:$AA$48,0,P$13))),2),0)</f>
        <v>0</v>
      </c>
      <c r="Q35" s="620" cm="1">
        <f t="array" aca="1" ref="Q35" ca="1">IF(AUTOEVENTO="Manual",ROUND(SUMPRODUCT((CÁLCULO!$M$15:$M$48=EVENTOS!$C35)*(OFFSET(CÁLCULO!$AA$15:$AA$48,0,Q$13))),2),0)</f>
        <v>0</v>
      </c>
      <c r="R35" s="620" cm="1">
        <f t="array" aca="1" ref="R35" ca="1">IF(AUTOEVENTO="Manual",ROUND(SUMPRODUCT((CÁLCULO!$M$15:$M$48=EVENTOS!$C35)*(OFFSET(CÁLCULO!$AA$15:$AA$48,0,R$13))),2),0)</f>
        <v>0</v>
      </c>
      <c r="S35" s="620" cm="1">
        <f t="array" aca="1" ref="S35" ca="1">IF(AUTOEVENTO="Manual",ROUND(SUMPRODUCT((CÁLCULO!$M$15:$M$48=EVENTOS!$C35)*(OFFSET(CÁLCULO!$AA$15:$AA$48,0,S$13))),2),0)</f>
        <v>0</v>
      </c>
      <c r="T35" s="620" cm="1">
        <f t="array" aca="1" ref="T35" ca="1">IF(AUTOEVENTO="Manual",ROUND(SUMPRODUCT((CÁLCULO!$M$15:$M$48=EVENTOS!$C35)*(OFFSET(CÁLCULO!$AA$15:$AA$48,0,T$13))),2),0)</f>
        <v>0</v>
      </c>
      <c r="U35" s="620" cm="1">
        <f t="array" aca="1" ref="U35" ca="1">IF(AUTOEVENTO="Manual",ROUND(SUMPRODUCT((CÁLCULO!$M$15:$M$48=EVENTOS!$C35)*(OFFSET(CÁLCULO!$AA$15:$AA$48,0,U$13))),2),0)</f>
        <v>0</v>
      </c>
      <c r="V35" s="620" cm="1">
        <f t="array" aca="1" ref="V35" ca="1">IF(AUTOEVENTO="Manual",ROUND(SUMPRODUCT((CÁLCULO!$M$15:$M$48=EVENTOS!$C35)*(OFFSET(CÁLCULO!$AA$15:$AA$48,0,V$13))),2),0)</f>
        <v>0</v>
      </c>
      <c r="W35" s="620" cm="1">
        <f t="array" aca="1" ref="W35" ca="1">IF(AUTOEVENTO="Manual",ROUND(SUMPRODUCT((CÁLCULO!$M$15:$M$48=EVENTOS!$C35)*(OFFSET(CÁLCULO!$AA$15:$AA$48,0,W$13))),2),0)</f>
        <v>0</v>
      </c>
      <c r="X35" s="620" cm="1">
        <f t="array" aca="1" ref="X35" ca="1">IF(AUTOEVENTO="Manual",ROUND(SUMPRODUCT((CÁLCULO!$M$15:$M$48=EVENTOS!$C35)*(OFFSET(CÁLCULO!$AA$15:$AA$48,0,X$13))),2),0)</f>
        <v>0</v>
      </c>
      <c r="Y35" s="620" cm="1">
        <f t="array" aca="1" ref="Y35" ca="1">IF(AUTOEVENTO="Manual",ROUND(SUMPRODUCT((CÁLCULO!$M$15:$M$48=EVENTOS!$C35)*(OFFSET(CÁLCULO!$AA$15:$AA$48,0,Y$13))),2),0)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IF(AUTOEVENTO="Manual",ROUND(SUMPRODUCT((CÁLCULO!$M$15:$M$48=EVENTOS!$C36)*(OFFSET(CÁLCULO!$AA$15:$AA$48,0,E$13))),2),0)</f>
        <v>0</v>
      </c>
      <c r="F36" s="183">
        <f ca="1">IF(AUTOEVENTO="Manual",ROUND(SUMPRODUCT((CÁLCULO!$M$15:$M$48=EVENTOS!$C36)*(OFFSET(CÁLCULO!$AA$15,0,1):OFFSET(CÁLCULO!$AL$48,0,-1))),2),0)</f>
        <v>0</v>
      </c>
      <c r="G36" s="621" t="str">
        <f t="shared" ca="1" si="5"/>
        <v/>
      </c>
      <c r="H36" s="620" cm="1">
        <f t="array" aca="1" ref="H36" ca="1">IF(AUTOEVENTO="Manual",ROUND(SUMPRODUCT((CÁLCULO!$M$15:$M$48=EVENTOS!$C36)*(OFFSET(CÁLCULO!$AA$15:$AA$48,0,H$13))),2),0)</f>
        <v>0</v>
      </c>
      <c r="I36" s="620" cm="1">
        <f t="array" aca="1" ref="I36" ca="1">IF(AUTOEVENTO="Manual",ROUND(SUMPRODUCT((CÁLCULO!$M$15:$M$48=EVENTOS!$C36)*(OFFSET(CÁLCULO!$AA$15:$AA$48,0,I$13))),2),0)</f>
        <v>0</v>
      </c>
      <c r="J36" s="620" cm="1">
        <f t="array" aca="1" ref="J36" ca="1">IF(AUTOEVENTO="Manual",ROUND(SUMPRODUCT((CÁLCULO!$M$15:$M$48=EVENTOS!$C36)*(OFFSET(CÁLCULO!$AA$15:$AA$48,0,J$13))),2),0)</f>
        <v>0</v>
      </c>
      <c r="K36" s="620" cm="1">
        <f t="array" aca="1" ref="K36" ca="1">IF(AUTOEVENTO="Manual",ROUND(SUMPRODUCT((CÁLCULO!$M$15:$M$48=EVENTOS!$C36)*(OFFSET(CÁLCULO!$AA$15:$AA$48,0,K$13))),2),0)</f>
        <v>0</v>
      </c>
      <c r="L36" s="620" cm="1">
        <f t="array" aca="1" ref="L36" ca="1">IF(AUTOEVENTO="Manual",ROUND(SUMPRODUCT((CÁLCULO!$M$15:$M$48=EVENTOS!$C36)*(OFFSET(CÁLCULO!$AA$15:$AA$48,0,L$13))),2),0)</f>
        <v>0</v>
      </c>
      <c r="M36" s="620" cm="1">
        <f t="array" aca="1" ref="M36" ca="1">IF(AUTOEVENTO="Manual",ROUND(SUMPRODUCT((CÁLCULO!$M$15:$M$48=EVENTOS!$C36)*(OFFSET(CÁLCULO!$AA$15:$AA$48,0,M$13))),2),0)</f>
        <v>0</v>
      </c>
      <c r="N36" s="620" cm="1">
        <f t="array" aca="1" ref="N36" ca="1">IF(AUTOEVENTO="Manual",ROUND(SUMPRODUCT((CÁLCULO!$M$15:$M$48=EVENTOS!$C36)*(OFFSET(CÁLCULO!$AA$15:$AA$48,0,N$13))),2),0)</f>
        <v>0</v>
      </c>
      <c r="O36" s="620" cm="1">
        <f t="array" aca="1" ref="O36" ca="1">IF(AUTOEVENTO="Manual",ROUND(SUMPRODUCT((CÁLCULO!$M$15:$M$48=EVENTOS!$C36)*(OFFSET(CÁLCULO!$AA$15:$AA$48,0,O$13))),2),0)</f>
        <v>0</v>
      </c>
      <c r="P36" s="620" cm="1">
        <f t="array" aca="1" ref="P36" ca="1">IF(AUTOEVENTO="Manual",ROUND(SUMPRODUCT((CÁLCULO!$M$15:$M$48=EVENTOS!$C36)*(OFFSET(CÁLCULO!$AA$15:$AA$48,0,P$13))),2),0)</f>
        <v>0</v>
      </c>
      <c r="Q36" s="620" cm="1">
        <f t="array" aca="1" ref="Q36" ca="1">IF(AUTOEVENTO="Manual",ROUND(SUMPRODUCT((CÁLCULO!$M$15:$M$48=EVENTOS!$C36)*(OFFSET(CÁLCULO!$AA$15:$AA$48,0,Q$13))),2),0)</f>
        <v>0</v>
      </c>
      <c r="R36" s="620" cm="1">
        <f t="array" aca="1" ref="R36" ca="1">IF(AUTOEVENTO="Manual",ROUND(SUMPRODUCT((CÁLCULO!$M$15:$M$48=EVENTOS!$C36)*(OFFSET(CÁLCULO!$AA$15:$AA$48,0,R$13))),2),0)</f>
        <v>0</v>
      </c>
      <c r="S36" s="620" cm="1">
        <f t="array" aca="1" ref="S36" ca="1">IF(AUTOEVENTO="Manual",ROUND(SUMPRODUCT((CÁLCULO!$M$15:$M$48=EVENTOS!$C36)*(OFFSET(CÁLCULO!$AA$15:$AA$48,0,S$13))),2),0)</f>
        <v>0</v>
      </c>
      <c r="T36" s="620" cm="1">
        <f t="array" aca="1" ref="T36" ca="1">IF(AUTOEVENTO="Manual",ROUND(SUMPRODUCT((CÁLCULO!$M$15:$M$48=EVENTOS!$C36)*(OFFSET(CÁLCULO!$AA$15:$AA$48,0,T$13))),2),0)</f>
        <v>0</v>
      </c>
      <c r="U36" s="620" cm="1">
        <f t="array" aca="1" ref="U36" ca="1">IF(AUTOEVENTO="Manual",ROUND(SUMPRODUCT((CÁLCULO!$M$15:$M$48=EVENTOS!$C36)*(OFFSET(CÁLCULO!$AA$15:$AA$48,0,U$13))),2),0)</f>
        <v>0</v>
      </c>
      <c r="V36" s="620" cm="1">
        <f t="array" aca="1" ref="V36" ca="1">IF(AUTOEVENTO="Manual",ROUND(SUMPRODUCT((CÁLCULO!$M$15:$M$48=EVENTOS!$C36)*(OFFSET(CÁLCULO!$AA$15:$AA$48,0,V$13))),2),0)</f>
        <v>0</v>
      </c>
      <c r="W36" s="620" cm="1">
        <f t="array" aca="1" ref="W36" ca="1">IF(AUTOEVENTO="Manual",ROUND(SUMPRODUCT((CÁLCULO!$M$15:$M$48=EVENTOS!$C36)*(OFFSET(CÁLCULO!$AA$15:$AA$48,0,W$13))),2),0)</f>
        <v>0</v>
      </c>
      <c r="X36" s="620" cm="1">
        <f t="array" aca="1" ref="X36" ca="1">IF(AUTOEVENTO="Manual",ROUND(SUMPRODUCT((CÁLCULO!$M$15:$M$48=EVENTOS!$C36)*(OFFSET(CÁLCULO!$AA$15:$AA$48,0,X$13))),2),0)</f>
        <v>0</v>
      </c>
      <c r="Y36" s="620" cm="1">
        <f t="array" aca="1" ref="Y36" ca="1">IF(AUTOEVENTO="Manual",ROUND(SUMPRODUCT((CÁLCULO!$M$15:$M$48=EVENTOS!$C36)*(OFFSET(CÁLCULO!$AA$15:$AA$48,0,Y$13))),2),0)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IF(AUTOEVENTO="Manual",ROUND(SUMPRODUCT((CÁLCULO!$M$15:$M$48=EVENTOS!$C37)*(OFFSET(CÁLCULO!$AA$15:$AA$48,0,E$13))),2),0)</f>
        <v>0</v>
      </c>
      <c r="F37" s="183">
        <f ca="1">IF(AUTOEVENTO="Manual",ROUND(SUMPRODUCT((CÁLCULO!$M$15:$M$48=EVENTOS!$C37)*(OFFSET(CÁLCULO!$AA$15,0,1):OFFSET(CÁLCULO!$AL$48,0,-1))),2),0)</f>
        <v>0</v>
      </c>
      <c r="G37" s="621" t="str">
        <f t="shared" ca="1" si="5"/>
        <v/>
      </c>
      <c r="H37" s="620" cm="1">
        <f t="array" aca="1" ref="H37" ca="1">IF(AUTOEVENTO="Manual",ROUND(SUMPRODUCT((CÁLCULO!$M$15:$M$48=EVENTOS!$C37)*(OFFSET(CÁLCULO!$AA$15:$AA$48,0,H$13))),2),0)</f>
        <v>0</v>
      </c>
      <c r="I37" s="620" cm="1">
        <f t="array" aca="1" ref="I37" ca="1">IF(AUTOEVENTO="Manual",ROUND(SUMPRODUCT((CÁLCULO!$M$15:$M$48=EVENTOS!$C37)*(OFFSET(CÁLCULO!$AA$15:$AA$48,0,I$13))),2),0)</f>
        <v>0</v>
      </c>
      <c r="J37" s="620" cm="1">
        <f t="array" aca="1" ref="J37" ca="1">IF(AUTOEVENTO="Manual",ROUND(SUMPRODUCT((CÁLCULO!$M$15:$M$48=EVENTOS!$C37)*(OFFSET(CÁLCULO!$AA$15:$AA$48,0,J$13))),2),0)</f>
        <v>0</v>
      </c>
      <c r="K37" s="620" cm="1">
        <f t="array" aca="1" ref="K37" ca="1">IF(AUTOEVENTO="Manual",ROUND(SUMPRODUCT((CÁLCULO!$M$15:$M$48=EVENTOS!$C37)*(OFFSET(CÁLCULO!$AA$15:$AA$48,0,K$13))),2),0)</f>
        <v>0</v>
      </c>
      <c r="L37" s="620" cm="1">
        <f t="array" aca="1" ref="L37" ca="1">IF(AUTOEVENTO="Manual",ROUND(SUMPRODUCT((CÁLCULO!$M$15:$M$48=EVENTOS!$C37)*(OFFSET(CÁLCULO!$AA$15:$AA$48,0,L$13))),2),0)</f>
        <v>0</v>
      </c>
      <c r="M37" s="620" cm="1">
        <f t="array" aca="1" ref="M37" ca="1">IF(AUTOEVENTO="Manual",ROUND(SUMPRODUCT((CÁLCULO!$M$15:$M$48=EVENTOS!$C37)*(OFFSET(CÁLCULO!$AA$15:$AA$48,0,M$13))),2),0)</f>
        <v>0</v>
      </c>
      <c r="N37" s="620" cm="1">
        <f t="array" aca="1" ref="N37" ca="1">IF(AUTOEVENTO="Manual",ROUND(SUMPRODUCT((CÁLCULO!$M$15:$M$48=EVENTOS!$C37)*(OFFSET(CÁLCULO!$AA$15:$AA$48,0,N$13))),2),0)</f>
        <v>0</v>
      </c>
      <c r="O37" s="620" cm="1">
        <f t="array" aca="1" ref="O37" ca="1">IF(AUTOEVENTO="Manual",ROUND(SUMPRODUCT((CÁLCULO!$M$15:$M$48=EVENTOS!$C37)*(OFFSET(CÁLCULO!$AA$15:$AA$48,0,O$13))),2),0)</f>
        <v>0</v>
      </c>
      <c r="P37" s="620" cm="1">
        <f t="array" aca="1" ref="P37" ca="1">IF(AUTOEVENTO="Manual",ROUND(SUMPRODUCT((CÁLCULO!$M$15:$M$48=EVENTOS!$C37)*(OFFSET(CÁLCULO!$AA$15:$AA$48,0,P$13))),2),0)</f>
        <v>0</v>
      </c>
      <c r="Q37" s="620" cm="1">
        <f t="array" aca="1" ref="Q37" ca="1">IF(AUTOEVENTO="Manual",ROUND(SUMPRODUCT((CÁLCULO!$M$15:$M$48=EVENTOS!$C37)*(OFFSET(CÁLCULO!$AA$15:$AA$48,0,Q$13))),2),0)</f>
        <v>0</v>
      </c>
      <c r="R37" s="620" cm="1">
        <f t="array" aca="1" ref="R37" ca="1">IF(AUTOEVENTO="Manual",ROUND(SUMPRODUCT((CÁLCULO!$M$15:$M$48=EVENTOS!$C37)*(OFFSET(CÁLCULO!$AA$15:$AA$48,0,R$13))),2),0)</f>
        <v>0</v>
      </c>
      <c r="S37" s="620" cm="1">
        <f t="array" aca="1" ref="S37" ca="1">IF(AUTOEVENTO="Manual",ROUND(SUMPRODUCT((CÁLCULO!$M$15:$M$48=EVENTOS!$C37)*(OFFSET(CÁLCULO!$AA$15:$AA$48,0,S$13))),2),0)</f>
        <v>0</v>
      </c>
      <c r="T37" s="620" cm="1">
        <f t="array" aca="1" ref="T37" ca="1">IF(AUTOEVENTO="Manual",ROUND(SUMPRODUCT((CÁLCULO!$M$15:$M$48=EVENTOS!$C37)*(OFFSET(CÁLCULO!$AA$15:$AA$48,0,T$13))),2),0)</f>
        <v>0</v>
      </c>
      <c r="U37" s="620" cm="1">
        <f t="array" aca="1" ref="U37" ca="1">IF(AUTOEVENTO="Manual",ROUND(SUMPRODUCT((CÁLCULO!$M$15:$M$48=EVENTOS!$C37)*(OFFSET(CÁLCULO!$AA$15:$AA$48,0,U$13))),2),0)</f>
        <v>0</v>
      </c>
      <c r="V37" s="620" cm="1">
        <f t="array" aca="1" ref="V37" ca="1">IF(AUTOEVENTO="Manual",ROUND(SUMPRODUCT((CÁLCULO!$M$15:$M$48=EVENTOS!$C37)*(OFFSET(CÁLCULO!$AA$15:$AA$48,0,V$13))),2),0)</f>
        <v>0</v>
      </c>
      <c r="W37" s="620" cm="1">
        <f t="array" aca="1" ref="W37" ca="1">IF(AUTOEVENTO="Manual",ROUND(SUMPRODUCT((CÁLCULO!$M$15:$M$48=EVENTOS!$C37)*(OFFSET(CÁLCULO!$AA$15:$AA$48,0,W$13))),2),0)</f>
        <v>0</v>
      </c>
      <c r="X37" s="620" cm="1">
        <f t="array" aca="1" ref="X37" ca="1">IF(AUTOEVENTO="Manual",ROUND(SUMPRODUCT((CÁLCULO!$M$15:$M$48=EVENTOS!$C37)*(OFFSET(CÁLCULO!$AA$15:$AA$48,0,X$13))),2),0)</f>
        <v>0</v>
      </c>
      <c r="Y37" s="620" cm="1">
        <f t="array" aca="1" ref="Y37" ca="1">IF(AUTOEVENTO="Manual",ROUND(SUMPRODUCT((CÁLCULO!$M$15:$M$48=EVENTOS!$C37)*(OFFSET(CÁLCULO!$AA$15:$AA$48,0,Y$13))),2),0)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IF(AUTOEVENTO="Manual",ROUND(SUMPRODUCT((CÁLCULO!$M$15:$M$48=EVENTOS!$C38)*(OFFSET(CÁLCULO!$AA$15:$AA$48,0,E$13))),2),0)</f>
        <v>0</v>
      </c>
      <c r="F38" s="183">
        <f ca="1">IF(AUTOEVENTO="Manual",ROUND(SUMPRODUCT((CÁLCULO!$M$15:$M$48=EVENTOS!$C38)*(OFFSET(CÁLCULO!$AA$15,0,1):OFFSET(CÁLCULO!$AL$48,0,-1))),2),0)</f>
        <v>0</v>
      </c>
      <c r="G38" s="621" t="str">
        <f t="shared" ca="1" si="5"/>
        <v/>
      </c>
      <c r="H38" s="620" cm="1">
        <f t="array" aca="1" ref="H38" ca="1">IF(AUTOEVENTO="Manual",ROUND(SUMPRODUCT((CÁLCULO!$M$15:$M$48=EVENTOS!$C38)*(OFFSET(CÁLCULO!$AA$15:$AA$48,0,H$13))),2),0)</f>
        <v>0</v>
      </c>
      <c r="I38" s="620" cm="1">
        <f t="array" aca="1" ref="I38" ca="1">IF(AUTOEVENTO="Manual",ROUND(SUMPRODUCT((CÁLCULO!$M$15:$M$48=EVENTOS!$C38)*(OFFSET(CÁLCULO!$AA$15:$AA$48,0,I$13))),2),0)</f>
        <v>0</v>
      </c>
      <c r="J38" s="620" cm="1">
        <f t="array" aca="1" ref="J38" ca="1">IF(AUTOEVENTO="Manual",ROUND(SUMPRODUCT((CÁLCULO!$M$15:$M$48=EVENTOS!$C38)*(OFFSET(CÁLCULO!$AA$15:$AA$48,0,J$13))),2),0)</f>
        <v>0</v>
      </c>
      <c r="K38" s="620" cm="1">
        <f t="array" aca="1" ref="K38" ca="1">IF(AUTOEVENTO="Manual",ROUND(SUMPRODUCT((CÁLCULO!$M$15:$M$48=EVENTOS!$C38)*(OFFSET(CÁLCULO!$AA$15:$AA$48,0,K$13))),2),0)</f>
        <v>0</v>
      </c>
      <c r="L38" s="620" cm="1">
        <f t="array" aca="1" ref="L38" ca="1">IF(AUTOEVENTO="Manual",ROUND(SUMPRODUCT((CÁLCULO!$M$15:$M$48=EVENTOS!$C38)*(OFFSET(CÁLCULO!$AA$15:$AA$48,0,L$13))),2),0)</f>
        <v>0</v>
      </c>
      <c r="M38" s="620" cm="1">
        <f t="array" aca="1" ref="M38" ca="1">IF(AUTOEVENTO="Manual",ROUND(SUMPRODUCT((CÁLCULO!$M$15:$M$48=EVENTOS!$C38)*(OFFSET(CÁLCULO!$AA$15:$AA$48,0,M$13))),2),0)</f>
        <v>0</v>
      </c>
      <c r="N38" s="620" cm="1">
        <f t="array" aca="1" ref="N38" ca="1">IF(AUTOEVENTO="Manual",ROUND(SUMPRODUCT((CÁLCULO!$M$15:$M$48=EVENTOS!$C38)*(OFFSET(CÁLCULO!$AA$15:$AA$48,0,N$13))),2),0)</f>
        <v>0</v>
      </c>
      <c r="O38" s="620" cm="1">
        <f t="array" aca="1" ref="O38" ca="1">IF(AUTOEVENTO="Manual",ROUND(SUMPRODUCT((CÁLCULO!$M$15:$M$48=EVENTOS!$C38)*(OFFSET(CÁLCULO!$AA$15:$AA$48,0,O$13))),2),0)</f>
        <v>0</v>
      </c>
      <c r="P38" s="620" cm="1">
        <f t="array" aca="1" ref="P38" ca="1">IF(AUTOEVENTO="Manual",ROUND(SUMPRODUCT((CÁLCULO!$M$15:$M$48=EVENTOS!$C38)*(OFFSET(CÁLCULO!$AA$15:$AA$48,0,P$13))),2),0)</f>
        <v>0</v>
      </c>
      <c r="Q38" s="620" cm="1">
        <f t="array" aca="1" ref="Q38" ca="1">IF(AUTOEVENTO="Manual",ROUND(SUMPRODUCT((CÁLCULO!$M$15:$M$48=EVENTOS!$C38)*(OFFSET(CÁLCULO!$AA$15:$AA$48,0,Q$13))),2),0)</f>
        <v>0</v>
      </c>
      <c r="R38" s="620" cm="1">
        <f t="array" aca="1" ref="R38" ca="1">IF(AUTOEVENTO="Manual",ROUND(SUMPRODUCT((CÁLCULO!$M$15:$M$48=EVENTOS!$C38)*(OFFSET(CÁLCULO!$AA$15:$AA$48,0,R$13))),2),0)</f>
        <v>0</v>
      </c>
      <c r="S38" s="620" cm="1">
        <f t="array" aca="1" ref="S38" ca="1">IF(AUTOEVENTO="Manual",ROUND(SUMPRODUCT((CÁLCULO!$M$15:$M$48=EVENTOS!$C38)*(OFFSET(CÁLCULO!$AA$15:$AA$48,0,S$13))),2),0)</f>
        <v>0</v>
      </c>
      <c r="T38" s="620" cm="1">
        <f t="array" aca="1" ref="T38" ca="1">IF(AUTOEVENTO="Manual",ROUND(SUMPRODUCT((CÁLCULO!$M$15:$M$48=EVENTOS!$C38)*(OFFSET(CÁLCULO!$AA$15:$AA$48,0,T$13))),2),0)</f>
        <v>0</v>
      </c>
      <c r="U38" s="620" cm="1">
        <f t="array" aca="1" ref="U38" ca="1">IF(AUTOEVENTO="Manual",ROUND(SUMPRODUCT((CÁLCULO!$M$15:$M$48=EVENTOS!$C38)*(OFFSET(CÁLCULO!$AA$15:$AA$48,0,U$13))),2),0)</f>
        <v>0</v>
      </c>
      <c r="V38" s="620" cm="1">
        <f t="array" aca="1" ref="V38" ca="1">IF(AUTOEVENTO="Manual",ROUND(SUMPRODUCT((CÁLCULO!$M$15:$M$48=EVENTOS!$C38)*(OFFSET(CÁLCULO!$AA$15:$AA$48,0,V$13))),2),0)</f>
        <v>0</v>
      </c>
      <c r="W38" s="620" cm="1">
        <f t="array" aca="1" ref="W38" ca="1">IF(AUTOEVENTO="Manual",ROUND(SUMPRODUCT((CÁLCULO!$M$15:$M$48=EVENTOS!$C38)*(OFFSET(CÁLCULO!$AA$15:$AA$48,0,W$13))),2),0)</f>
        <v>0</v>
      </c>
      <c r="X38" s="620" cm="1">
        <f t="array" aca="1" ref="X38" ca="1">IF(AUTOEVENTO="Manual",ROUND(SUMPRODUCT((CÁLCULO!$M$15:$M$48=EVENTOS!$C38)*(OFFSET(CÁLCULO!$AA$15:$AA$48,0,X$13))),2),0)</f>
        <v>0</v>
      </c>
      <c r="Y38" s="620" cm="1">
        <f t="array" aca="1" ref="Y38" ca="1">IF(AUTOEVENTO="Manual",ROUND(SUMPRODUCT((CÁLCULO!$M$15:$M$48=EVENTOS!$C38)*(OFFSET(CÁLCULO!$AA$15:$AA$48,0,Y$13))),2),0)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IF(AUTOEVENTO="Manual",ROUND(SUMPRODUCT((CÁLCULO!$M$15:$M$48=EVENTOS!$C39)*(OFFSET(CÁLCULO!$AA$15:$AA$48,0,E$13))),2),0)</f>
        <v>0</v>
      </c>
      <c r="F39" s="183">
        <f ca="1">IF(AUTOEVENTO="Manual",ROUND(SUMPRODUCT((CÁLCULO!$M$15:$M$48=EVENTOS!$C39)*(OFFSET(CÁLCULO!$AA$15,0,1):OFFSET(CÁLCULO!$AL$48,0,-1))),2),0)</f>
        <v>0</v>
      </c>
      <c r="G39" s="621" t="str">
        <f t="shared" ca="1" si="5"/>
        <v/>
      </c>
      <c r="H39" s="620" cm="1">
        <f t="array" aca="1" ref="H39" ca="1">IF(AUTOEVENTO="Manual",ROUND(SUMPRODUCT((CÁLCULO!$M$15:$M$48=EVENTOS!$C39)*(OFFSET(CÁLCULO!$AA$15:$AA$48,0,H$13))),2),0)</f>
        <v>0</v>
      </c>
      <c r="I39" s="620" cm="1">
        <f t="array" aca="1" ref="I39" ca="1">IF(AUTOEVENTO="Manual",ROUND(SUMPRODUCT((CÁLCULO!$M$15:$M$48=EVENTOS!$C39)*(OFFSET(CÁLCULO!$AA$15:$AA$48,0,I$13))),2),0)</f>
        <v>0</v>
      </c>
      <c r="J39" s="620" cm="1">
        <f t="array" aca="1" ref="J39" ca="1">IF(AUTOEVENTO="Manual",ROUND(SUMPRODUCT((CÁLCULO!$M$15:$M$48=EVENTOS!$C39)*(OFFSET(CÁLCULO!$AA$15:$AA$48,0,J$13))),2),0)</f>
        <v>0</v>
      </c>
      <c r="K39" s="620" cm="1">
        <f t="array" aca="1" ref="K39" ca="1">IF(AUTOEVENTO="Manual",ROUND(SUMPRODUCT((CÁLCULO!$M$15:$M$48=EVENTOS!$C39)*(OFFSET(CÁLCULO!$AA$15:$AA$48,0,K$13))),2),0)</f>
        <v>0</v>
      </c>
      <c r="L39" s="620" cm="1">
        <f t="array" aca="1" ref="L39" ca="1">IF(AUTOEVENTO="Manual",ROUND(SUMPRODUCT((CÁLCULO!$M$15:$M$48=EVENTOS!$C39)*(OFFSET(CÁLCULO!$AA$15:$AA$48,0,L$13))),2),0)</f>
        <v>0</v>
      </c>
      <c r="M39" s="620" cm="1">
        <f t="array" aca="1" ref="M39" ca="1">IF(AUTOEVENTO="Manual",ROUND(SUMPRODUCT((CÁLCULO!$M$15:$M$48=EVENTOS!$C39)*(OFFSET(CÁLCULO!$AA$15:$AA$48,0,M$13))),2),0)</f>
        <v>0</v>
      </c>
      <c r="N39" s="620" cm="1">
        <f t="array" aca="1" ref="N39" ca="1">IF(AUTOEVENTO="Manual",ROUND(SUMPRODUCT((CÁLCULO!$M$15:$M$48=EVENTOS!$C39)*(OFFSET(CÁLCULO!$AA$15:$AA$48,0,N$13))),2),0)</f>
        <v>0</v>
      </c>
      <c r="O39" s="620" cm="1">
        <f t="array" aca="1" ref="O39" ca="1">IF(AUTOEVENTO="Manual",ROUND(SUMPRODUCT((CÁLCULO!$M$15:$M$48=EVENTOS!$C39)*(OFFSET(CÁLCULO!$AA$15:$AA$48,0,O$13))),2),0)</f>
        <v>0</v>
      </c>
      <c r="P39" s="620" cm="1">
        <f t="array" aca="1" ref="P39" ca="1">IF(AUTOEVENTO="Manual",ROUND(SUMPRODUCT((CÁLCULO!$M$15:$M$48=EVENTOS!$C39)*(OFFSET(CÁLCULO!$AA$15:$AA$48,0,P$13))),2),0)</f>
        <v>0</v>
      </c>
      <c r="Q39" s="620" cm="1">
        <f t="array" aca="1" ref="Q39" ca="1">IF(AUTOEVENTO="Manual",ROUND(SUMPRODUCT((CÁLCULO!$M$15:$M$48=EVENTOS!$C39)*(OFFSET(CÁLCULO!$AA$15:$AA$48,0,Q$13))),2),0)</f>
        <v>0</v>
      </c>
      <c r="R39" s="620" cm="1">
        <f t="array" aca="1" ref="R39" ca="1">IF(AUTOEVENTO="Manual",ROUND(SUMPRODUCT((CÁLCULO!$M$15:$M$48=EVENTOS!$C39)*(OFFSET(CÁLCULO!$AA$15:$AA$48,0,R$13))),2),0)</f>
        <v>0</v>
      </c>
      <c r="S39" s="620" cm="1">
        <f t="array" aca="1" ref="S39" ca="1">IF(AUTOEVENTO="Manual",ROUND(SUMPRODUCT((CÁLCULO!$M$15:$M$48=EVENTOS!$C39)*(OFFSET(CÁLCULO!$AA$15:$AA$48,0,S$13))),2),0)</f>
        <v>0</v>
      </c>
      <c r="T39" s="620" cm="1">
        <f t="array" aca="1" ref="T39" ca="1">IF(AUTOEVENTO="Manual",ROUND(SUMPRODUCT((CÁLCULO!$M$15:$M$48=EVENTOS!$C39)*(OFFSET(CÁLCULO!$AA$15:$AA$48,0,T$13))),2),0)</f>
        <v>0</v>
      </c>
      <c r="U39" s="620" cm="1">
        <f t="array" aca="1" ref="U39" ca="1">IF(AUTOEVENTO="Manual",ROUND(SUMPRODUCT((CÁLCULO!$M$15:$M$48=EVENTOS!$C39)*(OFFSET(CÁLCULO!$AA$15:$AA$48,0,U$13))),2),0)</f>
        <v>0</v>
      </c>
      <c r="V39" s="620" cm="1">
        <f t="array" aca="1" ref="V39" ca="1">IF(AUTOEVENTO="Manual",ROUND(SUMPRODUCT((CÁLCULO!$M$15:$M$48=EVENTOS!$C39)*(OFFSET(CÁLCULO!$AA$15:$AA$48,0,V$13))),2),0)</f>
        <v>0</v>
      </c>
      <c r="W39" s="620" cm="1">
        <f t="array" aca="1" ref="W39" ca="1">IF(AUTOEVENTO="Manual",ROUND(SUMPRODUCT((CÁLCULO!$M$15:$M$48=EVENTOS!$C39)*(OFFSET(CÁLCULO!$AA$15:$AA$48,0,W$13))),2),0)</f>
        <v>0</v>
      </c>
      <c r="X39" s="620" cm="1">
        <f t="array" aca="1" ref="X39" ca="1">IF(AUTOEVENTO="Manual",ROUND(SUMPRODUCT((CÁLCULO!$M$15:$M$48=EVENTOS!$C39)*(OFFSET(CÁLCULO!$AA$15:$AA$48,0,X$13))),2),0)</f>
        <v>0</v>
      </c>
      <c r="Y39" s="620" cm="1">
        <f t="array" aca="1" ref="Y39" ca="1">IF(AUTOEVENTO="Manual",ROUND(SUMPRODUCT((CÁLCULO!$M$15:$M$48=EVENTOS!$C39)*(OFFSET(CÁLCULO!$AA$15:$AA$48,0,Y$13))),2),0)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IF(AUTOEVENTO="Manual",ROUND(SUMPRODUCT((CÁLCULO!$M$15:$M$48=EVENTOS!$C40)*(OFFSET(CÁLCULO!$AA$15:$AA$48,0,E$13))),2),0)</f>
        <v>0</v>
      </c>
      <c r="F40" s="183">
        <f ca="1">IF(AUTOEVENTO="Manual",ROUND(SUMPRODUCT((CÁLCULO!$M$15:$M$48=EVENTOS!$C40)*(OFFSET(CÁLCULO!$AA$15,0,1):OFFSET(CÁLCULO!$AL$48,0,-1))),2),0)</f>
        <v>0</v>
      </c>
      <c r="G40" s="621" t="str">
        <f t="shared" ca="1" si="5"/>
        <v/>
      </c>
      <c r="H40" s="620" cm="1">
        <f t="array" aca="1" ref="H40" ca="1">IF(AUTOEVENTO="Manual",ROUND(SUMPRODUCT((CÁLCULO!$M$15:$M$48=EVENTOS!$C40)*(OFFSET(CÁLCULO!$AA$15:$AA$48,0,H$13))),2),0)</f>
        <v>0</v>
      </c>
      <c r="I40" s="620" cm="1">
        <f t="array" aca="1" ref="I40" ca="1">IF(AUTOEVENTO="Manual",ROUND(SUMPRODUCT((CÁLCULO!$M$15:$M$48=EVENTOS!$C40)*(OFFSET(CÁLCULO!$AA$15:$AA$48,0,I$13))),2),0)</f>
        <v>0</v>
      </c>
      <c r="J40" s="620" cm="1">
        <f t="array" aca="1" ref="J40" ca="1">IF(AUTOEVENTO="Manual",ROUND(SUMPRODUCT((CÁLCULO!$M$15:$M$48=EVENTOS!$C40)*(OFFSET(CÁLCULO!$AA$15:$AA$48,0,J$13))),2),0)</f>
        <v>0</v>
      </c>
      <c r="K40" s="620" cm="1">
        <f t="array" aca="1" ref="K40" ca="1">IF(AUTOEVENTO="Manual",ROUND(SUMPRODUCT((CÁLCULO!$M$15:$M$48=EVENTOS!$C40)*(OFFSET(CÁLCULO!$AA$15:$AA$48,0,K$13))),2),0)</f>
        <v>0</v>
      </c>
      <c r="L40" s="620" cm="1">
        <f t="array" aca="1" ref="L40" ca="1">IF(AUTOEVENTO="Manual",ROUND(SUMPRODUCT((CÁLCULO!$M$15:$M$48=EVENTOS!$C40)*(OFFSET(CÁLCULO!$AA$15:$AA$48,0,L$13))),2),0)</f>
        <v>0</v>
      </c>
      <c r="M40" s="620" cm="1">
        <f t="array" aca="1" ref="M40" ca="1">IF(AUTOEVENTO="Manual",ROUND(SUMPRODUCT((CÁLCULO!$M$15:$M$48=EVENTOS!$C40)*(OFFSET(CÁLCULO!$AA$15:$AA$48,0,M$13))),2),0)</f>
        <v>0</v>
      </c>
      <c r="N40" s="620" cm="1">
        <f t="array" aca="1" ref="N40" ca="1">IF(AUTOEVENTO="Manual",ROUND(SUMPRODUCT((CÁLCULO!$M$15:$M$48=EVENTOS!$C40)*(OFFSET(CÁLCULO!$AA$15:$AA$48,0,N$13))),2),0)</f>
        <v>0</v>
      </c>
      <c r="O40" s="620" cm="1">
        <f t="array" aca="1" ref="O40" ca="1">IF(AUTOEVENTO="Manual",ROUND(SUMPRODUCT((CÁLCULO!$M$15:$M$48=EVENTOS!$C40)*(OFFSET(CÁLCULO!$AA$15:$AA$48,0,O$13))),2),0)</f>
        <v>0</v>
      </c>
      <c r="P40" s="620" cm="1">
        <f t="array" aca="1" ref="P40" ca="1">IF(AUTOEVENTO="Manual",ROUND(SUMPRODUCT((CÁLCULO!$M$15:$M$48=EVENTOS!$C40)*(OFFSET(CÁLCULO!$AA$15:$AA$48,0,P$13))),2),0)</f>
        <v>0</v>
      </c>
      <c r="Q40" s="620" cm="1">
        <f t="array" aca="1" ref="Q40" ca="1">IF(AUTOEVENTO="Manual",ROUND(SUMPRODUCT((CÁLCULO!$M$15:$M$48=EVENTOS!$C40)*(OFFSET(CÁLCULO!$AA$15:$AA$48,0,Q$13))),2),0)</f>
        <v>0</v>
      </c>
      <c r="R40" s="620" cm="1">
        <f t="array" aca="1" ref="R40" ca="1">IF(AUTOEVENTO="Manual",ROUND(SUMPRODUCT((CÁLCULO!$M$15:$M$48=EVENTOS!$C40)*(OFFSET(CÁLCULO!$AA$15:$AA$48,0,R$13))),2),0)</f>
        <v>0</v>
      </c>
      <c r="S40" s="620" cm="1">
        <f t="array" aca="1" ref="S40" ca="1">IF(AUTOEVENTO="Manual",ROUND(SUMPRODUCT((CÁLCULO!$M$15:$M$48=EVENTOS!$C40)*(OFFSET(CÁLCULO!$AA$15:$AA$48,0,S$13))),2),0)</f>
        <v>0</v>
      </c>
      <c r="T40" s="620" cm="1">
        <f t="array" aca="1" ref="T40" ca="1">IF(AUTOEVENTO="Manual",ROUND(SUMPRODUCT((CÁLCULO!$M$15:$M$48=EVENTOS!$C40)*(OFFSET(CÁLCULO!$AA$15:$AA$48,0,T$13))),2),0)</f>
        <v>0</v>
      </c>
      <c r="U40" s="620" cm="1">
        <f t="array" aca="1" ref="U40" ca="1">IF(AUTOEVENTO="Manual",ROUND(SUMPRODUCT((CÁLCULO!$M$15:$M$48=EVENTOS!$C40)*(OFFSET(CÁLCULO!$AA$15:$AA$48,0,U$13))),2),0)</f>
        <v>0</v>
      </c>
      <c r="V40" s="620" cm="1">
        <f t="array" aca="1" ref="V40" ca="1">IF(AUTOEVENTO="Manual",ROUND(SUMPRODUCT((CÁLCULO!$M$15:$M$48=EVENTOS!$C40)*(OFFSET(CÁLCULO!$AA$15:$AA$48,0,V$13))),2),0)</f>
        <v>0</v>
      </c>
      <c r="W40" s="620" cm="1">
        <f t="array" aca="1" ref="W40" ca="1">IF(AUTOEVENTO="Manual",ROUND(SUMPRODUCT((CÁLCULO!$M$15:$M$48=EVENTOS!$C40)*(OFFSET(CÁLCULO!$AA$15:$AA$48,0,W$13))),2),0)</f>
        <v>0</v>
      </c>
      <c r="X40" s="620" cm="1">
        <f t="array" aca="1" ref="X40" ca="1">IF(AUTOEVENTO="Manual",ROUND(SUMPRODUCT((CÁLCULO!$M$15:$M$48=EVENTOS!$C40)*(OFFSET(CÁLCULO!$AA$15:$AA$48,0,X$13))),2),0)</f>
        <v>0</v>
      </c>
      <c r="Y40" s="620" cm="1">
        <f t="array" aca="1" ref="Y40" ca="1">IF(AUTOEVENTO="Manual",ROUND(SUMPRODUCT((CÁLCULO!$M$15:$M$48=EVENTOS!$C40)*(OFFSET(CÁLCULO!$AA$15:$AA$48,0,Y$13))),2),0)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IF(AUTOEVENTO="Manual",ROUND(SUMPRODUCT((CÁLCULO!$M$15:$M$48=EVENTOS!$C41)*(OFFSET(CÁLCULO!$AA$15:$AA$48,0,E$13))),2),0)</f>
        <v>0</v>
      </c>
      <c r="F41" s="183">
        <f ca="1">IF(AUTOEVENTO="Manual",ROUND(SUMPRODUCT((CÁLCULO!$M$15:$M$48=EVENTOS!$C41)*(OFFSET(CÁLCULO!$AA$15,0,1):OFFSET(CÁLCULO!$AL$48,0,-1))),2),0)</f>
        <v>0</v>
      </c>
      <c r="G41" s="621" t="str">
        <f t="shared" ca="1" si="5"/>
        <v/>
      </c>
      <c r="H41" s="620" cm="1">
        <f t="array" aca="1" ref="H41" ca="1">IF(AUTOEVENTO="Manual",ROUND(SUMPRODUCT((CÁLCULO!$M$15:$M$48=EVENTOS!$C41)*(OFFSET(CÁLCULO!$AA$15:$AA$48,0,H$13))),2),0)</f>
        <v>0</v>
      </c>
      <c r="I41" s="620" cm="1">
        <f t="array" aca="1" ref="I41" ca="1">IF(AUTOEVENTO="Manual",ROUND(SUMPRODUCT((CÁLCULO!$M$15:$M$48=EVENTOS!$C41)*(OFFSET(CÁLCULO!$AA$15:$AA$48,0,I$13))),2),0)</f>
        <v>0</v>
      </c>
      <c r="J41" s="620" cm="1">
        <f t="array" aca="1" ref="J41" ca="1">IF(AUTOEVENTO="Manual",ROUND(SUMPRODUCT((CÁLCULO!$M$15:$M$48=EVENTOS!$C41)*(OFFSET(CÁLCULO!$AA$15:$AA$48,0,J$13))),2),0)</f>
        <v>0</v>
      </c>
      <c r="K41" s="620" cm="1">
        <f t="array" aca="1" ref="K41" ca="1">IF(AUTOEVENTO="Manual",ROUND(SUMPRODUCT((CÁLCULO!$M$15:$M$48=EVENTOS!$C41)*(OFFSET(CÁLCULO!$AA$15:$AA$48,0,K$13))),2),0)</f>
        <v>0</v>
      </c>
      <c r="L41" s="620" cm="1">
        <f t="array" aca="1" ref="L41" ca="1">IF(AUTOEVENTO="Manual",ROUND(SUMPRODUCT((CÁLCULO!$M$15:$M$48=EVENTOS!$C41)*(OFFSET(CÁLCULO!$AA$15:$AA$48,0,L$13))),2),0)</f>
        <v>0</v>
      </c>
      <c r="M41" s="620" cm="1">
        <f t="array" aca="1" ref="M41" ca="1">IF(AUTOEVENTO="Manual",ROUND(SUMPRODUCT((CÁLCULO!$M$15:$M$48=EVENTOS!$C41)*(OFFSET(CÁLCULO!$AA$15:$AA$48,0,M$13))),2),0)</f>
        <v>0</v>
      </c>
      <c r="N41" s="620" cm="1">
        <f t="array" aca="1" ref="N41" ca="1">IF(AUTOEVENTO="Manual",ROUND(SUMPRODUCT((CÁLCULO!$M$15:$M$48=EVENTOS!$C41)*(OFFSET(CÁLCULO!$AA$15:$AA$48,0,N$13))),2),0)</f>
        <v>0</v>
      </c>
      <c r="O41" s="620" cm="1">
        <f t="array" aca="1" ref="O41" ca="1">IF(AUTOEVENTO="Manual",ROUND(SUMPRODUCT((CÁLCULO!$M$15:$M$48=EVENTOS!$C41)*(OFFSET(CÁLCULO!$AA$15:$AA$48,0,O$13))),2),0)</f>
        <v>0</v>
      </c>
      <c r="P41" s="620" cm="1">
        <f t="array" aca="1" ref="P41" ca="1">IF(AUTOEVENTO="Manual",ROUND(SUMPRODUCT((CÁLCULO!$M$15:$M$48=EVENTOS!$C41)*(OFFSET(CÁLCULO!$AA$15:$AA$48,0,P$13))),2),0)</f>
        <v>0</v>
      </c>
      <c r="Q41" s="620" cm="1">
        <f t="array" aca="1" ref="Q41" ca="1">IF(AUTOEVENTO="Manual",ROUND(SUMPRODUCT((CÁLCULO!$M$15:$M$48=EVENTOS!$C41)*(OFFSET(CÁLCULO!$AA$15:$AA$48,0,Q$13))),2),0)</f>
        <v>0</v>
      </c>
      <c r="R41" s="620" cm="1">
        <f t="array" aca="1" ref="R41" ca="1">IF(AUTOEVENTO="Manual",ROUND(SUMPRODUCT((CÁLCULO!$M$15:$M$48=EVENTOS!$C41)*(OFFSET(CÁLCULO!$AA$15:$AA$48,0,R$13))),2),0)</f>
        <v>0</v>
      </c>
      <c r="S41" s="620" cm="1">
        <f t="array" aca="1" ref="S41" ca="1">IF(AUTOEVENTO="Manual",ROUND(SUMPRODUCT((CÁLCULO!$M$15:$M$48=EVENTOS!$C41)*(OFFSET(CÁLCULO!$AA$15:$AA$48,0,S$13))),2),0)</f>
        <v>0</v>
      </c>
      <c r="T41" s="620" cm="1">
        <f t="array" aca="1" ref="T41" ca="1">IF(AUTOEVENTO="Manual",ROUND(SUMPRODUCT((CÁLCULO!$M$15:$M$48=EVENTOS!$C41)*(OFFSET(CÁLCULO!$AA$15:$AA$48,0,T$13))),2),0)</f>
        <v>0</v>
      </c>
      <c r="U41" s="620" cm="1">
        <f t="array" aca="1" ref="U41" ca="1">IF(AUTOEVENTO="Manual",ROUND(SUMPRODUCT((CÁLCULO!$M$15:$M$48=EVENTOS!$C41)*(OFFSET(CÁLCULO!$AA$15:$AA$48,0,U$13))),2),0)</f>
        <v>0</v>
      </c>
      <c r="V41" s="620" cm="1">
        <f t="array" aca="1" ref="V41" ca="1">IF(AUTOEVENTO="Manual",ROUND(SUMPRODUCT((CÁLCULO!$M$15:$M$48=EVENTOS!$C41)*(OFFSET(CÁLCULO!$AA$15:$AA$48,0,V$13))),2),0)</f>
        <v>0</v>
      </c>
      <c r="W41" s="620" cm="1">
        <f t="array" aca="1" ref="W41" ca="1">IF(AUTOEVENTO="Manual",ROUND(SUMPRODUCT((CÁLCULO!$M$15:$M$48=EVENTOS!$C41)*(OFFSET(CÁLCULO!$AA$15:$AA$48,0,W$13))),2),0)</f>
        <v>0</v>
      </c>
      <c r="X41" s="620" cm="1">
        <f t="array" aca="1" ref="X41" ca="1">IF(AUTOEVENTO="Manual",ROUND(SUMPRODUCT((CÁLCULO!$M$15:$M$48=EVENTOS!$C41)*(OFFSET(CÁLCULO!$AA$15:$AA$48,0,X$13))),2),0)</f>
        <v>0</v>
      </c>
      <c r="Y41" s="620" cm="1">
        <f t="array" aca="1" ref="Y41" ca="1">IF(AUTOEVENTO="Manual",ROUND(SUMPRODUCT((CÁLCULO!$M$15:$M$48=EVENTOS!$C41)*(OFFSET(CÁLCULO!$AA$15:$AA$48,0,Y$13))),2),0)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IF(AUTOEVENTO="Manual",ROUND(SUMPRODUCT((CÁLCULO!$M$15:$M$48=EVENTOS!$C42)*(OFFSET(CÁLCULO!$AA$15:$AA$48,0,E$13))),2),0)</f>
        <v>0</v>
      </c>
      <c r="F42" s="183">
        <f ca="1">IF(AUTOEVENTO="Manual",ROUND(SUMPRODUCT((CÁLCULO!$M$15:$M$48=EVENTOS!$C42)*(OFFSET(CÁLCULO!$AA$15,0,1):OFFSET(CÁLCULO!$AL$48,0,-1))),2),0)</f>
        <v>0</v>
      </c>
      <c r="G42" s="621" t="str">
        <f t="shared" ca="1" si="5"/>
        <v/>
      </c>
      <c r="H42" s="620" cm="1">
        <f t="array" aca="1" ref="H42" ca="1">IF(AUTOEVENTO="Manual",ROUND(SUMPRODUCT((CÁLCULO!$M$15:$M$48=EVENTOS!$C42)*(OFFSET(CÁLCULO!$AA$15:$AA$48,0,H$13))),2),0)</f>
        <v>0</v>
      </c>
      <c r="I42" s="620" cm="1">
        <f t="array" aca="1" ref="I42" ca="1">IF(AUTOEVENTO="Manual",ROUND(SUMPRODUCT((CÁLCULO!$M$15:$M$48=EVENTOS!$C42)*(OFFSET(CÁLCULO!$AA$15:$AA$48,0,I$13))),2),0)</f>
        <v>0</v>
      </c>
      <c r="J42" s="620" cm="1">
        <f t="array" aca="1" ref="J42" ca="1">IF(AUTOEVENTO="Manual",ROUND(SUMPRODUCT((CÁLCULO!$M$15:$M$48=EVENTOS!$C42)*(OFFSET(CÁLCULO!$AA$15:$AA$48,0,J$13))),2),0)</f>
        <v>0</v>
      </c>
      <c r="K42" s="620" cm="1">
        <f t="array" aca="1" ref="K42" ca="1">IF(AUTOEVENTO="Manual",ROUND(SUMPRODUCT((CÁLCULO!$M$15:$M$48=EVENTOS!$C42)*(OFFSET(CÁLCULO!$AA$15:$AA$48,0,K$13))),2),0)</f>
        <v>0</v>
      </c>
      <c r="L42" s="620" cm="1">
        <f t="array" aca="1" ref="L42" ca="1">IF(AUTOEVENTO="Manual",ROUND(SUMPRODUCT((CÁLCULO!$M$15:$M$48=EVENTOS!$C42)*(OFFSET(CÁLCULO!$AA$15:$AA$48,0,L$13))),2),0)</f>
        <v>0</v>
      </c>
      <c r="M42" s="620" cm="1">
        <f t="array" aca="1" ref="M42" ca="1">IF(AUTOEVENTO="Manual",ROUND(SUMPRODUCT((CÁLCULO!$M$15:$M$48=EVENTOS!$C42)*(OFFSET(CÁLCULO!$AA$15:$AA$48,0,M$13))),2),0)</f>
        <v>0</v>
      </c>
      <c r="N42" s="620" cm="1">
        <f t="array" aca="1" ref="N42" ca="1">IF(AUTOEVENTO="Manual",ROUND(SUMPRODUCT((CÁLCULO!$M$15:$M$48=EVENTOS!$C42)*(OFFSET(CÁLCULO!$AA$15:$AA$48,0,N$13))),2),0)</f>
        <v>0</v>
      </c>
      <c r="O42" s="620" cm="1">
        <f t="array" aca="1" ref="O42" ca="1">IF(AUTOEVENTO="Manual",ROUND(SUMPRODUCT((CÁLCULO!$M$15:$M$48=EVENTOS!$C42)*(OFFSET(CÁLCULO!$AA$15:$AA$48,0,O$13))),2),0)</f>
        <v>0</v>
      </c>
      <c r="P42" s="620" cm="1">
        <f t="array" aca="1" ref="P42" ca="1">IF(AUTOEVENTO="Manual",ROUND(SUMPRODUCT((CÁLCULO!$M$15:$M$48=EVENTOS!$C42)*(OFFSET(CÁLCULO!$AA$15:$AA$48,0,P$13))),2),0)</f>
        <v>0</v>
      </c>
      <c r="Q42" s="620" cm="1">
        <f t="array" aca="1" ref="Q42" ca="1">IF(AUTOEVENTO="Manual",ROUND(SUMPRODUCT((CÁLCULO!$M$15:$M$48=EVENTOS!$C42)*(OFFSET(CÁLCULO!$AA$15:$AA$48,0,Q$13))),2),0)</f>
        <v>0</v>
      </c>
      <c r="R42" s="620" cm="1">
        <f t="array" aca="1" ref="R42" ca="1">IF(AUTOEVENTO="Manual",ROUND(SUMPRODUCT((CÁLCULO!$M$15:$M$48=EVENTOS!$C42)*(OFFSET(CÁLCULO!$AA$15:$AA$48,0,R$13))),2),0)</f>
        <v>0</v>
      </c>
      <c r="S42" s="620" cm="1">
        <f t="array" aca="1" ref="S42" ca="1">IF(AUTOEVENTO="Manual",ROUND(SUMPRODUCT((CÁLCULO!$M$15:$M$48=EVENTOS!$C42)*(OFFSET(CÁLCULO!$AA$15:$AA$48,0,S$13))),2),0)</f>
        <v>0</v>
      </c>
      <c r="T42" s="620" cm="1">
        <f t="array" aca="1" ref="T42" ca="1">IF(AUTOEVENTO="Manual",ROUND(SUMPRODUCT((CÁLCULO!$M$15:$M$48=EVENTOS!$C42)*(OFFSET(CÁLCULO!$AA$15:$AA$48,0,T$13))),2),0)</f>
        <v>0</v>
      </c>
      <c r="U42" s="620" cm="1">
        <f t="array" aca="1" ref="U42" ca="1">IF(AUTOEVENTO="Manual",ROUND(SUMPRODUCT((CÁLCULO!$M$15:$M$48=EVENTOS!$C42)*(OFFSET(CÁLCULO!$AA$15:$AA$48,0,U$13))),2),0)</f>
        <v>0</v>
      </c>
      <c r="V42" s="620" cm="1">
        <f t="array" aca="1" ref="V42" ca="1">IF(AUTOEVENTO="Manual",ROUND(SUMPRODUCT((CÁLCULO!$M$15:$M$48=EVENTOS!$C42)*(OFFSET(CÁLCULO!$AA$15:$AA$48,0,V$13))),2),0)</f>
        <v>0</v>
      </c>
      <c r="W42" s="620" cm="1">
        <f t="array" aca="1" ref="W42" ca="1">IF(AUTOEVENTO="Manual",ROUND(SUMPRODUCT((CÁLCULO!$M$15:$M$48=EVENTOS!$C42)*(OFFSET(CÁLCULO!$AA$15:$AA$48,0,W$13))),2),0)</f>
        <v>0</v>
      </c>
      <c r="X42" s="620" cm="1">
        <f t="array" aca="1" ref="X42" ca="1">IF(AUTOEVENTO="Manual",ROUND(SUMPRODUCT((CÁLCULO!$M$15:$M$48=EVENTOS!$C42)*(OFFSET(CÁLCULO!$AA$15:$AA$48,0,X$13))),2),0)</f>
        <v>0</v>
      </c>
      <c r="Y42" s="620" cm="1">
        <f t="array" aca="1" ref="Y42" ca="1">IF(AUTOEVENTO="Manual",ROUND(SUMPRODUCT((CÁLCULO!$M$15:$M$48=EVENTOS!$C42)*(OFFSET(CÁLCULO!$AA$15:$AA$48,0,Y$13))),2),0)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IF(AUTOEVENTO="Manual",ROUND(SUMPRODUCT((CÁLCULO!$M$15:$M$48=EVENTOS!$C43)*(OFFSET(CÁLCULO!$AA$15:$AA$48,0,E$13))),2),0)</f>
        <v>0</v>
      </c>
      <c r="F43" s="183">
        <f ca="1">IF(AUTOEVENTO="Manual",ROUND(SUMPRODUCT((CÁLCULO!$M$15:$M$48=EVENTOS!$C43)*(OFFSET(CÁLCULO!$AA$15,0,1):OFFSET(CÁLCULO!$AL$48,0,-1))),2),0)</f>
        <v>0</v>
      </c>
      <c r="G43" s="621" t="str">
        <f t="shared" ca="1" si="5"/>
        <v/>
      </c>
      <c r="H43" s="620" cm="1">
        <f t="array" aca="1" ref="H43" ca="1">IF(AUTOEVENTO="Manual",ROUND(SUMPRODUCT((CÁLCULO!$M$15:$M$48=EVENTOS!$C43)*(OFFSET(CÁLCULO!$AA$15:$AA$48,0,H$13))),2),0)</f>
        <v>0</v>
      </c>
      <c r="I43" s="620" cm="1">
        <f t="array" aca="1" ref="I43" ca="1">IF(AUTOEVENTO="Manual",ROUND(SUMPRODUCT((CÁLCULO!$M$15:$M$48=EVENTOS!$C43)*(OFFSET(CÁLCULO!$AA$15:$AA$48,0,I$13))),2),0)</f>
        <v>0</v>
      </c>
      <c r="J43" s="620" cm="1">
        <f t="array" aca="1" ref="J43" ca="1">IF(AUTOEVENTO="Manual",ROUND(SUMPRODUCT((CÁLCULO!$M$15:$M$48=EVENTOS!$C43)*(OFFSET(CÁLCULO!$AA$15:$AA$48,0,J$13))),2),0)</f>
        <v>0</v>
      </c>
      <c r="K43" s="620" cm="1">
        <f t="array" aca="1" ref="K43" ca="1">IF(AUTOEVENTO="Manual",ROUND(SUMPRODUCT((CÁLCULO!$M$15:$M$48=EVENTOS!$C43)*(OFFSET(CÁLCULO!$AA$15:$AA$48,0,K$13))),2),0)</f>
        <v>0</v>
      </c>
      <c r="L43" s="620" cm="1">
        <f t="array" aca="1" ref="L43" ca="1">IF(AUTOEVENTO="Manual",ROUND(SUMPRODUCT((CÁLCULO!$M$15:$M$48=EVENTOS!$C43)*(OFFSET(CÁLCULO!$AA$15:$AA$48,0,L$13))),2),0)</f>
        <v>0</v>
      </c>
      <c r="M43" s="620" cm="1">
        <f t="array" aca="1" ref="M43" ca="1">IF(AUTOEVENTO="Manual",ROUND(SUMPRODUCT((CÁLCULO!$M$15:$M$48=EVENTOS!$C43)*(OFFSET(CÁLCULO!$AA$15:$AA$48,0,M$13))),2),0)</f>
        <v>0</v>
      </c>
      <c r="N43" s="620" cm="1">
        <f t="array" aca="1" ref="N43" ca="1">IF(AUTOEVENTO="Manual",ROUND(SUMPRODUCT((CÁLCULO!$M$15:$M$48=EVENTOS!$C43)*(OFFSET(CÁLCULO!$AA$15:$AA$48,0,N$13))),2),0)</f>
        <v>0</v>
      </c>
      <c r="O43" s="620" cm="1">
        <f t="array" aca="1" ref="O43" ca="1">IF(AUTOEVENTO="Manual",ROUND(SUMPRODUCT((CÁLCULO!$M$15:$M$48=EVENTOS!$C43)*(OFFSET(CÁLCULO!$AA$15:$AA$48,0,O$13))),2),0)</f>
        <v>0</v>
      </c>
      <c r="P43" s="620" cm="1">
        <f t="array" aca="1" ref="P43" ca="1">IF(AUTOEVENTO="Manual",ROUND(SUMPRODUCT((CÁLCULO!$M$15:$M$48=EVENTOS!$C43)*(OFFSET(CÁLCULO!$AA$15:$AA$48,0,P$13))),2),0)</f>
        <v>0</v>
      </c>
      <c r="Q43" s="620" cm="1">
        <f t="array" aca="1" ref="Q43" ca="1">IF(AUTOEVENTO="Manual",ROUND(SUMPRODUCT((CÁLCULO!$M$15:$M$48=EVENTOS!$C43)*(OFFSET(CÁLCULO!$AA$15:$AA$48,0,Q$13))),2),0)</f>
        <v>0</v>
      </c>
      <c r="R43" s="620" cm="1">
        <f t="array" aca="1" ref="R43" ca="1">IF(AUTOEVENTO="Manual",ROUND(SUMPRODUCT((CÁLCULO!$M$15:$M$48=EVENTOS!$C43)*(OFFSET(CÁLCULO!$AA$15:$AA$48,0,R$13))),2),0)</f>
        <v>0</v>
      </c>
      <c r="S43" s="620" cm="1">
        <f t="array" aca="1" ref="S43" ca="1">IF(AUTOEVENTO="Manual",ROUND(SUMPRODUCT((CÁLCULO!$M$15:$M$48=EVENTOS!$C43)*(OFFSET(CÁLCULO!$AA$15:$AA$48,0,S$13))),2),0)</f>
        <v>0</v>
      </c>
      <c r="T43" s="620" cm="1">
        <f t="array" aca="1" ref="T43" ca="1">IF(AUTOEVENTO="Manual",ROUND(SUMPRODUCT((CÁLCULO!$M$15:$M$48=EVENTOS!$C43)*(OFFSET(CÁLCULO!$AA$15:$AA$48,0,T$13))),2),0)</f>
        <v>0</v>
      </c>
      <c r="U43" s="620" cm="1">
        <f t="array" aca="1" ref="U43" ca="1">IF(AUTOEVENTO="Manual",ROUND(SUMPRODUCT((CÁLCULO!$M$15:$M$48=EVENTOS!$C43)*(OFFSET(CÁLCULO!$AA$15:$AA$48,0,U$13))),2),0)</f>
        <v>0</v>
      </c>
      <c r="V43" s="620" cm="1">
        <f t="array" aca="1" ref="V43" ca="1">IF(AUTOEVENTO="Manual",ROUND(SUMPRODUCT((CÁLCULO!$M$15:$M$48=EVENTOS!$C43)*(OFFSET(CÁLCULO!$AA$15:$AA$48,0,V$13))),2),0)</f>
        <v>0</v>
      </c>
      <c r="W43" s="620" cm="1">
        <f t="array" aca="1" ref="W43" ca="1">IF(AUTOEVENTO="Manual",ROUND(SUMPRODUCT((CÁLCULO!$M$15:$M$48=EVENTOS!$C43)*(OFFSET(CÁLCULO!$AA$15:$AA$48,0,W$13))),2),0)</f>
        <v>0</v>
      </c>
      <c r="X43" s="620" cm="1">
        <f t="array" aca="1" ref="X43" ca="1">IF(AUTOEVENTO="Manual",ROUND(SUMPRODUCT((CÁLCULO!$M$15:$M$48=EVENTOS!$C43)*(OFFSET(CÁLCULO!$AA$15:$AA$48,0,X$13))),2),0)</f>
        <v>0</v>
      </c>
      <c r="Y43" s="620" cm="1">
        <f t="array" aca="1" ref="Y43" ca="1">IF(AUTOEVENTO="Manual",ROUND(SUMPRODUCT((CÁLCULO!$M$15:$M$48=EVENTOS!$C43)*(OFFSET(CÁLCULO!$AA$15:$AA$48,0,Y$13))),2),0)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IF(AUTOEVENTO="Manual",ROUND(SUMPRODUCT((CÁLCULO!$M$15:$M$48=EVENTOS!$C44)*(OFFSET(CÁLCULO!$AA$15:$AA$48,0,E$13))),2),0)</f>
        <v>0</v>
      </c>
      <c r="F44" s="183">
        <f ca="1">IF(AUTOEVENTO="Manual",ROUND(SUMPRODUCT((CÁLCULO!$M$15:$M$48=EVENTOS!$C44)*(OFFSET(CÁLCULO!$AA$15,0,1):OFFSET(CÁLCULO!$AL$48,0,-1))),2),0)</f>
        <v>0</v>
      </c>
      <c r="G44" s="621" t="str">
        <f t="shared" ca="1" si="5"/>
        <v/>
      </c>
      <c r="H44" s="620" cm="1">
        <f t="array" aca="1" ref="H44" ca="1">IF(AUTOEVENTO="Manual",ROUND(SUMPRODUCT((CÁLCULO!$M$15:$M$48=EVENTOS!$C44)*(OFFSET(CÁLCULO!$AA$15:$AA$48,0,H$13))),2),0)</f>
        <v>0</v>
      </c>
      <c r="I44" s="620" cm="1">
        <f t="array" aca="1" ref="I44" ca="1">IF(AUTOEVENTO="Manual",ROUND(SUMPRODUCT((CÁLCULO!$M$15:$M$48=EVENTOS!$C44)*(OFFSET(CÁLCULO!$AA$15:$AA$48,0,I$13))),2),0)</f>
        <v>0</v>
      </c>
      <c r="J44" s="620" cm="1">
        <f t="array" aca="1" ref="J44" ca="1">IF(AUTOEVENTO="Manual",ROUND(SUMPRODUCT((CÁLCULO!$M$15:$M$48=EVENTOS!$C44)*(OFFSET(CÁLCULO!$AA$15:$AA$48,0,J$13))),2),0)</f>
        <v>0</v>
      </c>
      <c r="K44" s="620" cm="1">
        <f t="array" aca="1" ref="K44" ca="1">IF(AUTOEVENTO="Manual",ROUND(SUMPRODUCT((CÁLCULO!$M$15:$M$48=EVENTOS!$C44)*(OFFSET(CÁLCULO!$AA$15:$AA$48,0,K$13))),2),0)</f>
        <v>0</v>
      </c>
      <c r="L44" s="620" cm="1">
        <f t="array" aca="1" ref="L44" ca="1">IF(AUTOEVENTO="Manual",ROUND(SUMPRODUCT((CÁLCULO!$M$15:$M$48=EVENTOS!$C44)*(OFFSET(CÁLCULO!$AA$15:$AA$48,0,L$13))),2),0)</f>
        <v>0</v>
      </c>
      <c r="M44" s="620" cm="1">
        <f t="array" aca="1" ref="M44" ca="1">IF(AUTOEVENTO="Manual",ROUND(SUMPRODUCT((CÁLCULO!$M$15:$M$48=EVENTOS!$C44)*(OFFSET(CÁLCULO!$AA$15:$AA$48,0,M$13))),2),0)</f>
        <v>0</v>
      </c>
      <c r="N44" s="620" cm="1">
        <f t="array" aca="1" ref="N44" ca="1">IF(AUTOEVENTO="Manual",ROUND(SUMPRODUCT((CÁLCULO!$M$15:$M$48=EVENTOS!$C44)*(OFFSET(CÁLCULO!$AA$15:$AA$48,0,N$13))),2),0)</f>
        <v>0</v>
      </c>
      <c r="O44" s="620" cm="1">
        <f t="array" aca="1" ref="O44" ca="1">IF(AUTOEVENTO="Manual",ROUND(SUMPRODUCT((CÁLCULO!$M$15:$M$48=EVENTOS!$C44)*(OFFSET(CÁLCULO!$AA$15:$AA$48,0,O$13))),2),0)</f>
        <v>0</v>
      </c>
      <c r="P44" s="620" cm="1">
        <f t="array" aca="1" ref="P44" ca="1">IF(AUTOEVENTO="Manual",ROUND(SUMPRODUCT((CÁLCULO!$M$15:$M$48=EVENTOS!$C44)*(OFFSET(CÁLCULO!$AA$15:$AA$48,0,P$13))),2),0)</f>
        <v>0</v>
      </c>
      <c r="Q44" s="620" cm="1">
        <f t="array" aca="1" ref="Q44" ca="1">IF(AUTOEVENTO="Manual",ROUND(SUMPRODUCT((CÁLCULO!$M$15:$M$48=EVENTOS!$C44)*(OFFSET(CÁLCULO!$AA$15:$AA$48,0,Q$13))),2),0)</f>
        <v>0</v>
      </c>
      <c r="R44" s="620" cm="1">
        <f t="array" aca="1" ref="R44" ca="1">IF(AUTOEVENTO="Manual",ROUND(SUMPRODUCT((CÁLCULO!$M$15:$M$48=EVENTOS!$C44)*(OFFSET(CÁLCULO!$AA$15:$AA$48,0,R$13))),2),0)</f>
        <v>0</v>
      </c>
      <c r="S44" s="620" cm="1">
        <f t="array" aca="1" ref="S44" ca="1">IF(AUTOEVENTO="Manual",ROUND(SUMPRODUCT((CÁLCULO!$M$15:$M$48=EVENTOS!$C44)*(OFFSET(CÁLCULO!$AA$15:$AA$48,0,S$13))),2),0)</f>
        <v>0</v>
      </c>
      <c r="T44" s="620" cm="1">
        <f t="array" aca="1" ref="T44" ca="1">IF(AUTOEVENTO="Manual",ROUND(SUMPRODUCT((CÁLCULO!$M$15:$M$48=EVENTOS!$C44)*(OFFSET(CÁLCULO!$AA$15:$AA$48,0,T$13))),2),0)</f>
        <v>0</v>
      </c>
      <c r="U44" s="620" cm="1">
        <f t="array" aca="1" ref="U44" ca="1">IF(AUTOEVENTO="Manual",ROUND(SUMPRODUCT((CÁLCULO!$M$15:$M$48=EVENTOS!$C44)*(OFFSET(CÁLCULO!$AA$15:$AA$48,0,U$13))),2),0)</f>
        <v>0</v>
      </c>
      <c r="V44" s="620" cm="1">
        <f t="array" aca="1" ref="V44" ca="1">IF(AUTOEVENTO="Manual",ROUND(SUMPRODUCT((CÁLCULO!$M$15:$M$48=EVENTOS!$C44)*(OFFSET(CÁLCULO!$AA$15:$AA$48,0,V$13))),2),0)</f>
        <v>0</v>
      </c>
      <c r="W44" s="620" cm="1">
        <f t="array" aca="1" ref="W44" ca="1">IF(AUTOEVENTO="Manual",ROUND(SUMPRODUCT((CÁLCULO!$M$15:$M$48=EVENTOS!$C44)*(OFFSET(CÁLCULO!$AA$15:$AA$48,0,W$13))),2),0)</f>
        <v>0</v>
      </c>
      <c r="X44" s="620" cm="1">
        <f t="array" aca="1" ref="X44" ca="1">IF(AUTOEVENTO="Manual",ROUND(SUMPRODUCT((CÁLCULO!$M$15:$M$48=EVENTOS!$C44)*(OFFSET(CÁLCULO!$AA$15:$AA$48,0,X$13))),2),0)</f>
        <v>0</v>
      </c>
      <c r="Y44" s="620" cm="1">
        <f t="array" aca="1" ref="Y44" ca="1">IF(AUTOEVENTO="Manual",ROUND(SUMPRODUCT((CÁLCULO!$M$15:$M$48=EVENTOS!$C44)*(OFFSET(CÁLCULO!$AA$15:$AA$48,0,Y$13))),2),0)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IF(AUTOEVENTO="Manual",ROUND(SUMPRODUCT((CÁLCULO!$M$15:$M$48=EVENTOS!$C45)*(OFFSET(CÁLCULO!$AA$15:$AA$48,0,E$13))),2),0)</f>
        <v>0</v>
      </c>
      <c r="F45" s="183">
        <f ca="1">IF(AUTOEVENTO="Manual",ROUND(SUMPRODUCT((CÁLCULO!$M$15:$M$48=EVENTOS!$C45)*(OFFSET(CÁLCULO!$AA$15,0,1):OFFSET(CÁLCULO!$AL$48,0,-1))),2),0)</f>
        <v>0</v>
      </c>
      <c r="G45" s="621" t="str">
        <f t="shared" ca="1" si="5"/>
        <v/>
      </c>
      <c r="H45" s="620" cm="1">
        <f t="array" aca="1" ref="H45" ca="1">IF(AUTOEVENTO="Manual",ROUND(SUMPRODUCT((CÁLCULO!$M$15:$M$48=EVENTOS!$C45)*(OFFSET(CÁLCULO!$AA$15:$AA$48,0,H$13))),2),0)</f>
        <v>0</v>
      </c>
      <c r="I45" s="620" cm="1">
        <f t="array" aca="1" ref="I45" ca="1">IF(AUTOEVENTO="Manual",ROUND(SUMPRODUCT((CÁLCULO!$M$15:$M$48=EVENTOS!$C45)*(OFFSET(CÁLCULO!$AA$15:$AA$48,0,I$13))),2),0)</f>
        <v>0</v>
      </c>
      <c r="J45" s="620" cm="1">
        <f t="array" aca="1" ref="J45" ca="1">IF(AUTOEVENTO="Manual",ROUND(SUMPRODUCT((CÁLCULO!$M$15:$M$48=EVENTOS!$C45)*(OFFSET(CÁLCULO!$AA$15:$AA$48,0,J$13))),2),0)</f>
        <v>0</v>
      </c>
      <c r="K45" s="620" cm="1">
        <f t="array" aca="1" ref="K45" ca="1">IF(AUTOEVENTO="Manual",ROUND(SUMPRODUCT((CÁLCULO!$M$15:$M$48=EVENTOS!$C45)*(OFFSET(CÁLCULO!$AA$15:$AA$48,0,K$13))),2),0)</f>
        <v>0</v>
      </c>
      <c r="L45" s="620" cm="1">
        <f t="array" aca="1" ref="L45" ca="1">IF(AUTOEVENTO="Manual",ROUND(SUMPRODUCT((CÁLCULO!$M$15:$M$48=EVENTOS!$C45)*(OFFSET(CÁLCULO!$AA$15:$AA$48,0,L$13))),2),0)</f>
        <v>0</v>
      </c>
      <c r="M45" s="620" cm="1">
        <f t="array" aca="1" ref="M45" ca="1">IF(AUTOEVENTO="Manual",ROUND(SUMPRODUCT((CÁLCULO!$M$15:$M$48=EVENTOS!$C45)*(OFFSET(CÁLCULO!$AA$15:$AA$48,0,M$13))),2),0)</f>
        <v>0</v>
      </c>
      <c r="N45" s="620" cm="1">
        <f t="array" aca="1" ref="N45" ca="1">IF(AUTOEVENTO="Manual",ROUND(SUMPRODUCT((CÁLCULO!$M$15:$M$48=EVENTOS!$C45)*(OFFSET(CÁLCULO!$AA$15:$AA$48,0,N$13))),2),0)</f>
        <v>0</v>
      </c>
      <c r="O45" s="620" cm="1">
        <f t="array" aca="1" ref="O45" ca="1">IF(AUTOEVENTO="Manual",ROUND(SUMPRODUCT((CÁLCULO!$M$15:$M$48=EVENTOS!$C45)*(OFFSET(CÁLCULO!$AA$15:$AA$48,0,O$13))),2),0)</f>
        <v>0</v>
      </c>
      <c r="P45" s="620" cm="1">
        <f t="array" aca="1" ref="P45" ca="1">IF(AUTOEVENTO="Manual",ROUND(SUMPRODUCT((CÁLCULO!$M$15:$M$48=EVENTOS!$C45)*(OFFSET(CÁLCULO!$AA$15:$AA$48,0,P$13))),2),0)</f>
        <v>0</v>
      </c>
      <c r="Q45" s="620" cm="1">
        <f t="array" aca="1" ref="Q45" ca="1">IF(AUTOEVENTO="Manual",ROUND(SUMPRODUCT((CÁLCULO!$M$15:$M$48=EVENTOS!$C45)*(OFFSET(CÁLCULO!$AA$15:$AA$48,0,Q$13))),2),0)</f>
        <v>0</v>
      </c>
      <c r="R45" s="620" cm="1">
        <f t="array" aca="1" ref="R45" ca="1">IF(AUTOEVENTO="Manual",ROUND(SUMPRODUCT((CÁLCULO!$M$15:$M$48=EVENTOS!$C45)*(OFFSET(CÁLCULO!$AA$15:$AA$48,0,R$13))),2),0)</f>
        <v>0</v>
      </c>
      <c r="S45" s="620" cm="1">
        <f t="array" aca="1" ref="S45" ca="1">IF(AUTOEVENTO="Manual",ROUND(SUMPRODUCT((CÁLCULO!$M$15:$M$48=EVENTOS!$C45)*(OFFSET(CÁLCULO!$AA$15:$AA$48,0,S$13))),2),0)</f>
        <v>0</v>
      </c>
      <c r="T45" s="620" cm="1">
        <f t="array" aca="1" ref="T45" ca="1">IF(AUTOEVENTO="Manual",ROUND(SUMPRODUCT((CÁLCULO!$M$15:$M$48=EVENTOS!$C45)*(OFFSET(CÁLCULO!$AA$15:$AA$48,0,T$13))),2),0)</f>
        <v>0</v>
      </c>
      <c r="U45" s="620" cm="1">
        <f t="array" aca="1" ref="U45" ca="1">IF(AUTOEVENTO="Manual",ROUND(SUMPRODUCT((CÁLCULO!$M$15:$M$48=EVENTOS!$C45)*(OFFSET(CÁLCULO!$AA$15:$AA$48,0,U$13))),2),0)</f>
        <v>0</v>
      </c>
      <c r="V45" s="620" cm="1">
        <f t="array" aca="1" ref="V45" ca="1">IF(AUTOEVENTO="Manual",ROUND(SUMPRODUCT((CÁLCULO!$M$15:$M$48=EVENTOS!$C45)*(OFFSET(CÁLCULO!$AA$15:$AA$48,0,V$13))),2),0)</f>
        <v>0</v>
      </c>
      <c r="W45" s="620" cm="1">
        <f t="array" aca="1" ref="W45" ca="1">IF(AUTOEVENTO="Manual",ROUND(SUMPRODUCT((CÁLCULO!$M$15:$M$48=EVENTOS!$C45)*(OFFSET(CÁLCULO!$AA$15:$AA$48,0,W$13))),2),0)</f>
        <v>0</v>
      </c>
      <c r="X45" s="620" cm="1">
        <f t="array" aca="1" ref="X45" ca="1">IF(AUTOEVENTO="Manual",ROUND(SUMPRODUCT((CÁLCULO!$M$15:$M$48=EVENTOS!$C45)*(OFFSET(CÁLCULO!$AA$15:$AA$48,0,X$13))),2),0)</f>
        <v>0</v>
      </c>
      <c r="Y45" s="620" cm="1">
        <f t="array" aca="1" ref="Y45" ca="1">IF(AUTOEVENTO="Manual",ROUND(SUMPRODUCT((CÁLCULO!$M$15:$M$48=EVENTOS!$C45)*(OFFSET(CÁLCULO!$AA$15:$AA$48,0,Y$13))),2),0)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IF(AUTOEVENTO="Manual",ROUND(SUMPRODUCT((CÁLCULO!$M$15:$M$48=EVENTOS!$C46)*(OFFSET(CÁLCULO!$AA$15:$AA$48,0,E$13))),2),0)</f>
        <v>0</v>
      </c>
      <c r="F46" s="183">
        <f ca="1">IF(AUTOEVENTO="Manual",ROUND(SUMPRODUCT((CÁLCULO!$M$15:$M$48=EVENTOS!$C46)*(OFFSET(CÁLCULO!$AA$15,0,1):OFFSET(CÁLCULO!$AL$48,0,-1))),2),0)</f>
        <v>0</v>
      </c>
      <c r="G46" s="621" t="str">
        <f t="shared" ca="1" si="5"/>
        <v/>
      </c>
      <c r="H46" s="620" cm="1">
        <f t="array" aca="1" ref="H46" ca="1">IF(AUTOEVENTO="Manual",ROUND(SUMPRODUCT((CÁLCULO!$M$15:$M$48=EVENTOS!$C46)*(OFFSET(CÁLCULO!$AA$15:$AA$48,0,H$13))),2),0)</f>
        <v>0</v>
      </c>
      <c r="I46" s="620" cm="1">
        <f t="array" aca="1" ref="I46" ca="1">IF(AUTOEVENTO="Manual",ROUND(SUMPRODUCT((CÁLCULO!$M$15:$M$48=EVENTOS!$C46)*(OFFSET(CÁLCULO!$AA$15:$AA$48,0,I$13))),2),0)</f>
        <v>0</v>
      </c>
      <c r="J46" s="620" cm="1">
        <f t="array" aca="1" ref="J46" ca="1">IF(AUTOEVENTO="Manual",ROUND(SUMPRODUCT((CÁLCULO!$M$15:$M$48=EVENTOS!$C46)*(OFFSET(CÁLCULO!$AA$15:$AA$48,0,J$13))),2),0)</f>
        <v>0</v>
      </c>
      <c r="K46" s="620" cm="1">
        <f t="array" aca="1" ref="K46" ca="1">IF(AUTOEVENTO="Manual",ROUND(SUMPRODUCT((CÁLCULO!$M$15:$M$48=EVENTOS!$C46)*(OFFSET(CÁLCULO!$AA$15:$AA$48,0,K$13))),2),0)</f>
        <v>0</v>
      </c>
      <c r="L46" s="620" cm="1">
        <f t="array" aca="1" ref="L46" ca="1">IF(AUTOEVENTO="Manual",ROUND(SUMPRODUCT((CÁLCULO!$M$15:$M$48=EVENTOS!$C46)*(OFFSET(CÁLCULO!$AA$15:$AA$48,0,L$13))),2),0)</f>
        <v>0</v>
      </c>
      <c r="M46" s="620" cm="1">
        <f t="array" aca="1" ref="M46" ca="1">IF(AUTOEVENTO="Manual",ROUND(SUMPRODUCT((CÁLCULO!$M$15:$M$48=EVENTOS!$C46)*(OFFSET(CÁLCULO!$AA$15:$AA$48,0,M$13))),2),0)</f>
        <v>0</v>
      </c>
      <c r="N46" s="620" cm="1">
        <f t="array" aca="1" ref="N46" ca="1">IF(AUTOEVENTO="Manual",ROUND(SUMPRODUCT((CÁLCULO!$M$15:$M$48=EVENTOS!$C46)*(OFFSET(CÁLCULO!$AA$15:$AA$48,0,N$13))),2),0)</f>
        <v>0</v>
      </c>
      <c r="O46" s="620" cm="1">
        <f t="array" aca="1" ref="O46" ca="1">IF(AUTOEVENTO="Manual",ROUND(SUMPRODUCT((CÁLCULO!$M$15:$M$48=EVENTOS!$C46)*(OFFSET(CÁLCULO!$AA$15:$AA$48,0,O$13))),2),0)</f>
        <v>0</v>
      </c>
      <c r="P46" s="620" cm="1">
        <f t="array" aca="1" ref="P46" ca="1">IF(AUTOEVENTO="Manual",ROUND(SUMPRODUCT((CÁLCULO!$M$15:$M$48=EVENTOS!$C46)*(OFFSET(CÁLCULO!$AA$15:$AA$48,0,P$13))),2),0)</f>
        <v>0</v>
      </c>
      <c r="Q46" s="620" cm="1">
        <f t="array" aca="1" ref="Q46" ca="1">IF(AUTOEVENTO="Manual",ROUND(SUMPRODUCT((CÁLCULO!$M$15:$M$48=EVENTOS!$C46)*(OFFSET(CÁLCULO!$AA$15:$AA$48,0,Q$13))),2),0)</f>
        <v>0</v>
      </c>
      <c r="R46" s="620" cm="1">
        <f t="array" aca="1" ref="R46" ca="1">IF(AUTOEVENTO="Manual",ROUND(SUMPRODUCT((CÁLCULO!$M$15:$M$48=EVENTOS!$C46)*(OFFSET(CÁLCULO!$AA$15:$AA$48,0,R$13))),2),0)</f>
        <v>0</v>
      </c>
      <c r="S46" s="620" cm="1">
        <f t="array" aca="1" ref="S46" ca="1">IF(AUTOEVENTO="Manual",ROUND(SUMPRODUCT((CÁLCULO!$M$15:$M$48=EVENTOS!$C46)*(OFFSET(CÁLCULO!$AA$15:$AA$48,0,S$13))),2),0)</f>
        <v>0</v>
      </c>
      <c r="T46" s="620" cm="1">
        <f t="array" aca="1" ref="T46" ca="1">IF(AUTOEVENTO="Manual",ROUND(SUMPRODUCT((CÁLCULO!$M$15:$M$48=EVENTOS!$C46)*(OFFSET(CÁLCULO!$AA$15:$AA$48,0,T$13))),2),0)</f>
        <v>0</v>
      </c>
      <c r="U46" s="620" cm="1">
        <f t="array" aca="1" ref="U46" ca="1">IF(AUTOEVENTO="Manual",ROUND(SUMPRODUCT((CÁLCULO!$M$15:$M$48=EVENTOS!$C46)*(OFFSET(CÁLCULO!$AA$15:$AA$48,0,U$13))),2),0)</f>
        <v>0</v>
      </c>
      <c r="V46" s="620" cm="1">
        <f t="array" aca="1" ref="V46" ca="1">IF(AUTOEVENTO="Manual",ROUND(SUMPRODUCT((CÁLCULO!$M$15:$M$48=EVENTOS!$C46)*(OFFSET(CÁLCULO!$AA$15:$AA$48,0,V$13))),2),0)</f>
        <v>0</v>
      </c>
      <c r="W46" s="620" cm="1">
        <f t="array" aca="1" ref="W46" ca="1">IF(AUTOEVENTO="Manual",ROUND(SUMPRODUCT((CÁLCULO!$M$15:$M$48=EVENTOS!$C46)*(OFFSET(CÁLCULO!$AA$15:$AA$48,0,W$13))),2),0)</f>
        <v>0</v>
      </c>
      <c r="X46" s="620" cm="1">
        <f t="array" aca="1" ref="X46" ca="1">IF(AUTOEVENTO="Manual",ROUND(SUMPRODUCT((CÁLCULO!$M$15:$M$48=EVENTOS!$C46)*(OFFSET(CÁLCULO!$AA$15:$AA$48,0,X$13))),2),0)</f>
        <v>0</v>
      </c>
      <c r="Y46" s="620" cm="1">
        <f t="array" aca="1" ref="Y46" ca="1">IF(AUTOEVENTO="Manual",ROUND(SUMPRODUCT((CÁLCULO!$M$15:$M$48=EVENTOS!$C46)*(OFFSET(CÁLCULO!$AA$15:$AA$48,0,Y$13))),2),0)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IF(AUTOEVENTO="Manual",ROUND(SUMPRODUCT((CÁLCULO!$M$15:$M$48=EVENTOS!$C47)*(OFFSET(CÁLCULO!$AA$15:$AA$48,0,E$13))),2),0)</f>
        <v>0</v>
      </c>
      <c r="F47" s="183">
        <f ca="1">IF(AUTOEVENTO="Manual",ROUND(SUMPRODUCT((CÁLCULO!$M$15:$M$48=EVENTOS!$C47)*(OFFSET(CÁLCULO!$AA$15,0,1):OFFSET(CÁLCULO!$AL$48,0,-1))),2),0)</f>
        <v>0</v>
      </c>
      <c r="G47" s="621" t="str">
        <f t="shared" ca="1" si="5"/>
        <v/>
      </c>
      <c r="H47" s="620" cm="1">
        <f t="array" aca="1" ref="H47" ca="1">IF(AUTOEVENTO="Manual",ROUND(SUMPRODUCT((CÁLCULO!$M$15:$M$48=EVENTOS!$C47)*(OFFSET(CÁLCULO!$AA$15:$AA$48,0,H$13))),2),0)</f>
        <v>0</v>
      </c>
      <c r="I47" s="620" cm="1">
        <f t="array" aca="1" ref="I47" ca="1">IF(AUTOEVENTO="Manual",ROUND(SUMPRODUCT((CÁLCULO!$M$15:$M$48=EVENTOS!$C47)*(OFFSET(CÁLCULO!$AA$15:$AA$48,0,I$13))),2),0)</f>
        <v>0</v>
      </c>
      <c r="J47" s="620" cm="1">
        <f t="array" aca="1" ref="J47" ca="1">IF(AUTOEVENTO="Manual",ROUND(SUMPRODUCT((CÁLCULO!$M$15:$M$48=EVENTOS!$C47)*(OFFSET(CÁLCULO!$AA$15:$AA$48,0,J$13))),2),0)</f>
        <v>0</v>
      </c>
      <c r="K47" s="620" cm="1">
        <f t="array" aca="1" ref="K47" ca="1">IF(AUTOEVENTO="Manual",ROUND(SUMPRODUCT((CÁLCULO!$M$15:$M$48=EVENTOS!$C47)*(OFFSET(CÁLCULO!$AA$15:$AA$48,0,K$13))),2),0)</f>
        <v>0</v>
      </c>
      <c r="L47" s="620" cm="1">
        <f t="array" aca="1" ref="L47" ca="1">IF(AUTOEVENTO="Manual",ROUND(SUMPRODUCT((CÁLCULO!$M$15:$M$48=EVENTOS!$C47)*(OFFSET(CÁLCULO!$AA$15:$AA$48,0,L$13))),2),0)</f>
        <v>0</v>
      </c>
      <c r="M47" s="620" cm="1">
        <f t="array" aca="1" ref="M47" ca="1">IF(AUTOEVENTO="Manual",ROUND(SUMPRODUCT((CÁLCULO!$M$15:$M$48=EVENTOS!$C47)*(OFFSET(CÁLCULO!$AA$15:$AA$48,0,M$13))),2),0)</f>
        <v>0</v>
      </c>
      <c r="N47" s="620" cm="1">
        <f t="array" aca="1" ref="N47" ca="1">IF(AUTOEVENTO="Manual",ROUND(SUMPRODUCT((CÁLCULO!$M$15:$M$48=EVENTOS!$C47)*(OFFSET(CÁLCULO!$AA$15:$AA$48,0,N$13))),2),0)</f>
        <v>0</v>
      </c>
      <c r="O47" s="620" cm="1">
        <f t="array" aca="1" ref="O47" ca="1">IF(AUTOEVENTO="Manual",ROUND(SUMPRODUCT((CÁLCULO!$M$15:$M$48=EVENTOS!$C47)*(OFFSET(CÁLCULO!$AA$15:$AA$48,0,O$13))),2),0)</f>
        <v>0</v>
      </c>
      <c r="P47" s="620" cm="1">
        <f t="array" aca="1" ref="P47" ca="1">IF(AUTOEVENTO="Manual",ROUND(SUMPRODUCT((CÁLCULO!$M$15:$M$48=EVENTOS!$C47)*(OFFSET(CÁLCULO!$AA$15:$AA$48,0,P$13))),2),0)</f>
        <v>0</v>
      </c>
      <c r="Q47" s="620" cm="1">
        <f t="array" aca="1" ref="Q47" ca="1">IF(AUTOEVENTO="Manual",ROUND(SUMPRODUCT((CÁLCULO!$M$15:$M$48=EVENTOS!$C47)*(OFFSET(CÁLCULO!$AA$15:$AA$48,0,Q$13))),2),0)</f>
        <v>0</v>
      </c>
      <c r="R47" s="620" cm="1">
        <f t="array" aca="1" ref="R47" ca="1">IF(AUTOEVENTO="Manual",ROUND(SUMPRODUCT((CÁLCULO!$M$15:$M$48=EVENTOS!$C47)*(OFFSET(CÁLCULO!$AA$15:$AA$48,0,R$13))),2),0)</f>
        <v>0</v>
      </c>
      <c r="S47" s="620" cm="1">
        <f t="array" aca="1" ref="S47" ca="1">IF(AUTOEVENTO="Manual",ROUND(SUMPRODUCT((CÁLCULO!$M$15:$M$48=EVENTOS!$C47)*(OFFSET(CÁLCULO!$AA$15:$AA$48,0,S$13))),2),0)</f>
        <v>0</v>
      </c>
      <c r="T47" s="620" cm="1">
        <f t="array" aca="1" ref="T47" ca="1">IF(AUTOEVENTO="Manual",ROUND(SUMPRODUCT((CÁLCULO!$M$15:$M$48=EVENTOS!$C47)*(OFFSET(CÁLCULO!$AA$15:$AA$48,0,T$13))),2),0)</f>
        <v>0</v>
      </c>
      <c r="U47" s="620" cm="1">
        <f t="array" aca="1" ref="U47" ca="1">IF(AUTOEVENTO="Manual",ROUND(SUMPRODUCT((CÁLCULO!$M$15:$M$48=EVENTOS!$C47)*(OFFSET(CÁLCULO!$AA$15:$AA$48,0,U$13))),2),0)</f>
        <v>0</v>
      </c>
      <c r="V47" s="620" cm="1">
        <f t="array" aca="1" ref="V47" ca="1">IF(AUTOEVENTO="Manual",ROUND(SUMPRODUCT((CÁLCULO!$M$15:$M$48=EVENTOS!$C47)*(OFFSET(CÁLCULO!$AA$15:$AA$48,0,V$13))),2),0)</f>
        <v>0</v>
      </c>
      <c r="W47" s="620" cm="1">
        <f t="array" aca="1" ref="W47" ca="1">IF(AUTOEVENTO="Manual",ROUND(SUMPRODUCT((CÁLCULO!$M$15:$M$48=EVENTOS!$C47)*(OFFSET(CÁLCULO!$AA$15:$AA$48,0,W$13))),2),0)</f>
        <v>0</v>
      </c>
      <c r="X47" s="620" cm="1">
        <f t="array" aca="1" ref="X47" ca="1">IF(AUTOEVENTO="Manual",ROUND(SUMPRODUCT((CÁLCULO!$M$15:$M$48=EVENTOS!$C47)*(OFFSET(CÁLCULO!$AA$15:$AA$48,0,X$13))),2),0)</f>
        <v>0</v>
      </c>
      <c r="Y47" s="620" cm="1">
        <f t="array" aca="1" ref="Y47" ca="1">IF(AUTOEVENTO="Manual",ROUND(SUMPRODUCT((CÁLCULO!$M$15:$M$48=EVENTOS!$C47)*(OFFSET(CÁLCULO!$AA$15:$AA$48,0,Y$13))),2),0)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IF(AUTOEVENTO="Manual",ROUND(SUMPRODUCT((CÁLCULO!$M$15:$M$48=EVENTOS!$C48)*(OFFSET(CÁLCULO!$AA$15:$AA$48,0,E$13))),2),0)</f>
        <v>0</v>
      </c>
      <c r="F48" s="183">
        <f ca="1">IF(AUTOEVENTO="Manual",ROUND(SUMPRODUCT((CÁLCULO!$M$15:$M$48=EVENTOS!$C48)*(OFFSET(CÁLCULO!$AA$15,0,1):OFFSET(CÁLCULO!$AL$48,0,-1))),2),0)</f>
        <v>0</v>
      </c>
      <c r="G48" s="621" t="str">
        <f t="shared" ref="G48:G64" ca="1" si="6">IF(AND(D48=0,F48&gt;0),"NOME",
 IF(AND(D48&lt;&gt;0,$F$14&gt;0,F48=0),"VALOR",
 IF(AND(Import.TipoArredondamento="TransfereGOV",$A48="F",LEN(D48)&gt;100),"Nome &gt;100","")))</f>
        <v/>
      </c>
      <c r="H48" s="620" cm="1">
        <f t="array" aca="1" ref="H48" ca="1">IF(AUTOEVENTO="Manual",ROUND(SUMPRODUCT((CÁLCULO!$M$15:$M$48=EVENTOS!$C48)*(OFFSET(CÁLCULO!$AA$15:$AA$48,0,H$13))),2),0)</f>
        <v>0</v>
      </c>
      <c r="I48" s="620" cm="1">
        <f t="array" aca="1" ref="I48" ca="1">IF(AUTOEVENTO="Manual",ROUND(SUMPRODUCT((CÁLCULO!$M$15:$M$48=EVENTOS!$C48)*(OFFSET(CÁLCULO!$AA$15:$AA$48,0,I$13))),2),0)</f>
        <v>0</v>
      </c>
      <c r="J48" s="620" cm="1">
        <f t="array" aca="1" ref="J48" ca="1">IF(AUTOEVENTO="Manual",ROUND(SUMPRODUCT((CÁLCULO!$M$15:$M$48=EVENTOS!$C48)*(OFFSET(CÁLCULO!$AA$15:$AA$48,0,J$13))),2),0)</f>
        <v>0</v>
      </c>
      <c r="K48" s="620" cm="1">
        <f t="array" aca="1" ref="K48" ca="1">IF(AUTOEVENTO="Manual",ROUND(SUMPRODUCT((CÁLCULO!$M$15:$M$48=EVENTOS!$C48)*(OFFSET(CÁLCULO!$AA$15:$AA$48,0,K$13))),2),0)</f>
        <v>0</v>
      </c>
      <c r="L48" s="620" cm="1">
        <f t="array" aca="1" ref="L48" ca="1">IF(AUTOEVENTO="Manual",ROUND(SUMPRODUCT((CÁLCULO!$M$15:$M$48=EVENTOS!$C48)*(OFFSET(CÁLCULO!$AA$15:$AA$48,0,L$13))),2),0)</f>
        <v>0</v>
      </c>
      <c r="M48" s="620" cm="1">
        <f t="array" aca="1" ref="M48" ca="1">IF(AUTOEVENTO="Manual",ROUND(SUMPRODUCT((CÁLCULO!$M$15:$M$48=EVENTOS!$C48)*(OFFSET(CÁLCULO!$AA$15:$AA$48,0,M$13))),2),0)</f>
        <v>0</v>
      </c>
      <c r="N48" s="620" cm="1">
        <f t="array" aca="1" ref="N48" ca="1">IF(AUTOEVENTO="Manual",ROUND(SUMPRODUCT((CÁLCULO!$M$15:$M$48=EVENTOS!$C48)*(OFFSET(CÁLCULO!$AA$15:$AA$48,0,N$13))),2),0)</f>
        <v>0</v>
      </c>
      <c r="O48" s="620" cm="1">
        <f t="array" aca="1" ref="O48" ca="1">IF(AUTOEVENTO="Manual",ROUND(SUMPRODUCT((CÁLCULO!$M$15:$M$48=EVENTOS!$C48)*(OFFSET(CÁLCULO!$AA$15:$AA$48,0,O$13))),2),0)</f>
        <v>0</v>
      </c>
      <c r="P48" s="620" cm="1">
        <f t="array" aca="1" ref="P48" ca="1">IF(AUTOEVENTO="Manual",ROUND(SUMPRODUCT((CÁLCULO!$M$15:$M$48=EVENTOS!$C48)*(OFFSET(CÁLCULO!$AA$15:$AA$48,0,P$13))),2),0)</f>
        <v>0</v>
      </c>
      <c r="Q48" s="620" cm="1">
        <f t="array" aca="1" ref="Q48" ca="1">IF(AUTOEVENTO="Manual",ROUND(SUMPRODUCT((CÁLCULO!$M$15:$M$48=EVENTOS!$C48)*(OFFSET(CÁLCULO!$AA$15:$AA$48,0,Q$13))),2),0)</f>
        <v>0</v>
      </c>
      <c r="R48" s="620" cm="1">
        <f t="array" aca="1" ref="R48" ca="1">IF(AUTOEVENTO="Manual",ROUND(SUMPRODUCT((CÁLCULO!$M$15:$M$48=EVENTOS!$C48)*(OFFSET(CÁLCULO!$AA$15:$AA$48,0,R$13))),2),0)</f>
        <v>0</v>
      </c>
      <c r="S48" s="620" cm="1">
        <f t="array" aca="1" ref="S48" ca="1">IF(AUTOEVENTO="Manual",ROUND(SUMPRODUCT((CÁLCULO!$M$15:$M$48=EVENTOS!$C48)*(OFFSET(CÁLCULO!$AA$15:$AA$48,0,S$13))),2),0)</f>
        <v>0</v>
      </c>
      <c r="T48" s="620" cm="1">
        <f t="array" aca="1" ref="T48" ca="1">IF(AUTOEVENTO="Manual",ROUND(SUMPRODUCT((CÁLCULO!$M$15:$M$48=EVENTOS!$C48)*(OFFSET(CÁLCULO!$AA$15:$AA$48,0,T$13))),2),0)</f>
        <v>0</v>
      </c>
      <c r="U48" s="620" cm="1">
        <f t="array" aca="1" ref="U48" ca="1">IF(AUTOEVENTO="Manual",ROUND(SUMPRODUCT((CÁLCULO!$M$15:$M$48=EVENTOS!$C48)*(OFFSET(CÁLCULO!$AA$15:$AA$48,0,U$13))),2),0)</f>
        <v>0</v>
      </c>
      <c r="V48" s="620" cm="1">
        <f t="array" aca="1" ref="V48" ca="1">IF(AUTOEVENTO="Manual",ROUND(SUMPRODUCT((CÁLCULO!$M$15:$M$48=EVENTOS!$C48)*(OFFSET(CÁLCULO!$AA$15:$AA$48,0,V$13))),2),0)</f>
        <v>0</v>
      </c>
      <c r="W48" s="620" cm="1">
        <f t="array" aca="1" ref="W48" ca="1">IF(AUTOEVENTO="Manual",ROUND(SUMPRODUCT((CÁLCULO!$M$15:$M$48=EVENTOS!$C48)*(OFFSET(CÁLCULO!$AA$15:$AA$48,0,W$13))),2),0)</f>
        <v>0</v>
      </c>
      <c r="X48" s="620" cm="1">
        <f t="array" aca="1" ref="X48" ca="1">IF(AUTOEVENTO="Manual",ROUND(SUMPRODUCT((CÁLCULO!$M$15:$M$48=EVENTOS!$C48)*(OFFSET(CÁLCULO!$AA$15:$AA$48,0,X$13))),2),0)</f>
        <v>0</v>
      </c>
      <c r="Y48" s="620" cm="1">
        <f t="array" aca="1" ref="Y48" ca="1">IF(AUTOEVENTO="Manual",ROUND(SUMPRODUCT((CÁLCULO!$M$15:$M$48=EVENTOS!$C48)*(OFFSET(CÁLCULO!$AA$15:$AA$48,0,Y$13))),2),0)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IF(AUTOEVENTO="Manual",ROUND(SUMPRODUCT((CÁLCULO!$M$15:$M$48=EVENTOS!$C49)*(OFFSET(CÁLCULO!$AA$15:$AA$48,0,E$13))),2),0)</f>
        <v>0</v>
      </c>
      <c r="F49" s="183">
        <f ca="1">IF(AUTOEVENTO="Manual",ROUND(SUMPRODUCT((CÁLCULO!$M$15:$M$48=EVENTOS!$C49)*(OFFSET(CÁLCULO!$AA$15,0,1):OFFSET(CÁLCULO!$AL$48,0,-1))),2),0)</f>
        <v>0</v>
      </c>
      <c r="G49" s="621" t="str">
        <f t="shared" ca="1" si="6"/>
        <v/>
      </c>
      <c r="H49" s="620" cm="1">
        <f t="array" aca="1" ref="H49" ca="1">IF(AUTOEVENTO="Manual",ROUND(SUMPRODUCT((CÁLCULO!$M$15:$M$48=EVENTOS!$C49)*(OFFSET(CÁLCULO!$AA$15:$AA$48,0,H$13))),2),0)</f>
        <v>0</v>
      </c>
      <c r="I49" s="620" cm="1">
        <f t="array" aca="1" ref="I49" ca="1">IF(AUTOEVENTO="Manual",ROUND(SUMPRODUCT((CÁLCULO!$M$15:$M$48=EVENTOS!$C49)*(OFFSET(CÁLCULO!$AA$15:$AA$48,0,I$13))),2),0)</f>
        <v>0</v>
      </c>
      <c r="J49" s="620" cm="1">
        <f t="array" aca="1" ref="J49" ca="1">IF(AUTOEVENTO="Manual",ROUND(SUMPRODUCT((CÁLCULO!$M$15:$M$48=EVENTOS!$C49)*(OFFSET(CÁLCULO!$AA$15:$AA$48,0,J$13))),2),0)</f>
        <v>0</v>
      </c>
      <c r="K49" s="620" cm="1">
        <f t="array" aca="1" ref="K49" ca="1">IF(AUTOEVENTO="Manual",ROUND(SUMPRODUCT((CÁLCULO!$M$15:$M$48=EVENTOS!$C49)*(OFFSET(CÁLCULO!$AA$15:$AA$48,0,K$13))),2),0)</f>
        <v>0</v>
      </c>
      <c r="L49" s="620" cm="1">
        <f t="array" aca="1" ref="L49" ca="1">IF(AUTOEVENTO="Manual",ROUND(SUMPRODUCT((CÁLCULO!$M$15:$M$48=EVENTOS!$C49)*(OFFSET(CÁLCULO!$AA$15:$AA$48,0,L$13))),2),0)</f>
        <v>0</v>
      </c>
      <c r="M49" s="620" cm="1">
        <f t="array" aca="1" ref="M49" ca="1">IF(AUTOEVENTO="Manual",ROUND(SUMPRODUCT((CÁLCULO!$M$15:$M$48=EVENTOS!$C49)*(OFFSET(CÁLCULO!$AA$15:$AA$48,0,M$13))),2),0)</f>
        <v>0</v>
      </c>
      <c r="N49" s="620" cm="1">
        <f t="array" aca="1" ref="N49" ca="1">IF(AUTOEVENTO="Manual",ROUND(SUMPRODUCT((CÁLCULO!$M$15:$M$48=EVENTOS!$C49)*(OFFSET(CÁLCULO!$AA$15:$AA$48,0,N$13))),2),0)</f>
        <v>0</v>
      </c>
      <c r="O49" s="620" cm="1">
        <f t="array" aca="1" ref="O49" ca="1">IF(AUTOEVENTO="Manual",ROUND(SUMPRODUCT((CÁLCULO!$M$15:$M$48=EVENTOS!$C49)*(OFFSET(CÁLCULO!$AA$15:$AA$48,0,O$13))),2),0)</f>
        <v>0</v>
      </c>
      <c r="P49" s="620" cm="1">
        <f t="array" aca="1" ref="P49" ca="1">IF(AUTOEVENTO="Manual",ROUND(SUMPRODUCT((CÁLCULO!$M$15:$M$48=EVENTOS!$C49)*(OFFSET(CÁLCULO!$AA$15:$AA$48,0,P$13))),2),0)</f>
        <v>0</v>
      </c>
      <c r="Q49" s="620" cm="1">
        <f t="array" aca="1" ref="Q49" ca="1">IF(AUTOEVENTO="Manual",ROUND(SUMPRODUCT((CÁLCULO!$M$15:$M$48=EVENTOS!$C49)*(OFFSET(CÁLCULO!$AA$15:$AA$48,0,Q$13))),2),0)</f>
        <v>0</v>
      </c>
      <c r="R49" s="620" cm="1">
        <f t="array" aca="1" ref="R49" ca="1">IF(AUTOEVENTO="Manual",ROUND(SUMPRODUCT((CÁLCULO!$M$15:$M$48=EVENTOS!$C49)*(OFFSET(CÁLCULO!$AA$15:$AA$48,0,R$13))),2),0)</f>
        <v>0</v>
      </c>
      <c r="S49" s="620" cm="1">
        <f t="array" aca="1" ref="S49" ca="1">IF(AUTOEVENTO="Manual",ROUND(SUMPRODUCT((CÁLCULO!$M$15:$M$48=EVENTOS!$C49)*(OFFSET(CÁLCULO!$AA$15:$AA$48,0,S$13))),2),0)</f>
        <v>0</v>
      </c>
      <c r="T49" s="620" cm="1">
        <f t="array" aca="1" ref="T49" ca="1">IF(AUTOEVENTO="Manual",ROUND(SUMPRODUCT((CÁLCULO!$M$15:$M$48=EVENTOS!$C49)*(OFFSET(CÁLCULO!$AA$15:$AA$48,0,T$13))),2),0)</f>
        <v>0</v>
      </c>
      <c r="U49" s="620" cm="1">
        <f t="array" aca="1" ref="U49" ca="1">IF(AUTOEVENTO="Manual",ROUND(SUMPRODUCT((CÁLCULO!$M$15:$M$48=EVENTOS!$C49)*(OFFSET(CÁLCULO!$AA$15:$AA$48,0,U$13))),2),0)</f>
        <v>0</v>
      </c>
      <c r="V49" s="620" cm="1">
        <f t="array" aca="1" ref="V49" ca="1">IF(AUTOEVENTO="Manual",ROUND(SUMPRODUCT((CÁLCULO!$M$15:$M$48=EVENTOS!$C49)*(OFFSET(CÁLCULO!$AA$15:$AA$48,0,V$13))),2),0)</f>
        <v>0</v>
      </c>
      <c r="W49" s="620" cm="1">
        <f t="array" aca="1" ref="W49" ca="1">IF(AUTOEVENTO="Manual",ROUND(SUMPRODUCT((CÁLCULO!$M$15:$M$48=EVENTOS!$C49)*(OFFSET(CÁLCULO!$AA$15:$AA$48,0,W$13))),2),0)</f>
        <v>0</v>
      </c>
      <c r="X49" s="620" cm="1">
        <f t="array" aca="1" ref="X49" ca="1">IF(AUTOEVENTO="Manual",ROUND(SUMPRODUCT((CÁLCULO!$M$15:$M$48=EVENTOS!$C49)*(OFFSET(CÁLCULO!$AA$15:$AA$48,0,X$13))),2),0)</f>
        <v>0</v>
      </c>
      <c r="Y49" s="620" cm="1">
        <f t="array" aca="1" ref="Y49" ca="1">IF(AUTOEVENTO="Manual",ROUND(SUMPRODUCT((CÁLCULO!$M$15:$M$48=EVENTOS!$C49)*(OFFSET(CÁLCULO!$AA$15:$AA$48,0,Y$13))),2),0)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IF(AUTOEVENTO="Manual",ROUND(SUMPRODUCT((CÁLCULO!$M$15:$M$48=EVENTOS!$C50)*(OFFSET(CÁLCULO!$AA$15:$AA$48,0,E$13))),2),0)</f>
        <v>0</v>
      </c>
      <c r="F50" s="183">
        <f ca="1">IF(AUTOEVENTO="Manual",ROUND(SUMPRODUCT((CÁLCULO!$M$15:$M$48=EVENTOS!$C50)*(OFFSET(CÁLCULO!$AA$15,0,1):OFFSET(CÁLCULO!$AL$48,0,-1))),2),0)</f>
        <v>0</v>
      </c>
      <c r="G50" s="621" t="str">
        <f t="shared" ca="1" si="6"/>
        <v/>
      </c>
      <c r="H50" s="620" cm="1">
        <f t="array" aca="1" ref="H50" ca="1">IF(AUTOEVENTO="Manual",ROUND(SUMPRODUCT((CÁLCULO!$M$15:$M$48=EVENTOS!$C50)*(OFFSET(CÁLCULO!$AA$15:$AA$48,0,H$13))),2),0)</f>
        <v>0</v>
      </c>
      <c r="I50" s="620" cm="1">
        <f t="array" aca="1" ref="I50" ca="1">IF(AUTOEVENTO="Manual",ROUND(SUMPRODUCT((CÁLCULO!$M$15:$M$48=EVENTOS!$C50)*(OFFSET(CÁLCULO!$AA$15:$AA$48,0,I$13))),2),0)</f>
        <v>0</v>
      </c>
      <c r="J50" s="620" cm="1">
        <f t="array" aca="1" ref="J50" ca="1">IF(AUTOEVENTO="Manual",ROUND(SUMPRODUCT((CÁLCULO!$M$15:$M$48=EVENTOS!$C50)*(OFFSET(CÁLCULO!$AA$15:$AA$48,0,J$13))),2),0)</f>
        <v>0</v>
      </c>
      <c r="K50" s="620" cm="1">
        <f t="array" aca="1" ref="K50" ca="1">IF(AUTOEVENTO="Manual",ROUND(SUMPRODUCT((CÁLCULO!$M$15:$M$48=EVENTOS!$C50)*(OFFSET(CÁLCULO!$AA$15:$AA$48,0,K$13))),2),0)</f>
        <v>0</v>
      </c>
      <c r="L50" s="620" cm="1">
        <f t="array" aca="1" ref="L50" ca="1">IF(AUTOEVENTO="Manual",ROUND(SUMPRODUCT((CÁLCULO!$M$15:$M$48=EVENTOS!$C50)*(OFFSET(CÁLCULO!$AA$15:$AA$48,0,L$13))),2),0)</f>
        <v>0</v>
      </c>
      <c r="M50" s="620" cm="1">
        <f t="array" aca="1" ref="M50" ca="1">IF(AUTOEVENTO="Manual",ROUND(SUMPRODUCT((CÁLCULO!$M$15:$M$48=EVENTOS!$C50)*(OFFSET(CÁLCULO!$AA$15:$AA$48,0,M$13))),2),0)</f>
        <v>0</v>
      </c>
      <c r="N50" s="620" cm="1">
        <f t="array" aca="1" ref="N50" ca="1">IF(AUTOEVENTO="Manual",ROUND(SUMPRODUCT((CÁLCULO!$M$15:$M$48=EVENTOS!$C50)*(OFFSET(CÁLCULO!$AA$15:$AA$48,0,N$13))),2),0)</f>
        <v>0</v>
      </c>
      <c r="O50" s="620" cm="1">
        <f t="array" aca="1" ref="O50" ca="1">IF(AUTOEVENTO="Manual",ROUND(SUMPRODUCT((CÁLCULO!$M$15:$M$48=EVENTOS!$C50)*(OFFSET(CÁLCULO!$AA$15:$AA$48,0,O$13))),2),0)</f>
        <v>0</v>
      </c>
      <c r="P50" s="620" cm="1">
        <f t="array" aca="1" ref="P50" ca="1">IF(AUTOEVENTO="Manual",ROUND(SUMPRODUCT((CÁLCULO!$M$15:$M$48=EVENTOS!$C50)*(OFFSET(CÁLCULO!$AA$15:$AA$48,0,P$13))),2),0)</f>
        <v>0</v>
      </c>
      <c r="Q50" s="620" cm="1">
        <f t="array" aca="1" ref="Q50" ca="1">IF(AUTOEVENTO="Manual",ROUND(SUMPRODUCT((CÁLCULO!$M$15:$M$48=EVENTOS!$C50)*(OFFSET(CÁLCULO!$AA$15:$AA$48,0,Q$13))),2),0)</f>
        <v>0</v>
      </c>
      <c r="R50" s="620" cm="1">
        <f t="array" aca="1" ref="R50" ca="1">IF(AUTOEVENTO="Manual",ROUND(SUMPRODUCT((CÁLCULO!$M$15:$M$48=EVENTOS!$C50)*(OFFSET(CÁLCULO!$AA$15:$AA$48,0,R$13))),2),0)</f>
        <v>0</v>
      </c>
      <c r="S50" s="620" cm="1">
        <f t="array" aca="1" ref="S50" ca="1">IF(AUTOEVENTO="Manual",ROUND(SUMPRODUCT((CÁLCULO!$M$15:$M$48=EVENTOS!$C50)*(OFFSET(CÁLCULO!$AA$15:$AA$48,0,S$13))),2),0)</f>
        <v>0</v>
      </c>
      <c r="T50" s="620" cm="1">
        <f t="array" aca="1" ref="T50" ca="1">IF(AUTOEVENTO="Manual",ROUND(SUMPRODUCT((CÁLCULO!$M$15:$M$48=EVENTOS!$C50)*(OFFSET(CÁLCULO!$AA$15:$AA$48,0,T$13))),2),0)</f>
        <v>0</v>
      </c>
      <c r="U50" s="620" cm="1">
        <f t="array" aca="1" ref="U50" ca="1">IF(AUTOEVENTO="Manual",ROUND(SUMPRODUCT((CÁLCULO!$M$15:$M$48=EVENTOS!$C50)*(OFFSET(CÁLCULO!$AA$15:$AA$48,0,U$13))),2),0)</f>
        <v>0</v>
      </c>
      <c r="V50" s="620" cm="1">
        <f t="array" aca="1" ref="V50" ca="1">IF(AUTOEVENTO="Manual",ROUND(SUMPRODUCT((CÁLCULO!$M$15:$M$48=EVENTOS!$C50)*(OFFSET(CÁLCULO!$AA$15:$AA$48,0,V$13))),2),0)</f>
        <v>0</v>
      </c>
      <c r="W50" s="620" cm="1">
        <f t="array" aca="1" ref="W50" ca="1">IF(AUTOEVENTO="Manual",ROUND(SUMPRODUCT((CÁLCULO!$M$15:$M$48=EVENTOS!$C50)*(OFFSET(CÁLCULO!$AA$15:$AA$48,0,W$13))),2),0)</f>
        <v>0</v>
      </c>
      <c r="X50" s="620" cm="1">
        <f t="array" aca="1" ref="X50" ca="1">IF(AUTOEVENTO="Manual",ROUND(SUMPRODUCT((CÁLCULO!$M$15:$M$48=EVENTOS!$C50)*(OFFSET(CÁLCULO!$AA$15:$AA$48,0,X$13))),2),0)</f>
        <v>0</v>
      </c>
      <c r="Y50" s="620" cm="1">
        <f t="array" aca="1" ref="Y50" ca="1">IF(AUTOEVENTO="Manual",ROUND(SUMPRODUCT((CÁLCULO!$M$15:$M$48=EVENTOS!$C50)*(OFFSET(CÁLCULO!$AA$15:$AA$48,0,Y$13))),2),0)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IF(AUTOEVENTO="Manual",ROUND(SUMPRODUCT((CÁLCULO!$M$15:$M$48=EVENTOS!$C51)*(OFFSET(CÁLCULO!$AA$15:$AA$48,0,E$13))),2),0)</f>
        <v>0</v>
      </c>
      <c r="F51" s="183">
        <f ca="1">IF(AUTOEVENTO="Manual",ROUND(SUMPRODUCT((CÁLCULO!$M$15:$M$48=EVENTOS!$C51)*(OFFSET(CÁLCULO!$AA$15,0,1):OFFSET(CÁLCULO!$AL$48,0,-1))),2),0)</f>
        <v>0</v>
      </c>
      <c r="G51" s="621" t="str">
        <f t="shared" ca="1" si="6"/>
        <v/>
      </c>
      <c r="H51" s="620" cm="1">
        <f t="array" aca="1" ref="H51" ca="1">IF(AUTOEVENTO="Manual",ROUND(SUMPRODUCT((CÁLCULO!$M$15:$M$48=EVENTOS!$C51)*(OFFSET(CÁLCULO!$AA$15:$AA$48,0,H$13))),2),0)</f>
        <v>0</v>
      </c>
      <c r="I51" s="620" cm="1">
        <f t="array" aca="1" ref="I51" ca="1">IF(AUTOEVENTO="Manual",ROUND(SUMPRODUCT((CÁLCULO!$M$15:$M$48=EVENTOS!$C51)*(OFFSET(CÁLCULO!$AA$15:$AA$48,0,I$13))),2),0)</f>
        <v>0</v>
      </c>
      <c r="J51" s="620" cm="1">
        <f t="array" aca="1" ref="J51" ca="1">IF(AUTOEVENTO="Manual",ROUND(SUMPRODUCT((CÁLCULO!$M$15:$M$48=EVENTOS!$C51)*(OFFSET(CÁLCULO!$AA$15:$AA$48,0,J$13))),2),0)</f>
        <v>0</v>
      </c>
      <c r="K51" s="620" cm="1">
        <f t="array" aca="1" ref="K51" ca="1">IF(AUTOEVENTO="Manual",ROUND(SUMPRODUCT((CÁLCULO!$M$15:$M$48=EVENTOS!$C51)*(OFFSET(CÁLCULO!$AA$15:$AA$48,0,K$13))),2),0)</f>
        <v>0</v>
      </c>
      <c r="L51" s="620" cm="1">
        <f t="array" aca="1" ref="L51" ca="1">IF(AUTOEVENTO="Manual",ROUND(SUMPRODUCT((CÁLCULO!$M$15:$M$48=EVENTOS!$C51)*(OFFSET(CÁLCULO!$AA$15:$AA$48,0,L$13))),2),0)</f>
        <v>0</v>
      </c>
      <c r="M51" s="620" cm="1">
        <f t="array" aca="1" ref="M51" ca="1">IF(AUTOEVENTO="Manual",ROUND(SUMPRODUCT((CÁLCULO!$M$15:$M$48=EVENTOS!$C51)*(OFFSET(CÁLCULO!$AA$15:$AA$48,0,M$13))),2),0)</f>
        <v>0</v>
      </c>
      <c r="N51" s="620" cm="1">
        <f t="array" aca="1" ref="N51" ca="1">IF(AUTOEVENTO="Manual",ROUND(SUMPRODUCT((CÁLCULO!$M$15:$M$48=EVENTOS!$C51)*(OFFSET(CÁLCULO!$AA$15:$AA$48,0,N$13))),2),0)</f>
        <v>0</v>
      </c>
      <c r="O51" s="620" cm="1">
        <f t="array" aca="1" ref="O51" ca="1">IF(AUTOEVENTO="Manual",ROUND(SUMPRODUCT((CÁLCULO!$M$15:$M$48=EVENTOS!$C51)*(OFFSET(CÁLCULO!$AA$15:$AA$48,0,O$13))),2),0)</f>
        <v>0</v>
      </c>
      <c r="P51" s="620" cm="1">
        <f t="array" aca="1" ref="P51" ca="1">IF(AUTOEVENTO="Manual",ROUND(SUMPRODUCT((CÁLCULO!$M$15:$M$48=EVENTOS!$C51)*(OFFSET(CÁLCULO!$AA$15:$AA$48,0,P$13))),2),0)</f>
        <v>0</v>
      </c>
      <c r="Q51" s="620" cm="1">
        <f t="array" aca="1" ref="Q51" ca="1">IF(AUTOEVENTO="Manual",ROUND(SUMPRODUCT((CÁLCULO!$M$15:$M$48=EVENTOS!$C51)*(OFFSET(CÁLCULO!$AA$15:$AA$48,0,Q$13))),2),0)</f>
        <v>0</v>
      </c>
      <c r="R51" s="620" cm="1">
        <f t="array" aca="1" ref="R51" ca="1">IF(AUTOEVENTO="Manual",ROUND(SUMPRODUCT((CÁLCULO!$M$15:$M$48=EVENTOS!$C51)*(OFFSET(CÁLCULO!$AA$15:$AA$48,0,R$13))),2),0)</f>
        <v>0</v>
      </c>
      <c r="S51" s="620" cm="1">
        <f t="array" aca="1" ref="S51" ca="1">IF(AUTOEVENTO="Manual",ROUND(SUMPRODUCT((CÁLCULO!$M$15:$M$48=EVENTOS!$C51)*(OFFSET(CÁLCULO!$AA$15:$AA$48,0,S$13))),2),0)</f>
        <v>0</v>
      </c>
      <c r="T51" s="620" cm="1">
        <f t="array" aca="1" ref="T51" ca="1">IF(AUTOEVENTO="Manual",ROUND(SUMPRODUCT((CÁLCULO!$M$15:$M$48=EVENTOS!$C51)*(OFFSET(CÁLCULO!$AA$15:$AA$48,0,T$13))),2),0)</f>
        <v>0</v>
      </c>
      <c r="U51" s="620" cm="1">
        <f t="array" aca="1" ref="U51" ca="1">IF(AUTOEVENTO="Manual",ROUND(SUMPRODUCT((CÁLCULO!$M$15:$M$48=EVENTOS!$C51)*(OFFSET(CÁLCULO!$AA$15:$AA$48,0,U$13))),2),0)</f>
        <v>0</v>
      </c>
      <c r="V51" s="620" cm="1">
        <f t="array" aca="1" ref="V51" ca="1">IF(AUTOEVENTO="Manual",ROUND(SUMPRODUCT((CÁLCULO!$M$15:$M$48=EVENTOS!$C51)*(OFFSET(CÁLCULO!$AA$15:$AA$48,0,V$13))),2),0)</f>
        <v>0</v>
      </c>
      <c r="W51" s="620" cm="1">
        <f t="array" aca="1" ref="W51" ca="1">IF(AUTOEVENTO="Manual",ROUND(SUMPRODUCT((CÁLCULO!$M$15:$M$48=EVENTOS!$C51)*(OFFSET(CÁLCULO!$AA$15:$AA$48,0,W$13))),2),0)</f>
        <v>0</v>
      </c>
      <c r="X51" s="620" cm="1">
        <f t="array" aca="1" ref="X51" ca="1">IF(AUTOEVENTO="Manual",ROUND(SUMPRODUCT((CÁLCULO!$M$15:$M$48=EVENTOS!$C51)*(OFFSET(CÁLCULO!$AA$15:$AA$48,0,X$13))),2),0)</f>
        <v>0</v>
      </c>
      <c r="Y51" s="620" cm="1">
        <f t="array" aca="1" ref="Y51" ca="1">IF(AUTOEVENTO="Manual",ROUND(SUMPRODUCT((CÁLCULO!$M$15:$M$48=EVENTOS!$C51)*(OFFSET(CÁLCULO!$AA$15:$AA$48,0,Y$13))),2),0)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IF(AUTOEVENTO="Manual",ROUND(SUMPRODUCT((CÁLCULO!$M$15:$M$48=EVENTOS!$C52)*(OFFSET(CÁLCULO!$AA$15:$AA$48,0,E$13))),2),0)</f>
        <v>0</v>
      </c>
      <c r="F52" s="183">
        <f ca="1">IF(AUTOEVENTO="Manual",ROUND(SUMPRODUCT((CÁLCULO!$M$15:$M$48=EVENTOS!$C52)*(OFFSET(CÁLCULO!$AA$15,0,1):OFFSET(CÁLCULO!$AL$48,0,-1))),2),0)</f>
        <v>0</v>
      </c>
      <c r="G52" s="621" t="str">
        <f t="shared" ca="1" si="6"/>
        <v/>
      </c>
      <c r="H52" s="620" cm="1">
        <f t="array" aca="1" ref="H52" ca="1">IF(AUTOEVENTO="Manual",ROUND(SUMPRODUCT((CÁLCULO!$M$15:$M$48=EVENTOS!$C52)*(OFFSET(CÁLCULO!$AA$15:$AA$48,0,H$13))),2),0)</f>
        <v>0</v>
      </c>
      <c r="I52" s="620" cm="1">
        <f t="array" aca="1" ref="I52" ca="1">IF(AUTOEVENTO="Manual",ROUND(SUMPRODUCT((CÁLCULO!$M$15:$M$48=EVENTOS!$C52)*(OFFSET(CÁLCULO!$AA$15:$AA$48,0,I$13))),2),0)</f>
        <v>0</v>
      </c>
      <c r="J52" s="620" cm="1">
        <f t="array" aca="1" ref="J52" ca="1">IF(AUTOEVENTO="Manual",ROUND(SUMPRODUCT((CÁLCULO!$M$15:$M$48=EVENTOS!$C52)*(OFFSET(CÁLCULO!$AA$15:$AA$48,0,J$13))),2),0)</f>
        <v>0</v>
      </c>
      <c r="K52" s="620" cm="1">
        <f t="array" aca="1" ref="K52" ca="1">IF(AUTOEVENTO="Manual",ROUND(SUMPRODUCT((CÁLCULO!$M$15:$M$48=EVENTOS!$C52)*(OFFSET(CÁLCULO!$AA$15:$AA$48,0,K$13))),2),0)</f>
        <v>0</v>
      </c>
      <c r="L52" s="620" cm="1">
        <f t="array" aca="1" ref="L52" ca="1">IF(AUTOEVENTO="Manual",ROUND(SUMPRODUCT((CÁLCULO!$M$15:$M$48=EVENTOS!$C52)*(OFFSET(CÁLCULO!$AA$15:$AA$48,0,L$13))),2),0)</f>
        <v>0</v>
      </c>
      <c r="M52" s="620" cm="1">
        <f t="array" aca="1" ref="M52" ca="1">IF(AUTOEVENTO="Manual",ROUND(SUMPRODUCT((CÁLCULO!$M$15:$M$48=EVENTOS!$C52)*(OFFSET(CÁLCULO!$AA$15:$AA$48,0,M$13))),2),0)</f>
        <v>0</v>
      </c>
      <c r="N52" s="620" cm="1">
        <f t="array" aca="1" ref="N52" ca="1">IF(AUTOEVENTO="Manual",ROUND(SUMPRODUCT((CÁLCULO!$M$15:$M$48=EVENTOS!$C52)*(OFFSET(CÁLCULO!$AA$15:$AA$48,0,N$13))),2),0)</f>
        <v>0</v>
      </c>
      <c r="O52" s="620" cm="1">
        <f t="array" aca="1" ref="O52" ca="1">IF(AUTOEVENTO="Manual",ROUND(SUMPRODUCT((CÁLCULO!$M$15:$M$48=EVENTOS!$C52)*(OFFSET(CÁLCULO!$AA$15:$AA$48,0,O$13))),2),0)</f>
        <v>0</v>
      </c>
      <c r="P52" s="620" cm="1">
        <f t="array" aca="1" ref="P52" ca="1">IF(AUTOEVENTO="Manual",ROUND(SUMPRODUCT((CÁLCULO!$M$15:$M$48=EVENTOS!$C52)*(OFFSET(CÁLCULO!$AA$15:$AA$48,0,P$13))),2),0)</f>
        <v>0</v>
      </c>
      <c r="Q52" s="620" cm="1">
        <f t="array" aca="1" ref="Q52" ca="1">IF(AUTOEVENTO="Manual",ROUND(SUMPRODUCT((CÁLCULO!$M$15:$M$48=EVENTOS!$C52)*(OFFSET(CÁLCULO!$AA$15:$AA$48,0,Q$13))),2),0)</f>
        <v>0</v>
      </c>
      <c r="R52" s="620" cm="1">
        <f t="array" aca="1" ref="R52" ca="1">IF(AUTOEVENTO="Manual",ROUND(SUMPRODUCT((CÁLCULO!$M$15:$M$48=EVENTOS!$C52)*(OFFSET(CÁLCULO!$AA$15:$AA$48,0,R$13))),2),0)</f>
        <v>0</v>
      </c>
      <c r="S52" s="620" cm="1">
        <f t="array" aca="1" ref="S52" ca="1">IF(AUTOEVENTO="Manual",ROUND(SUMPRODUCT((CÁLCULO!$M$15:$M$48=EVENTOS!$C52)*(OFFSET(CÁLCULO!$AA$15:$AA$48,0,S$13))),2),0)</f>
        <v>0</v>
      </c>
      <c r="T52" s="620" cm="1">
        <f t="array" aca="1" ref="T52" ca="1">IF(AUTOEVENTO="Manual",ROUND(SUMPRODUCT((CÁLCULO!$M$15:$M$48=EVENTOS!$C52)*(OFFSET(CÁLCULO!$AA$15:$AA$48,0,T$13))),2),0)</f>
        <v>0</v>
      </c>
      <c r="U52" s="620" cm="1">
        <f t="array" aca="1" ref="U52" ca="1">IF(AUTOEVENTO="Manual",ROUND(SUMPRODUCT((CÁLCULO!$M$15:$M$48=EVENTOS!$C52)*(OFFSET(CÁLCULO!$AA$15:$AA$48,0,U$13))),2),0)</f>
        <v>0</v>
      </c>
      <c r="V52" s="620" cm="1">
        <f t="array" aca="1" ref="V52" ca="1">IF(AUTOEVENTO="Manual",ROUND(SUMPRODUCT((CÁLCULO!$M$15:$M$48=EVENTOS!$C52)*(OFFSET(CÁLCULO!$AA$15:$AA$48,0,V$13))),2),0)</f>
        <v>0</v>
      </c>
      <c r="W52" s="620" cm="1">
        <f t="array" aca="1" ref="W52" ca="1">IF(AUTOEVENTO="Manual",ROUND(SUMPRODUCT((CÁLCULO!$M$15:$M$48=EVENTOS!$C52)*(OFFSET(CÁLCULO!$AA$15:$AA$48,0,W$13))),2),0)</f>
        <v>0</v>
      </c>
      <c r="X52" s="620" cm="1">
        <f t="array" aca="1" ref="X52" ca="1">IF(AUTOEVENTO="Manual",ROUND(SUMPRODUCT((CÁLCULO!$M$15:$M$48=EVENTOS!$C52)*(OFFSET(CÁLCULO!$AA$15:$AA$48,0,X$13))),2),0)</f>
        <v>0</v>
      </c>
      <c r="Y52" s="620" cm="1">
        <f t="array" aca="1" ref="Y52" ca="1">IF(AUTOEVENTO="Manual",ROUND(SUMPRODUCT((CÁLCULO!$M$15:$M$48=EVENTOS!$C52)*(OFFSET(CÁLCULO!$AA$15:$AA$48,0,Y$13))),2),0)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IF(AUTOEVENTO="Manual",ROUND(SUMPRODUCT((CÁLCULO!$M$15:$M$48=EVENTOS!$C53)*(OFFSET(CÁLCULO!$AA$15:$AA$48,0,E$13))),2),0)</f>
        <v>0</v>
      </c>
      <c r="F53" s="183">
        <f ca="1">IF(AUTOEVENTO="Manual",ROUND(SUMPRODUCT((CÁLCULO!$M$15:$M$48=EVENTOS!$C53)*(OFFSET(CÁLCULO!$AA$15,0,1):OFFSET(CÁLCULO!$AL$48,0,-1))),2),0)</f>
        <v>0</v>
      </c>
      <c r="G53" s="621" t="str">
        <f t="shared" ca="1" si="6"/>
        <v/>
      </c>
      <c r="H53" s="620" cm="1">
        <f t="array" aca="1" ref="H53" ca="1">IF(AUTOEVENTO="Manual",ROUND(SUMPRODUCT((CÁLCULO!$M$15:$M$48=EVENTOS!$C53)*(OFFSET(CÁLCULO!$AA$15:$AA$48,0,H$13))),2),0)</f>
        <v>0</v>
      </c>
      <c r="I53" s="620" cm="1">
        <f t="array" aca="1" ref="I53" ca="1">IF(AUTOEVENTO="Manual",ROUND(SUMPRODUCT((CÁLCULO!$M$15:$M$48=EVENTOS!$C53)*(OFFSET(CÁLCULO!$AA$15:$AA$48,0,I$13))),2),0)</f>
        <v>0</v>
      </c>
      <c r="J53" s="620" cm="1">
        <f t="array" aca="1" ref="J53" ca="1">IF(AUTOEVENTO="Manual",ROUND(SUMPRODUCT((CÁLCULO!$M$15:$M$48=EVENTOS!$C53)*(OFFSET(CÁLCULO!$AA$15:$AA$48,0,J$13))),2),0)</f>
        <v>0</v>
      </c>
      <c r="K53" s="620" cm="1">
        <f t="array" aca="1" ref="K53" ca="1">IF(AUTOEVENTO="Manual",ROUND(SUMPRODUCT((CÁLCULO!$M$15:$M$48=EVENTOS!$C53)*(OFFSET(CÁLCULO!$AA$15:$AA$48,0,K$13))),2),0)</f>
        <v>0</v>
      </c>
      <c r="L53" s="620" cm="1">
        <f t="array" aca="1" ref="L53" ca="1">IF(AUTOEVENTO="Manual",ROUND(SUMPRODUCT((CÁLCULO!$M$15:$M$48=EVENTOS!$C53)*(OFFSET(CÁLCULO!$AA$15:$AA$48,0,L$13))),2),0)</f>
        <v>0</v>
      </c>
      <c r="M53" s="620" cm="1">
        <f t="array" aca="1" ref="M53" ca="1">IF(AUTOEVENTO="Manual",ROUND(SUMPRODUCT((CÁLCULO!$M$15:$M$48=EVENTOS!$C53)*(OFFSET(CÁLCULO!$AA$15:$AA$48,0,M$13))),2),0)</f>
        <v>0</v>
      </c>
      <c r="N53" s="620" cm="1">
        <f t="array" aca="1" ref="N53" ca="1">IF(AUTOEVENTO="Manual",ROUND(SUMPRODUCT((CÁLCULO!$M$15:$M$48=EVENTOS!$C53)*(OFFSET(CÁLCULO!$AA$15:$AA$48,0,N$13))),2),0)</f>
        <v>0</v>
      </c>
      <c r="O53" s="620" cm="1">
        <f t="array" aca="1" ref="O53" ca="1">IF(AUTOEVENTO="Manual",ROUND(SUMPRODUCT((CÁLCULO!$M$15:$M$48=EVENTOS!$C53)*(OFFSET(CÁLCULO!$AA$15:$AA$48,0,O$13))),2),0)</f>
        <v>0</v>
      </c>
      <c r="P53" s="620" cm="1">
        <f t="array" aca="1" ref="P53" ca="1">IF(AUTOEVENTO="Manual",ROUND(SUMPRODUCT((CÁLCULO!$M$15:$M$48=EVENTOS!$C53)*(OFFSET(CÁLCULO!$AA$15:$AA$48,0,P$13))),2),0)</f>
        <v>0</v>
      </c>
      <c r="Q53" s="620" cm="1">
        <f t="array" aca="1" ref="Q53" ca="1">IF(AUTOEVENTO="Manual",ROUND(SUMPRODUCT((CÁLCULO!$M$15:$M$48=EVENTOS!$C53)*(OFFSET(CÁLCULO!$AA$15:$AA$48,0,Q$13))),2),0)</f>
        <v>0</v>
      </c>
      <c r="R53" s="620" cm="1">
        <f t="array" aca="1" ref="R53" ca="1">IF(AUTOEVENTO="Manual",ROUND(SUMPRODUCT((CÁLCULO!$M$15:$M$48=EVENTOS!$C53)*(OFFSET(CÁLCULO!$AA$15:$AA$48,0,R$13))),2),0)</f>
        <v>0</v>
      </c>
      <c r="S53" s="620" cm="1">
        <f t="array" aca="1" ref="S53" ca="1">IF(AUTOEVENTO="Manual",ROUND(SUMPRODUCT((CÁLCULO!$M$15:$M$48=EVENTOS!$C53)*(OFFSET(CÁLCULO!$AA$15:$AA$48,0,S$13))),2),0)</f>
        <v>0</v>
      </c>
      <c r="T53" s="620" cm="1">
        <f t="array" aca="1" ref="T53" ca="1">IF(AUTOEVENTO="Manual",ROUND(SUMPRODUCT((CÁLCULO!$M$15:$M$48=EVENTOS!$C53)*(OFFSET(CÁLCULO!$AA$15:$AA$48,0,T$13))),2),0)</f>
        <v>0</v>
      </c>
      <c r="U53" s="620" cm="1">
        <f t="array" aca="1" ref="U53" ca="1">IF(AUTOEVENTO="Manual",ROUND(SUMPRODUCT((CÁLCULO!$M$15:$M$48=EVENTOS!$C53)*(OFFSET(CÁLCULO!$AA$15:$AA$48,0,U$13))),2),0)</f>
        <v>0</v>
      </c>
      <c r="V53" s="620" cm="1">
        <f t="array" aca="1" ref="V53" ca="1">IF(AUTOEVENTO="Manual",ROUND(SUMPRODUCT((CÁLCULO!$M$15:$M$48=EVENTOS!$C53)*(OFFSET(CÁLCULO!$AA$15:$AA$48,0,V$13))),2),0)</f>
        <v>0</v>
      </c>
      <c r="W53" s="620" cm="1">
        <f t="array" aca="1" ref="W53" ca="1">IF(AUTOEVENTO="Manual",ROUND(SUMPRODUCT((CÁLCULO!$M$15:$M$48=EVENTOS!$C53)*(OFFSET(CÁLCULO!$AA$15:$AA$48,0,W$13))),2),0)</f>
        <v>0</v>
      </c>
      <c r="X53" s="620" cm="1">
        <f t="array" aca="1" ref="X53" ca="1">IF(AUTOEVENTO="Manual",ROUND(SUMPRODUCT((CÁLCULO!$M$15:$M$48=EVENTOS!$C53)*(OFFSET(CÁLCULO!$AA$15:$AA$48,0,X$13))),2),0)</f>
        <v>0</v>
      </c>
      <c r="Y53" s="620" cm="1">
        <f t="array" aca="1" ref="Y53" ca="1">IF(AUTOEVENTO="Manual",ROUND(SUMPRODUCT((CÁLCULO!$M$15:$M$48=EVENTOS!$C53)*(OFFSET(CÁLCULO!$AA$15:$AA$48,0,Y$13))),2),0)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IF(AUTOEVENTO="Manual",ROUND(SUMPRODUCT((CÁLCULO!$M$15:$M$48=EVENTOS!$C54)*(OFFSET(CÁLCULO!$AA$15:$AA$48,0,E$13))),2),0)</f>
        <v>0</v>
      </c>
      <c r="F54" s="183">
        <f ca="1">IF(AUTOEVENTO="Manual",ROUND(SUMPRODUCT((CÁLCULO!$M$15:$M$48=EVENTOS!$C54)*(OFFSET(CÁLCULO!$AA$15,0,1):OFFSET(CÁLCULO!$AL$48,0,-1))),2),0)</f>
        <v>0</v>
      </c>
      <c r="G54" s="621" t="str">
        <f t="shared" ca="1" si="6"/>
        <v/>
      </c>
      <c r="H54" s="620" cm="1">
        <f t="array" aca="1" ref="H54" ca="1">IF(AUTOEVENTO="Manual",ROUND(SUMPRODUCT((CÁLCULO!$M$15:$M$48=EVENTOS!$C54)*(OFFSET(CÁLCULO!$AA$15:$AA$48,0,H$13))),2),0)</f>
        <v>0</v>
      </c>
      <c r="I54" s="620" cm="1">
        <f t="array" aca="1" ref="I54" ca="1">IF(AUTOEVENTO="Manual",ROUND(SUMPRODUCT((CÁLCULO!$M$15:$M$48=EVENTOS!$C54)*(OFFSET(CÁLCULO!$AA$15:$AA$48,0,I$13))),2),0)</f>
        <v>0</v>
      </c>
      <c r="J54" s="620" cm="1">
        <f t="array" aca="1" ref="J54" ca="1">IF(AUTOEVENTO="Manual",ROUND(SUMPRODUCT((CÁLCULO!$M$15:$M$48=EVENTOS!$C54)*(OFFSET(CÁLCULO!$AA$15:$AA$48,0,J$13))),2),0)</f>
        <v>0</v>
      </c>
      <c r="K54" s="620" cm="1">
        <f t="array" aca="1" ref="K54" ca="1">IF(AUTOEVENTO="Manual",ROUND(SUMPRODUCT((CÁLCULO!$M$15:$M$48=EVENTOS!$C54)*(OFFSET(CÁLCULO!$AA$15:$AA$48,0,K$13))),2),0)</f>
        <v>0</v>
      </c>
      <c r="L54" s="620" cm="1">
        <f t="array" aca="1" ref="L54" ca="1">IF(AUTOEVENTO="Manual",ROUND(SUMPRODUCT((CÁLCULO!$M$15:$M$48=EVENTOS!$C54)*(OFFSET(CÁLCULO!$AA$15:$AA$48,0,L$13))),2),0)</f>
        <v>0</v>
      </c>
      <c r="M54" s="620" cm="1">
        <f t="array" aca="1" ref="M54" ca="1">IF(AUTOEVENTO="Manual",ROUND(SUMPRODUCT((CÁLCULO!$M$15:$M$48=EVENTOS!$C54)*(OFFSET(CÁLCULO!$AA$15:$AA$48,0,M$13))),2),0)</f>
        <v>0</v>
      </c>
      <c r="N54" s="620" cm="1">
        <f t="array" aca="1" ref="N54" ca="1">IF(AUTOEVENTO="Manual",ROUND(SUMPRODUCT((CÁLCULO!$M$15:$M$48=EVENTOS!$C54)*(OFFSET(CÁLCULO!$AA$15:$AA$48,0,N$13))),2),0)</f>
        <v>0</v>
      </c>
      <c r="O54" s="620" cm="1">
        <f t="array" aca="1" ref="O54" ca="1">IF(AUTOEVENTO="Manual",ROUND(SUMPRODUCT((CÁLCULO!$M$15:$M$48=EVENTOS!$C54)*(OFFSET(CÁLCULO!$AA$15:$AA$48,0,O$13))),2),0)</f>
        <v>0</v>
      </c>
      <c r="P54" s="620" cm="1">
        <f t="array" aca="1" ref="P54" ca="1">IF(AUTOEVENTO="Manual",ROUND(SUMPRODUCT((CÁLCULO!$M$15:$M$48=EVENTOS!$C54)*(OFFSET(CÁLCULO!$AA$15:$AA$48,0,P$13))),2),0)</f>
        <v>0</v>
      </c>
      <c r="Q54" s="620" cm="1">
        <f t="array" aca="1" ref="Q54" ca="1">IF(AUTOEVENTO="Manual",ROUND(SUMPRODUCT((CÁLCULO!$M$15:$M$48=EVENTOS!$C54)*(OFFSET(CÁLCULO!$AA$15:$AA$48,0,Q$13))),2),0)</f>
        <v>0</v>
      </c>
      <c r="R54" s="620" cm="1">
        <f t="array" aca="1" ref="R54" ca="1">IF(AUTOEVENTO="Manual",ROUND(SUMPRODUCT((CÁLCULO!$M$15:$M$48=EVENTOS!$C54)*(OFFSET(CÁLCULO!$AA$15:$AA$48,0,R$13))),2),0)</f>
        <v>0</v>
      </c>
      <c r="S54" s="620" cm="1">
        <f t="array" aca="1" ref="S54" ca="1">IF(AUTOEVENTO="Manual",ROUND(SUMPRODUCT((CÁLCULO!$M$15:$M$48=EVENTOS!$C54)*(OFFSET(CÁLCULO!$AA$15:$AA$48,0,S$13))),2),0)</f>
        <v>0</v>
      </c>
      <c r="T54" s="620" cm="1">
        <f t="array" aca="1" ref="T54" ca="1">IF(AUTOEVENTO="Manual",ROUND(SUMPRODUCT((CÁLCULO!$M$15:$M$48=EVENTOS!$C54)*(OFFSET(CÁLCULO!$AA$15:$AA$48,0,T$13))),2),0)</f>
        <v>0</v>
      </c>
      <c r="U54" s="620" cm="1">
        <f t="array" aca="1" ref="U54" ca="1">IF(AUTOEVENTO="Manual",ROUND(SUMPRODUCT((CÁLCULO!$M$15:$M$48=EVENTOS!$C54)*(OFFSET(CÁLCULO!$AA$15:$AA$48,0,U$13))),2),0)</f>
        <v>0</v>
      </c>
      <c r="V54" s="620" cm="1">
        <f t="array" aca="1" ref="V54" ca="1">IF(AUTOEVENTO="Manual",ROUND(SUMPRODUCT((CÁLCULO!$M$15:$M$48=EVENTOS!$C54)*(OFFSET(CÁLCULO!$AA$15:$AA$48,0,V$13))),2),0)</f>
        <v>0</v>
      </c>
      <c r="W54" s="620" cm="1">
        <f t="array" aca="1" ref="W54" ca="1">IF(AUTOEVENTO="Manual",ROUND(SUMPRODUCT((CÁLCULO!$M$15:$M$48=EVENTOS!$C54)*(OFFSET(CÁLCULO!$AA$15:$AA$48,0,W$13))),2),0)</f>
        <v>0</v>
      </c>
      <c r="X54" s="620" cm="1">
        <f t="array" aca="1" ref="X54" ca="1">IF(AUTOEVENTO="Manual",ROUND(SUMPRODUCT((CÁLCULO!$M$15:$M$48=EVENTOS!$C54)*(OFFSET(CÁLCULO!$AA$15:$AA$48,0,X$13))),2),0)</f>
        <v>0</v>
      </c>
      <c r="Y54" s="620" cm="1">
        <f t="array" aca="1" ref="Y54" ca="1">IF(AUTOEVENTO="Manual",ROUND(SUMPRODUCT((CÁLCULO!$M$15:$M$48=EVENTOS!$C54)*(OFFSET(CÁLCULO!$AA$15:$AA$48,0,Y$13))),2),0)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IF(AUTOEVENTO="Manual",ROUND(SUMPRODUCT((CÁLCULO!$M$15:$M$48=EVENTOS!$C55)*(OFFSET(CÁLCULO!$AA$15:$AA$48,0,E$13))),2),0)</f>
        <v>0</v>
      </c>
      <c r="F55" s="183">
        <f ca="1">IF(AUTOEVENTO="Manual",ROUND(SUMPRODUCT((CÁLCULO!$M$15:$M$48=EVENTOS!$C55)*(OFFSET(CÁLCULO!$AA$15,0,1):OFFSET(CÁLCULO!$AL$48,0,-1))),2),0)</f>
        <v>0</v>
      </c>
      <c r="G55" s="621" t="str">
        <f t="shared" ca="1" si="6"/>
        <v/>
      </c>
      <c r="H55" s="620" cm="1">
        <f t="array" aca="1" ref="H55" ca="1">IF(AUTOEVENTO="Manual",ROUND(SUMPRODUCT((CÁLCULO!$M$15:$M$48=EVENTOS!$C55)*(OFFSET(CÁLCULO!$AA$15:$AA$48,0,H$13))),2),0)</f>
        <v>0</v>
      </c>
      <c r="I55" s="620" cm="1">
        <f t="array" aca="1" ref="I55" ca="1">IF(AUTOEVENTO="Manual",ROUND(SUMPRODUCT((CÁLCULO!$M$15:$M$48=EVENTOS!$C55)*(OFFSET(CÁLCULO!$AA$15:$AA$48,0,I$13))),2),0)</f>
        <v>0</v>
      </c>
      <c r="J55" s="620" cm="1">
        <f t="array" aca="1" ref="J55" ca="1">IF(AUTOEVENTO="Manual",ROUND(SUMPRODUCT((CÁLCULO!$M$15:$M$48=EVENTOS!$C55)*(OFFSET(CÁLCULO!$AA$15:$AA$48,0,J$13))),2),0)</f>
        <v>0</v>
      </c>
      <c r="K55" s="620" cm="1">
        <f t="array" aca="1" ref="K55" ca="1">IF(AUTOEVENTO="Manual",ROUND(SUMPRODUCT((CÁLCULO!$M$15:$M$48=EVENTOS!$C55)*(OFFSET(CÁLCULO!$AA$15:$AA$48,0,K$13))),2),0)</f>
        <v>0</v>
      </c>
      <c r="L55" s="620" cm="1">
        <f t="array" aca="1" ref="L55" ca="1">IF(AUTOEVENTO="Manual",ROUND(SUMPRODUCT((CÁLCULO!$M$15:$M$48=EVENTOS!$C55)*(OFFSET(CÁLCULO!$AA$15:$AA$48,0,L$13))),2),0)</f>
        <v>0</v>
      </c>
      <c r="M55" s="620" cm="1">
        <f t="array" aca="1" ref="M55" ca="1">IF(AUTOEVENTO="Manual",ROUND(SUMPRODUCT((CÁLCULO!$M$15:$M$48=EVENTOS!$C55)*(OFFSET(CÁLCULO!$AA$15:$AA$48,0,M$13))),2),0)</f>
        <v>0</v>
      </c>
      <c r="N55" s="620" cm="1">
        <f t="array" aca="1" ref="N55" ca="1">IF(AUTOEVENTO="Manual",ROUND(SUMPRODUCT((CÁLCULO!$M$15:$M$48=EVENTOS!$C55)*(OFFSET(CÁLCULO!$AA$15:$AA$48,0,N$13))),2),0)</f>
        <v>0</v>
      </c>
      <c r="O55" s="620" cm="1">
        <f t="array" aca="1" ref="O55" ca="1">IF(AUTOEVENTO="Manual",ROUND(SUMPRODUCT((CÁLCULO!$M$15:$M$48=EVENTOS!$C55)*(OFFSET(CÁLCULO!$AA$15:$AA$48,0,O$13))),2),0)</f>
        <v>0</v>
      </c>
      <c r="P55" s="620" cm="1">
        <f t="array" aca="1" ref="P55" ca="1">IF(AUTOEVENTO="Manual",ROUND(SUMPRODUCT((CÁLCULO!$M$15:$M$48=EVENTOS!$C55)*(OFFSET(CÁLCULO!$AA$15:$AA$48,0,P$13))),2),0)</f>
        <v>0</v>
      </c>
      <c r="Q55" s="620" cm="1">
        <f t="array" aca="1" ref="Q55" ca="1">IF(AUTOEVENTO="Manual",ROUND(SUMPRODUCT((CÁLCULO!$M$15:$M$48=EVENTOS!$C55)*(OFFSET(CÁLCULO!$AA$15:$AA$48,0,Q$13))),2),0)</f>
        <v>0</v>
      </c>
      <c r="R55" s="620" cm="1">
        <f t="array" aca="1" ref="R55" ca="1">IF(AUTOEVENTO="Manual",ROUND(SUMPRODUCT((CÁLCULO!$M$15:$M$48=EVENTOS!$C55)*(OFFSET(CÁLCULO!$AA$15:$AA$48,0,R$13))),2),0)</f>
        <v>0</v>
      </c>
      <c r="S55" s="620" cm="1">
        <f t="array" aca="1" ref="S55" ca="1">IF(AUTOEVENTO="Manual",ROUND(SUMPRODUCT((CÁLCULO!$M$15:$M$48=EVENTOS!$C55)*(OFFSET(CÁLCULO!$AA$15:$AA$48,0,S$13))),2),0)</f>
        <v>0</v>
      </c>
      <c r="T55" s="620" cm="1">
        <f t="array" aca="1" ref="T55" ca="1">IF(AUTOEVENTO="Manual",ROUND(SUMPRODUCT((CÁLCULO!$M$15:$M$48=EVENTOS!$C55)*(OFFSET(CÁLCULO!$AA$15:$AA$48,0,T$13))),2),0)</f>
        <v>0</v>
      </c>
      <c r="U55" s="620" cm="1">
        <f t="array" aca="1" ref="U55" ca="1">IF(AUTOEVENTO="Manual",ROUND(SUMPRODUCT((CÁLCULO!$M$15:$M$48=EVENTOS!$C55)*(OFFSET(CÁLCULO!$AA$15:$AA$48,0,U$13))),2),0)</f>
        <v>0</v>
      </c>
      <c r="V55" s="620" cm="1">
        <f t="array" aca="1" ref="V55" ca="1">IF(AUTOEVENTO="Manual",ROUND(SUMPRODUCT((CÁLCULO!$M$15:$M$48=EVENTOS!$C55)*(OFFSET(CÁLCULO!$AA$15:$AA$48,0,V$13))),2),0)</f>
        <v>0</v>
      </c>
      <c r="W55" s="620" cm="1">
        <f t="array" aca="1" ref="W55" ca="1">IF(AUTOEVENTO="Manual",ROUND(SUMPRODUCT((CÁLCULO!$M$15:$M$48=EVENTOS!$C55)*(OFFSET(CÁLCULO!$AA$15:$AA$48,0,W$13))),2),0)</f>
        <v>0</v>
      </c>
      <c r="X55" s="620" cm="1">
        <f t="array" aca="1" ref="X55" ca="1">IF(AUTOEVENTO="Manual",ROUND(SUMPRODUCT((CÁLCULO!$M$15:$M$48=EVENTOS!$C55)*(OFFSET(CÁLCULO!$AA$15:$AA$48,0,X$13))),2),0)</f>
        <v>0</v>
      </c>
      <c r="Y55" s="620" cm="1">
        <f t="array" aca="1" ref="Y55" ca="1">IF(AUTOEVENTO="Manual",ROUND(SUMPRODUCT((CÁLCULO!$M$15:$M$48=EVENTOS!$C55)*(OFFSET(CÁLCULO!$AA$15:$AA$48,0,Y$13))),2),0)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IF(AUTOEVENTO="Manual",ROUND(SUMPRODUCT((CÁLCULO!$M$15:$M$48=EVENTOS!$C56)*(OFFSET(CÁLCULO!$AA$15:$AA$48,0,E$13))),2),0)</f>
        <v>0</v>
      </c>
      <c r="F56" s="183">
        <f ca="1">IF(AUTOEVENTO="Manual",ROUND(SUMPRODUCT((CÁLCULO!$M$15:$M$48=EVENTOS!$C56)*(OFFSET(CÁLCULO!$AA$15,0,1):OFFSET(CÁLCULO!$AL$48,0,-1))),2),0)</f>
        <v>0</v>
      </c>
      <c r="G56" s="621" t="str">
        <f t="shared" ca="1" si="6"/>
        <v/>
      </c>
      <c r="H56" s="620" cm="1">
        <f t="array" aca="1" ref="H56" ca="1">IF(AUTOEVENTO="Manual",ROUND(SUMPRODUCT((CÁLCULO!$M$15:$M$48=EVENTOS!$C56)*(OFFSET(CÁLCULO!$AA$15:$AA$48,0,H$13))),2),0)</f>
        <v>0</v>
      </c>
      <c r="I56" s="620" cm="1">
        <f t="array" aca="1" ref="I56" ca="1">IF(AUTOEVENTO="Manual",ROUND(SUMPRODUCT((CÁLCULO!$M$15:$M$48=EVENTOS!$C56)*(OFFSET(CÁLCULO!$AA$15:$AA$48,0,I$13))),2),0)</f>
        <v>0</v>
      </c>
      <c r="J56" s="620" cm="1">
        <f t="array" aca="1" ref="J56" ca="1">IF(AUTOEVENTO="Manual",ROUND(SUMPRODUCT((CÁLCULO!$M$15:$M$48=EVENTOS!$C56)*(OFFSET(CÁLCULO!$AA$15:$AA$48,0,J$13))),2),0)</f>
        <v>0</v>
      </c>
      <c r="K56" s="620" cm="1">
        <f t="array" aca="1" ref="K56" ca="1">IF(AUTOEVENTO="Manual",ROUND(SUMPRODUCT((CÁLCULO!$M$15:$M$48=EVENTOS!$C56)*(OFFSET(CÁLCULO!$AA$15:$AA$48,0,K$13))),2),0)</f>
        <v>0</v>
      </c>
      <c r="L56" s="620" cm="1">
        <f t="array" aca="1" ref="L56" ca="1">IF(AUTOEVENTO="Manual",ROUND(SUMPRODUCT((CÁLCULO!$M$15:$M$48=EVENTOS!$C56)*(OFFSET(CÁLCULO!$AA$15:$AA$48,0,L$13))),2),0)</f>
        <v>0</v>
      </c>
      <c r="M56" s="620" cm="1">
        <f t="array" aca="1" ref="M56" ca="1">IF(AUTOEVENTO="Manual",ROUND(SUMPRODUCT((CÁLCULO!$M$15:$M$48=EVENTOS!$C56)*(OFFSET(CÁLCULO!$AA$15:$AA$48,0,M$13))),2),0)</f>
        <v>0</v>
      </c>
      <c r="N56" s="620" cm="1">
        <f t="array" aca="1" ref="N56" ca="1">IF(AUTOEVENTO="Manual",ROUND(SUMPRODUCT((CÁLCULO!$M$15:$M$48=EVENTOS!$C56)*(OFFSET(CÁLCULO!$AA$15:$AA$48,0,N$13))),2),0)</f>
        <v>0</v>
      </c>
      <c r="O56" s="620" cm="1">
        <f t="array" aca="1" ref="O56" ca="1">IF(AUTOEVENTO="Manual",ROUND(SUMPRODUCT((CÁLCULO!$M$15:$M$48=EVENTOS!$C56)*(OFFSET(CÁLCULO!$AA$15:$AA$48,0,O$13))),2),0)</f>
        <v>0</v>
      </c>
      <c r="P56" s="620" cm="1">
        <f t="array" aca="1" ref="P56" ca="1">IF(AUTOEVENTO="Manual",ROUND(SUMPRODUCT((CÁLCULO!$M$15:$M$48=EVENTOS!$C56)*(OFFSET(CÁLCULO!$AA$15:$AA$48,0,P$13))),2),0)</f>
        <v>0</v>
      </c>
      <c r="Q56" s="620" cm="1">
        <f t="array" aca="1" ref="Q56" ca="1">IF(AUTOEVENTO="Manual",ROUND(SUMPRODUCT((CÁLCULO!$M$15:$M$48=EVENTOS!$C56)*(OFFSET(CÁLCULO!$AA$15:$AA$48,0,Q$13))),2),0)</f>
        <v>0</v>
      </c>
      <c r="R56" s="620" cm="1">
        <f t="array" aca="1" ref="R56" ca="1">IF(AUTOEVENTO="Manual",ROUND(SUMPRODUCT((CÁLCULO!$M$15:$M$48=EVENTOS!$C56)*(OFFSET(CÁLCULO!$AA$15:$AA$48,0,R$13))),2),0)</f>
        <v>0</v>
      </c>
      <c r="S56" s="620" cm="1">
        <f t="array" aca="1" ref="S56" ca="1">IF(AUTOEVENTO="Manual",ROUND(SUMPRODUCT((CÁLCULO!$M$15:$M$48=EVENTOS!$C56)*(OFFSET(CÁLCULO!$AA$15:$AA$48,0,S$13))),2),0)</f>
        <v>0</v>
      </c>
      <c r="T56" s="620" cm="1">
        <f t="array" aca="1" ref="T56" ca="1">IF(AUTOEVENTO="Manual",ROUND(SUMPRODUCT((CÁLCULO!$M$15:$M$48=EVENTOS!$C56)*(OFFSET(CÁLCULO!$AA$15:$AA$48,0,T$13))),2),0)</f>
        <v>0</v>
      </c>
      <c r="U56" s="620" cm="1">
        <f t="array" aca="1" ref="U56" ca="1">IF(AUTOEVENTO="Manual",ROUND(SUMPRODUCT((CÁLCULO!$M$15:$M$48=EVENTOS!$C56)*(OFFSET(CÁLCULO!$AA$15:$AA$48,0,U$13))),2),0)</f>
        <v>0</v>
      </c>
      <c r="V56" s="620" cm="1">
        <f t="array" aca="1" ref="V56" ca="1">IF(AUTOEVENTO="Manual",ROUND(SUMPRODUCT((CÁLCULO!$M$15:$M$48=EVENTOS!$C56)*(OFFSET(CÁLCULO!$AA$15:$AA$48,0,V$13))),2),0)</f>
        <v>0</v>
      </c>
      <c r="W56" s="620" cm="1">
        <f t="array" aca="1" ref="W56" ca="1">IF(AUTOEVENTO="Manual",ROUND(SUMPRODUCT((CÁLCULO!$M$15:$M$48=EVENTOS!$C56)*(OFFSET(CÁLCULO!$AA$15:$AA$48,0,W$13))),2),0)</f>
        <v>0</v>
      </c>
      <c r="X56" s="620" cm="1">
        <f t="array" aca="1" ref="X56" ca="1">IF(AUTOEVENTO="Manual",ROUND(SUMPRODUCT((CÁLCULO!$M$15:$M$48=EVENTOS!$C56)*(OFFSET(CÁLCULO!$AA$15:$AA$48,0,X$13))),2),0)</f>
        <v>0</v>
      </c>
      <c r="Y56" s="620" cm="1">
        <f t="array" aca="1" ref="Y56" ca="1">IF(AUTOEVENTO="Manual",ROUND(SUMPRODUCT((CÁLCULO!$M$15:$M$48=EVENTOS!$C56)*(OFFSET(CÁLCULO!$AA$15:$AA$48,0,Y$13))),2),0)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IF(AUTOEVENTO="Manual",ROUND(SUMPRODUCT((CÁLCULO!$M$15:$M$48=EVENTOS!$C57)*(OFFSET(CÁLCULO!$AA$15:$AA$48,0,E$13))),2),0)</f>
        <v>0</v>
      </c>
      <c r="F57" s="183">
        <f ca="1">IF(AUTOEVENTO="Manual",ROUND(SUMPRODUCT((CÁLCULO!$M$15:$M$48=EVENTOS!$C57)*(OFFSET(CÁLCULO!$AA$15,0,1):OFFSET(CÁLCULO!$AL$48,0,-1))),2),0)</f>
        <v>0</v>
      </c>
      <c r="G57" s="621" t="str">
        <f t="shared" ca="1" si="6"/>
        <v/>
      </c>
      <c r="H57" s="620" cm="1">
        <f t="array" aca="1" ref="H57" ca="1">IF(AUTOEVENTO="Manual",ROUND(SUMPRODUCT((CÁLCULO!$M$15:$M$48=EVENTOS!$C57)*(OFFSET(CÁLCULO!$AA$15:$AA$48,0,H$13))),2),0)</f>
        <v>0</v>
      </c>
      <c r="I57" s="620" cm="1">
        <f t="array" aca="1" ref="I57" ca="1">IF(AUTOEVENTO="Manual",ROUND(SUMPRODUCT((CÁLCULO!$M$15:$M$48=EVENTOS!$C57)*(OFFSET(CÁLCULO!$AA$15:$AA$48,0,I$13))),2),0)</f>
        <v>0</v>
      </c>
      <c r="J57" s="620" cm="1">
        <f t="array" aca="1" ref="J57" ca="1">IF(AUTOEVENTO="Manual",ROUND(SUMPRODUCT((CÁLCULO!$M$15:$M$48=EVENTOS!$C57)*(OFFSET(CÁLCULO!$AA$15:$AA$48,0,J$13))),2),0)</f>
        <v>0</v>
      </c>
      <c r="K57" s="620" cm="1">
        <f t="array" aca="1" ref="K57" ca="1">IF(AUTOEVENTO="Manual",ROUND(SUMPRODUCT((CÁLCULO!$M$15:$M$48=EVENTOS!$C57)*(OFFSET(CÁLCULO!$AA$15:$AA$48,0,K$13))),2),0)</f>
        <v>0</v>
      </c>
      <c r="L57" s="620" cm="1">
        <f t="array" aca="1" ref="L57" ca="1">IF(AUTOEVENTO="Manual",ROUND(SUMPRODUCT((CÁLCULO!$M$15:$M$48=EVENTOS!$C57)*(OFFSET(CÁLCULO!$AA$15:$AA$48,0,L$13))),2),0)</f>
        <v>0</v>
      </c>
      <c r="M57" s="620" cm="1">
        <f t="array" aca="1" ref="M57" ca="1">IF(AUTOEVENTO="Manual",ROUND(SUMPRODUCT((CÁLCULO!$M$15:$M$48=EVENTOS!$C57)*(OFFSET(CÁLCULO!$AA$15:$AA$48,0,M$13))),2),0)</f>
        <v>0</v>
      </c>
      <c r="N57" s="620" cm="1">
        <f t="array" aca="1" ref="N57" ca="1">IF(AUTOEVENTO="Manual",ROUND(SUMPRODUCT((CÁLCULO!$M$15:$M$48=EVENTOS!$C57)*(OFFSET(CÁLCULO!$AA$15:$AA$48,0,N$13))),2),0)</f>
        <v>0</v>
      </c>
      <c r="O57" s="620" cm="1">
        <f t="array" aca="1" ref="O57" ca="1">IF(AUTOEVENTO="Manual",ROUND(SUMPRODUCT((CÁLCULO!$M$15:$M$48=EVENTOS!$C57)*(OFFSET(CÁLCULO!$AA$15:$AA$48,0,O$13))),2),0)</f>
        <v>0</v>
      </c>
      <c r="P57" s="620" cm="1">
        <f t="array" aca="1" ref="P57" ca="1">IF(AUTOEVENTO="Manual",ROUND(SUMPRODUCT((CÁLCULO!$M$15:$M$48=EVENTOS!$C57)*(OFFSET(CÁLCULO!$AA$15:$AA$48,0,P$13))),2),0)</f>
        <v>0</v>
      </c>
      <c r="Q57" s="620" cm="1">
        <f t="array" aca="1" ref="Q57" ca="1">IF(AUTOEVENTO="Manual",ROUND(SUMPRODUCT((CÁLCULO!$M$15:$M$48=EVENTOS!$C57)*(OFFSET(CÁLCULO!$AA$15:$AA$48,0,Q$13))),2),0)</f>
        <v>0</v>
      </c>
      <c r="R57" s="620" cm="1">
        <f t="array" aca="1" ref="R57" ca="1">IF(AUTOEVENTO="Manual",ROUND(SUMPRODUCT((CÁLCULO!$M$15:$M$48=EVENTOS!$C57)*(OFFSET(CÁLCULO!$AA$15:$AA$48,0,R$13))),2),0)</f>
        <v>0</v>
      </c>
      <c r="S57" s="620" cm="1">
        <f t="array" aca="1" ref="S57" ca="1">IF(AUTOEVENTO="Manual",ROUND(SUMPRODUCT((CÁLCULO!$M$15:$M$48=EVENTOS!$C57)*(OFFSET(CÁLCULO!$AA$15:$AA$48,0,S$13))),2),0)</f>
        <v>0</v>
      </c>
      <c r="T57" s="620" cm="1">
        <f t="array" aca="1" ref="T57" ca="1">IF(AUTOEVENTO="Manual",ROUND(SUMPRODUCT((CÁLCULO!$M$15:$M$48=EVENTOS!$C57)*(OFFSET(CÁLCULO!$AA$15:$AA$48,0,T$13))),2),0)</f>
        <v>0</v>
      </c>
      <c r="U57" s="620" cm="1">
        <f t="array" aca="1" ref="U57" ca="1">IF(AUTOEVENTO="Manual",ROUND(SUMPRODUCT((CÁLCULO!$M$15:$M$48=EVENTOS!$C57)*(OFFSET(CÁLCULO!$AA$15:$AA$48,0,U$13))),2),0)</f>
        <v>0</v>
      </c>
      <c r="V57" s="620" cm="1">
        <f t="array" aca="1" ref="V57" ca="1">IF(AUTOEVENTO="Manual",ROUND(SUMPRODUCT((CÁLCULO!$M$15:$M$48=EVENTOS!$C57)*(OFFSET(CÁLCULO!$AA$15:$AA$48,0,V$13))),2),0)</f>
        <v>0</v>
      </c>
      <c r="W57" s="620" cm="1">
        <f t="array" aca="1" ref="W57" ca="1">IF(AUTOEVENTO="Manual",ROUND(SUMPRODUCT((CÁLCULO!$M$15:$M$48=EVENTOS!$C57)*(OFFSET(CÁLCULO!$AA$15:$AA$48,0,W$13))),2),0)</f>
        <v>0</v>
      </c>
      <c r="X57" s="620" cm="1">
        <f t="array" aca="1" ref="X57" ca="1">IF(AUTOEVENTO="Manual",ROUND(SUMPRODUCT((CÁLCULO!$M$15:$M$48=EVENTOS!$C57)*(OFFSET(CÁLCULO!$AA$15:$AA$48,0,X$13))),2),0)</f>
        <v>0</v>
      </c>
      <c r="Y57" s="620" cm="1">
        <f t="array" aca="1" ref="Y57" ca="1">IF(AUTOEVENTO="Manual",ROUND(SUMPRODUCT((CÁLCULO!$M$15:$M$48=EVENTOS!$C57)*(OFFSET(CÁLCULO!$AA$15:$AA$48,0,Y$13))),2),0)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IF(AUTOEVENTO="Manual",ROUND(SUMPRODUCT((CÁLCULO!$M$15:$M$48=EVENTOS!$C58)*(OFFSET(CÁLCULO!$AA$15:$AA$48,0,E$13))),2),0)</f>
        <v>0</v>
      </c>
      <c r="F58" s="183">
        <f ca="1">IF(AUTOEVENTO="Manual",ROUND(SUMPRODUCT((CÁLCULO!$M$15:$M$48=EVENTOS!$C58)*(OFFSET(CÁLCULO!$AA$15,0,1):OFFSET(CÁLCULO!$AL$48,0,-1))),2),0)</f>
        <v>0</v>
      </c>
      <c r="G58" s="621" t="str">
        <f t="shared" ca="1" si="6"/>
        <v/>
      </c>
      <c r="H58" s="620" cm="1">
        <f t="array" aca="1" ref="H58" ca="1">IF(AUTOEVENTO="Manual",ROUND(SUMPRODUCT((CÁLCULO!$M$15:$M$48=EVENTOS!$C58)*(OFFSET(CÁLCULO!$AA$15:$AA$48,0,H$13))),2),0)</f>
        <v>0</v>
      </c>
      <c r="I58" s="620" cm="1">
        <f t="array" aca="1" ref="I58" ca="1">IF(AUTOEVENTO="Manual",ROUND(SUMPRODUCT((CÁLCULO!$M$15:$M$48=EVENTOS!$C58)*(OFFSET(CÁLCULO!$AA$15:$AA$48,0,I$13))),2),0)</f>
        <v>0</v>
      </c>
      <c r="J58" s="620" cm="1">
        <f t="array" aca="1" ref="J58" ca="1">IF(AUTOEVENTO="Manual",ROUND(SUMPRODUCT((CÁLCULO!$M$15:$M$48=EVENTOS!$C58)*(OFFSET(CÁLCULO!$AA$15:$AA$48,0,J$13))),2),0)</f>
        <v>0</v>
      </c>
      <c r="K58" s="620" cm="1">
        <f t="array" aca="1" ref="K58" ca="1">IF(AUTOEVENTO="Manual",ROUND(SUMPRODUCT((CÁLCULO!$M$15:$M$48=EVENTOS!$C58)*(OFFSET(CÁLCULO!$AA$15:$AA$48,0,K$13))),2),0)</f>
        <v>0</v>
      </c>
      <c r="L58" s="620" cm="1">
        <f t="array" aca="1" ref="L58" ca="1">IF(AUTOEVENTO="Manual",ROUND(SUMPRODUCT((CÁLCULO!$M$15:$M$48=EVENTOS!$C58)*(OFFSET(CÁLCULO!$AA$15:$AA$48,0,L$13))),2),0)</f>
        <v>0</v>
      </c>
      <c r="M58" s="620" cm="1">
        <f t="array" aca="1" ref="M58" ca="1">IF(AUTOEVENTO="Manual",ROUND(SUMPRODUCT((CÁLCULO!$M$15:$M$48=EVENTOS!$C58)*(OFFSET(CÁLCULO!$AA$15:$AA$48,0,M$13))),2),0)</f>
        <v>0</v>
      </c>
      <c r="N58" s="620" cm="1">
        <f t="array" aca="1" ref="N58" ca="1">IF(AUTOEVENTO="Manual",ROUND(SUMPRODUCT((CÁLCULO!$M$15:$M$48=EVENTOS!$C58)*(OFFSET(CÁLCULO!$AA$15:$AA$48,0,N$13))),2),0)</f>
        <v>0</v>
      </c>
      <c r="O58" s="620" cm="1">
        <f t="array" aca="1" ref="O58" ca="1">IF(AUTOEVENTO="Manual",ROUND(SUMPRODUCT((CÁLCULO!$M$15:$M$48=EVENTOS!$C58)*(OFFSET(CÁLCULO!$AA$15:$AA$48,0,O$13))),2),0)</f>
        <v>0</v>
      </c>
      <c r="P58" s="620" cm="1">
        <f t="array" aca="1" ref="P58" ca="1">IF(AUTOEVENTO="Manual",ROUND(SUMPRODUCT((CÁLCULO!$M$15:$M$48=EVENTOS!$C58)*(OFFSET(CÁLCULO!$AA$15:$AA$48,0,P$13))),2),0)</f>
        <v>0</v>
      </c>
      <c r="Q58" s="620" cm="1">
        <f t="array" aca="1" ref="Q58" ca="1">IF(AUTOEVENTO="Manual",ROUND(SUMPRODUCT((CÁLCULO!$M$15:$M$48=EVENTOS!$C58)*(OFFSET(CÁLCULO!$AA$15:$AA$48,0,Q$13))),2),0)</f>
        <v>0</v>
      </c>
      <c r="R58" s="620" cm="1">
        <f t="array" aca="1" ref="R58" ca="1">IF(AUTOEVENTO="Manual",ROUND(SUMPRODUCT((CÁLCULO!$M$15:$M$48=EVENTOS!$C58)*(OFFSET(CÁLCULO!$AA$15:$AA$48,0,R$13))),2),0)</f>
        <v>0</v>
      </c>
      <c r="S58" s="620" cm="1">
        <f t="array" aca="1" ref="S58" ca="1">IF(AUTOEVENTO="Manual",ROUND(SUMPRODUCT((CÁLCULO!$M$15:$M$48=EVENTOS!$C58)*(OFFSET(CÁLCULO!$AA$15:$AA$48,0,S$13))),2),0)</f>
        <v>0</v>
      </c>
      <c r="T58" s="620" cm="1">
        <f t="array" aca="1" ref="T58" ca="1">IF(AUTOEVENTO="Manual",ROUND(SUMPRODUCT((CÁLCULO!$M$15:$M$48=EVENTOS!$C58)*(OFFSET(CÁLCULO!$AA$15:$AA$48,0,T$13))),2),0)</f>
        <v>0</v>
      </c>
      <c r="U58" s="620" cm="1">
        <f t="array" aca="1" ref="U58" ca="1">IF(AUTOEVENTO="Manual",ROUND(SUMPRODUCT((CÁLCULO!$M$15:$M$48=EVENTOS!$C58)*(OFFSET(CÁLCULO!$AA$15:$AA$48,0,U$13))),2),0)</f>
        <v>0</v>
      </c>
      <c r="V58" s="620" cm="1">
        <f t="array" aca="1" ref="V58" ca="1">IF(AUTOEVENTO="Manual",ROUND(SUMPRODUCT((CÁLCULO!$M$15:$M$48=EVENTOS!$C58)*(OFFSET(CÁLCULO!$AA$15:$AA$48,0,V$13))),2),0)</f>
        <v>0</v>
      </c>
      <c r="W58" s="620" cm="1">
        <f t="array" aca="1" ref="W58" ca="1">IF(AUTOEVENTO="Manual",ROUND(SUMPRODUCT((CÁLCULO!$M$15:$M$48=EVENTOS!$C58)*(OFFSET(CÁLCULO!$AA$15:$AA$48,0,W$13))),2),0)</f>
        <v>0</v>
      </c>
      <c r="X58" s="620" cm="1">
        <f t="array" aca="1" ref="X58" ca="1">IF(AUTOEVENTO="Manual",ROUND(SUMPRODUCT((CÁLCULO!$M$15:$M$48=EVENTOS!$C58)*(OFFSET(CÁLCULO!$AA$15:$AA$48,0,X$13))),2),0)</f>
        <v>0</v>
      </c>
      <c r="Y58" s="620" cm="1">
        <f t="array" aca="1" ref="Y58" ca="1">IF(AUTOEVENTO="Manual",ROUND(SUMPRODUCT((CÁLCULO!$M$15:$M$48=EVENTOS!$C58)*(OFFSET(CÁLCULO!$AA$15:$AA$48,0,Y$13))),2),0)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IF(AUTOEVENTO="Manual",ROUND(SUMPRODUCT((CÁLCULO!$M$15:$M$48=EVENTOS!$C59)*(OFFSET(CÁLCULO!$AA$15:$AA$48,0,E$13))),2),0)</f>
        <v>0</v>
      </c>
      <c r="F59" s="183">
        <f ca="1">IF(AUTOEVENTO="Manual",ROUND(SUMPRODUCT((CÁLCULO!$M$15:$M$48=EVENTOS!$C59)*(OFFSET(CÁLCULO!$AA$15,0,1):OFFSET(CÁLCULO!$AL$48,0,-1))),2),0)</f>
        <v>0</v>
      </c>
      <c r="G59" s="621" t="str">
        <f t="shared" ca="1" si="6"/>
        <v/>
      </c>
      <c r="H59" s="620" cm="1">
        <f t="array" aca="1" ref="H59" ca="1">IF(AUTOEVENTO="Manual",ROUND(SUMPRODUCT((CÁLCULO!$M$15:$M$48=EVENTOS!$C59)*(OFFSET(CÁLCULO!$AA$15:$AA$48,0,H$13))),2),0)</f>
        <v>0</v>
      </c>
      <c r="I59" s="620" cm="1">
        <f t="array" aca="1" ref="I59" ca="1">IF(AUTOEVENTO="Manual",ROUND(SUMPRODUCT((CÁLCULO!$M$15:$M$48=EVENTOS!$C59)*(OFFSET(CÁLCULO!$AA$15:$AA$48,0,I$13))),2),0)</f>
        <v>0</v>
      </c>
      <c r="J59" s="620" cm="1">
        <f t="array" aca="1" ref="J59" ca="1">IF(AUTOEVENTO="Manual",ROUND(SUMPRODUCT((CÁLCULO!$M$15:$M$48=EVENTOS!$C59)*(OFFSET(CÁLCULO!$AA$15:$AA$48,0,J$13))),2),0)</f>
        <v>0</v>
      </c>
      <c r="K59" s="620" cm="1">
        <f t="array" aca="1" ref="K59" ca="1">IF(AUTOEVENTO="Manual",ROUND(SUMPRODUCT((CÁLCULO!$M$15:$M$48=EVENTOS!$C59)*(OFFSET(CÁLCULO!$AA$15:$AA$48,0,K$13))),2),0)</f>
        <v>0</v>
      </c>
      <c r="L59" s="620" cm="1">
        <f t="array" aca="1" ref="L59" ca="1">IF(AUTOEVENTO="Manual",ROUND(SUMPRODUCT((CÁLCULO!$M$15:$M$48=EVENTOS!$C59)*(OFFSET(CÁLCULO!$AA$15:$AA$48,0,L$13))),2),0)</f>
        <v>0</v>
      </c>
      <c r="M59" s="620" cm="1">
        <f t="array" aca="1" ref="M59" ca="1">IF(AUTOEVENTO="Manual",ROUND(SUMPRODUCT((CÁLCULO!$M$15:$M$48=EVENTOS!$C59)*(OFFSET(CÁLCULO!$AA$15:$AA$48,0,M$13))),2),0)</f>
        <v>0</v>
      </c>
      <c r="N59" s="620" cm="1">
        <f t="array" aca="1" ref="N59" ca="1">IF(AUTOEVENTO="Manual",ROUND(SUMPRODUCT((CÁLCULO!$M$15:$M$48=EVENTOS!$C59)*(OFFSET(CÁLCULO!$AA$15:$AA$48,0,N$13))),2),0)</f>
        <v>0</v>
      </c>
      <c r="O59" s="620" cm="1">
        <f t="array" aca="1" ref="O59" ca="1">IF(AUTOEVENTO="Manual",ROUND(SUMPRODUCT((CÁLCULO!$M$15:$M$48=EVENTOS!$C59)*(OFFSET(CÁLCULO!$AA$15:$AA$48,0,O$13))),2),0)</f>
        <v>0</v>
      </c>
      <c r="P59" s="620" cm="1">
        <f t="array" aca="1" ref="P59" ca="1">IF(AUTOEVENTO="Manual",ROUND(SUMPRODUCT((CÁLCULO!$M$15:$M$48=EVENTOS!$C59)*(OFFSET(CÁLCULO!$AA$15:$AA$48,0,P$13))),2),0)</f>
        <v>0</v>
      </c>
      <c r="Q59" s="620" cm="1">
        <f t="array" aca="1" ref="Q59" ca="1">IF(AUTOEVENTO="Manual",ROUND(SUMPRODUCT((CÁLCULO!$M$15:$M$48=EVENTOS!$C59)*(OFFSET(CÁLCULO!$AA$15:$AA$48,0,Q$13))),2),0)</f>
        <v>0</v>
      </c>
      <c r="R59" s="620" cm="1">
        <f t="array" aca="1" ref="R59" ca="1">IF(AUTOEVENTO="Manual",ROUND(SUMPRODUCT((CÁLCULO!$M$15:$M$48=EVENTOS!$C59)*(OFFSET(CÁLCULO!$AA$15:$AA$48,0,R$13))),2),0)</f>
        <v>0</v>
      </c>
      <c r="S59" s="620" cm="1">
        <f t="array" aca="1" ref="S59" ca="1">IF(AUTOEVENTO="Manual",ROUND(SUMPRODUCT((CÁLCULO!$M$15:$M$48=EVENTOS!$C59)*(OFFSET(CÁLCULO!$AA$15:$AA$48,0,S$13))),2),0)</f>
        <v>0</v>
      </c>
      <c r="T59" s="620" cm="1">
        <f t="array" aca="1" ref="T59" ca="1">IF(AUTOEVENTO="Manual",ROUND(SUMPRODUCT((CÁLCULO!$M$15:$M$48=EVENTOS!$C59)*(OFFSET(CÁLCULO!$AA$15:$AA$48,0,T$13))),2),0)</f>
        <v>0</v>
      </c>
      <c r="U59" s="620" cm="1">
        <f t="array" aca="1" ref="U59" ca="1">IF(AUTOEVENTO="Manual",ROUND(SUMPRODUCT((CÁLCULO!$M$15:$M$48=EVENTOS!$C59)*(OFFSET(CÁLCULO!$AA$15:$AA$48,0,U$13))),2),0)</f>
        <v>0</v>
      </c>
      <c r="V59" s="620" cm="1">
        <f t="array" aca="1" ref="V59" ca="1">IF(AUTOEVENTO="Manual",ROUND(SUMPRODUCT((CÁLCULO!$M$15:$M$48=EVENTOS!$C59)*(OFFSET(CÁLCULO!$AA$15:$AA$48,0,V$13))),2),0)</f>
        <v>0</v>
      </c>
      <c r="W59" s="620" cm="1">
        <f t="array" aca="1" ref="W59" ca="1">IF(AUTOEVENTO="Manual",ROUND(SUMPRODUCT((CÁLCULO!$M$15:$M$48=EVENTOS!$C59)*(OFFSET(CÁLCULO!$AA$15:$AA$48,0,W$13))),2),0)</f>
        <v>0</v>
      </c>
      <c r="X59" s="620" cm="1">
        <f t="array" aca="1" ref="X59" ca="1">IF(AUTOEVENTO="Manual",ROUND(SUMPRODUCT((CÁLCULO!$M$15:$M$48=EVENTOS!$C59)*(OFFSET(CÁLCULO!$AA$15:$AA$48,0,X$13))),2),0)</f>
        <v>0</v>
      </c>
      <c r="Y59" s="620" cm="1">
        <f t="array" aca="1" ref="Y59" ca="1">IF(AUTOEVENTO="Manual",ROUND(SUMPRODUCT((CÁLCULO!$M$15:$M$48=EVENTOS!$C59)*(OFFSET(CÁLCULO!$AA$15:$AA$48,0,Y$13))),2),0)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IF(AUTOEVENTO="Manual",ROUND(SUMPRODUCT((CÁLCULO!$M$15:$M$48=EVENTOS!$C60)*(OFFSET(CÁLCULO!$AA$15:$AA$48,0,E$13))),2),0)</f>
        <v>0</v>
      </c>
      <c r="F60" s="183">
        <f ca="1">IF(AUTOEVENTO="Manual",ROUND(SUMPRODUCT((CÁLCULO!$M$15:$M$48=EVENTOS!$C60)*(OFFSET(CÁLCULO!$AA$15,0,1):OFFSET(CÁLCULO!$AL$48,0,-1))),2),0)</f>
        <v>0</v>
      </c>
      <c r="G60" s="621" t="str">
        <f t="shared" ca="1" si="6"/>
        <v/>
      </c>
      <c r="H60" s="620" cm="1">
        <f t="array" aca="1" ref="H60" ca="1">IF(AUTOEVENTO="Manual",ROUND(SUMPRODUCT((CÁLCULO!$M$15:$M$48=EVENTOS!$C60)*(OFFSET(CÁLCULO!$AA$15:$AA$48,0,H$13))),2),0)</f>
        <v>0</v>
      </c>
      <c r="I60" s="620" cm="1">
        <f t="array" aca="1" ref="I60" ca="1">IF(AUTOEVENTO="Manual",ROUND(SUMPRODUCT((CÁLCULO!$M$15:$M$48=EVENTOS!$C60)*(OFFSET(CÁLCULO!$AA$15:$AA$48,0,I$13))),2),0)</f>
        <v>0</v>
      </c>
      <c r="J60" s="620" cm="1">
        <f t="array" aca="1" ref="J60" ca="1">IF(AUTOEVENTO="Manual",ROUND(SUMPRODUCT((CÁLCULO!$M$15:$M$48=EVENTOS!$C60)*(OFFSET(CÁLCULO!$AA$15:$AA$48,0,J$13))),2),0)</f>
        <v>0</v>
      </c>
      <c r="K60" s="620" cm="1">
        <f t="array" aca="1" ref="K60" ca="1">IF(AUTOEVENTO="Manual",ROUND(SUMPRODUCT((CÁLCULO!$M$15:$M$48=EVENTOS!$C60)*(OFFSET(CÁLCULO!$AA$15:$AA$48,0,K$13))),2),0)</f>
        <v>0</v>
      </c>
      <c r="L60" s="620" cm="1">
        <f t="array" aca="1" ref="L60" ca="1">IF(AUTOEVENTO="Manual",ROUND(SUMPRODUCT((CÁLCULO!$M$15:$M$48=EVENTOS!$C60)*(OFFSET(CÁLCULO!$AA$15:$AA$48,0,L$13))),2),0)</f>
        <v>0</v>
      </c>
      <c r="M60" s="620" cm="1">
        <f t="array" aca="1" ref="M60" ca="1">IF(AUTOEVENTO="Manual",ROUND(SUMPRODUCT((CÁLCULO!$M$15:$M$48=EVENTOS!$C60)*(OFFSET(CÁLCULO!$AA$15:$AA$48,0,M$13))),2),0)</f>
        <v>0</v>
      </c>
      <c r="N60" s="620" cm="1">
        <f t="array" aca="1" ref="N60" ca="1">IF(AUTOEVENTO="Manual",ROUND(SUMPRODUCT((CÁLCULO!$M$15:$M$48=EVENTOS!$C60)*(OFFSET(CÁLCULO!$AA$15:$AA$48,0,N$13))),2),0)</f>
        <v>0</v>
      </c>
      <c r="O60" s="620" cm="1">
        <f t="array" aca="1" ref="O60" ca="1">IF(AUTOEVENTO="Manual",ROUND(SUMPRODUCT((CÁLCULO!$M$15:$M$48=EVENTOS!$C60)*(OFFSET(CÁLCULO!$AA$15:$AA$48,0,O$13))),2),0)</f>
        <v>0</v>
      </c>
      <c r="P60" s="620" cm="1">
        <f t="array" aca="1" ref="P60" ca="1">IF(AUTOEVENTO="Manual",ROUND(SUMPRODUCT((CÁLCULO!$M$15:$M$48=EVENTOS!$C60)*(OFFSET(CÁLCULO!$AA$15:$AA$48,0,P$13))),2),0)</f>
        <v>0</v>
      </c>
      <c r="Q60" s="620" cm="1">
        <f t="array" aca="1" ref="Q60" ca="1">IF(AUTOEVENTO="Manual",ROUND(SUMPRODUCT((CÁLCULO!$M$15:$M$48=EVENTOS!$C60)*(OFFSET(CÁLCULO!$AA$15:$AA$48,0,Q$13))),2),0)</f>
        <v>0</v>
      </c>
      <c r="R60" s="620" cm="1">
        <f t="array" aca="1" ref="R60" ca="1">IF(AUTOEVENTO="Manual",ROUND(SUMPRODUCT((CÁLCULO!$M$15:$M$48=EVENTOS!$C60)*(OFFSET(CÁLCULO!$AA$15:$AA$48,0,R$13))),2),0)</f>
        <v>0</v>
      </c>
      <c r="S60" s="620" cm="1">
        <f t="array" aca="1" ref="S60" ca="1">IF(AUTOEVENTO="Manual",ROUND(SUMPRODUCT((CÁLCULO!$M$15:$M$48=EVENTOS!$C60)*(OFFSET(CÁLCULO!$AA$15:$AA$48,0,S$13))),2),0)</f>
        <v>0</v>
      </c>
      <c r="T60" s="620" cm="1">
        <f t="array" aca="1" ref="T60" ca="1">IF(AUTOEVENTO="Manual",ROUND(SUMPRODUCT((CÁLCULO!$M$15:$M$48=EVENTOS!$C60)*(OFFSET(CÁLCULO!$AA$15:$AA$48,0,T$13))),2),0)</f>
        <v>0</v>
      </c>
      <c r="U60" s="620" cm="1">
        <f t="array" aca="1" ref="U60" ca="1">IF(AUTOEVENTO="Manual",ROUND(SUMPRODUCT((CÁLCULO!$M$15:$M$48=EVENTOS!$C60)*(OFFSET(CÁLCULO!$AA$15:$AA$48,0,U$13))),2),0)</f>
        <v>0</v>
      </c>
      <c r="V60" s="620" cm="1">
        <f t="array" aca="1" ref="V60" ca="1">IF(AUTOEVENTO="Manual",ROUND(SUMPRODUCT((CÁLCULO!$M$15:$M$48=EVENTOS!$C60)*(OFFSET(CÁLCULO!$AA$15:$AA$48,0,V$13))),2),0)</f>
        <v>0</v>
      </c>
      <c r="W60" s="620" cm="1">
        <f t="array" aca="1" ref="W60" ca="1">IF(AUTOEVENTO="Manual",ROUND(SUMPRODUCT((CÁLCULO!$M$15:$M$48=EVENTOS!$C60)*(OFFSET(CÁLCULO!$AA$15:$AA$48,0,W$13))),2),0)</f>
        <v>0</v>
      </c>
      <c r="X60" s="620" cm="1">
        <f t="array" aca="1" ref="X60" ca="1">IF(AUTOEVENTO="Manual",ROUND(SUMPRODUCT((CÁLCULO!$M$15:$M$48=EVENTOS!$C60)*(OFFSET(CÁLCULO!$AA$15:$AA$48,0,X$13))),2),0)</f>
        <v>0</v>
      </c>
      <c r="Y60" s="620" cm="1">
        <f t="array" aca="1" ref="Y60" ca="1">IF(AUTOEVENTO="Manual",ROUND(SUMPRODUCT((CÁLCULO!$M$15:$M$48=EVENTOS!$C60)*(OFFSET(CÁLCULO!$AA$15:$AA$48,0,Y$13))),2),0)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IF(AUTOEVENTO="Manual",ROUND(SUMPRODUCT((CÁLCULO!$M$15:$M$48=EVENTOS!$C61)*(OFFSET(CÁLCULO!$AA$15:$AA$48,0,E$13))),2),0)</f>
        <v>0</v>
      </c>
      <c r="F61" s="183">
        <f ca="1">IF(AUTOEVENTO="Manual",ROUND(SUMPRODUCT((CÁLCULO!$M$15:$M$48=EVENTOS!$C61)*(OFFSET(CÁLCULO!$AA$15,0,1):OFFSET(CÁLCULO!$AL$48,0,-1))),2),0)</f>
        <v>0</v>
      </c>
      <c r="G61" s="621" t="str">
        <f t="shared" ca="1" si="6"/>
        <v/>
      </c>
      <c r="H61" s="620" cm="1">
        <f t="array" aca="1" ref="H61" ca="1">IF(AUTOEVENTO="Manual",ROUND(SUMPRODUCT((CÁLCULO!$M$15:$M$48=EVENTOS!$C61)*(OFFSET(CÁLCULO!$AA$15:$AA$48,0,H$13))),2),0)</f>
        <v>0</v>
      </c>
      <c r="I61" s="620" cm="1">
        <f t="array" aca="1" ref="I61" ca="1">IF(AUTOEVENTO="Manual",ROUND(SUMPRODUCT((CÁLCULO!$M$15:$M$48=EVENTOS!$C61)*(OFFSET(CÁLCULO!$AA$15:$AA$48,0,I$13))),2),0)</f>
        <v>0</v>
      </c>
      <c r="J61" s="620" cm="1">
        <f t="array" aca="1" ref="J61" ca="1">IF(AUTOEVENTO="Manual",ROUND(SUMPRODUCT((CÁLCULO!$M$15:$M$48=EVENTOS!$C61)*(OFFSET(CÁLCULO!$AA$15:$AA$48,0,J$13))),2),0)</f>
        <v>0</v>
      </c>
      <c r="K61" s="620" cm="1">
        <f t="array" aca="1" ref="K61" ca="1">IF(AUTOEVENTO="Manual",ROUND(SUMPRODUCT((CÁLCULO!$M$15:$M$48=EVENTOS!$C61)*(OFFSET(CÁLCULO!$AA$15:$AA$48,0,K$13))),2),0)</f>
        <v>0</v>
      </c>
      <c r="L61" s="620" cm="1">
        <f t="array" aca="1" ref="L61" ca="1">IF(AUTOEVENTO="Manual",ROUND(SUMPRODUCT((CÁLCULO!$M$15:$M$48=EVENTOS!$C61)*(OFFSET(CÁLCULO!$AA$15:$AA$48,0,L$13))),2),0)</f>
        <v>0</v>
      </c>
      <c r="M61" s="620" cm="1">
        <f t="array" aca="1" ref="M61" ca="1">IF(AUTOEVENTO="Manual",ROUND(SUMPRODUCT((CÁLCULO!$M$15:$M$48=EVENTOS!$C61)*(OFFSET(CÁLCULO!$AA$15:$AA$48,0,M$13))),2),0)</f>
        <v>0</v>
      </c>
      <c r="N61" s="620" cm="1">
        <f t="array" aca="1" ref="N61" ca="1">IF(AUTOEVENTO="Manual",ROUND(SUMPRODUCT((CÁLCULO!$M$15:$M$48=EVENTOS!$C61)*(OFFSET(CÁLCULO!$AA$15:$AA$48,0,N$13))),2),0)</f>
        <v>0</v>
      </c>
      <c r="O61" s="620" cm="1">
        <f t="array" aca="1" ref="O61" ca="1">IF(AUTOEVENTO="Manual",ROUND(SUMPRODUCT((CÁLCULO!$M$15:$M$48=EVENTOS!$C61)*(OFFSET(CÁLCULO!$AA$15:$AA$48,0,O$13))),2),0)</f>
        <v>0</v>
      </c>
      <c r="P61" s="620" cm="1">
        <f t="array" aca="1" ref="P61" ca="1">IF(AUTOEVENTO="Manual",ROUND(SUMPRODUCT((CÁLCULO!$M$15:$M$48=EVENTOS!$C61)*(OFFSET(CÁLCULO!$AA$15:$AA$48,0,P$13))),2),0)</f>
        <v>0</v>
      </c>
      <c r="Q61" s="620" cm="1">
        <f t="array" aca="1" ref="Q61" ca="1">IF(AUTOEVENTO="Manual",ROUND(SUMPRODUCT((CÁLCULO!$M$15:$M$48=EVENTOS!$C61)*(OFFSET(CÁLCULO!$AA$15:$AA$48,0,Q$13))),2),0)</f>
        <v>0</v>
      </c>
      <c r="R61" s="620" cm="1">
        <f t="array" aca="1" ref="R61" ca="1">IF(AUTOEVENTO="Manual",ROUND(SUMPRODUCT((CÁLCULO!$M$15:$M$48=EVENTOS!$C61)*(OFFSET(CÁLCULO!$AA$15:$AA$48,0,R$13))),2),0)</f>
        <v>0</v>
      </c>
      <c r="S61" s="620" cm="1">
        <f t="array" aca="1" ref="S61" ca="1">IF(AUTOEVENTO="Manual",ROUND(SUMPRODUCT((CÁLCULO!$M$15:$M$48=EVENTOS!$C61)*(OFFSET(CÁLCULO!$AA$15:$AA$48,0,S$13))),2),0)</f>
        <v>0</v>
      </c>
      <c r="T61" s="620" cm="1">
        <f t="array" aca="1" ref="T61" ca="1">IF(AUTOEVENTO="Manual",ROUND(SUMPRODUCT((CÁLCULO!$M$15:$M$48=EVENTOS!$C61)*(OFFSET(CÁLCULO!$AA$15:$AA$48,0,T$13))),2),0)</f>
        <v>0</v>
      </c>
      <c r="U61" s="620" cm="1">
        <f t="array" aca="1" ref="U61" ca="1">IF(AUTOEVENTO="Manual",ROUND(SUMPRODUCT((CÁLCULO!$M$15:$M$48=EVENTOS!$C61)*(OFFSET(CÁLCULO!$AA$15:$AA$48,0,U$13))),2),0)</f>
        <v>0</v>
      </c>
      <c r="V61" s="620" cm="1">
        <f t="array" aca="1" ref="V61" ca="1">IF(AUTOEVENTO="Manual",ROUND(SUMPRODUCT((CÁLCULO!$M$15:$M$48=EVENTOS!$C61)*(OFFSET(CÁLCULO!$AA$15:$AA$48,0,V$13))),2),0)</f>
        <v>0</v>
      </c>
      <c r="W61" s="620" cm="1">
        <f t="array" aca="1" ref="W61" ca="1">IF(AUTOEVENTO="Manual",ROUND(SUMPRODUCT((CÁLCULO!$M$15:$M$48=EVENTOS!$C61)*(OFFSET(CÁLCULO!$AA$15:$AA$48,0,W$13))),2),0)</f>
        <v>0</v>
      </c>
      <c r="X61" s="620" cm="1">
        <f t="array" aca="1" ref="X61" ca="1">IF(AUTOEVENTO="Manual",ROUND(SUMPRODUCT((CÁLCULO!$M$15:$M$48=EVENTOS!$C61)*(OFFSET(CÁLCULO!$AA$15:$AA$48,0,X$13))),2),0)</f>
        <v>0</v>
      </c>
      <c r="Y61" s="620" cm="1">
        <f t="array" aca="1" ref="Y61" ca="1">IF(AUTOEVENTO="Manual",ROUND(SUMPRODUCT((CÁLCULO!$M$15:$M$48=EVENTOS!$C61)*(OFFSET(CÁLCULO!$AA$15:$AA$48,0,Y$13))),2),0)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IF(AUTOEVENTO="Manual",ROUND(SUMPRODUCT((CÁLCULO!$M$15:$M$48=EVENTOS!$C62)*(OFFSET(CÁLCULO!$AA$15:$AA$48,0,E$13))),2),0)</f>
        <v>0</v>
      </c>
      <c r="F62" s="183">
        <f ca="1">IF(AUTOEVENTO="Manual",ROUND(SUMPRODUCT((CÁLCULO!$M$15:$M$48=EVENTOS!$C62)*(OFFSET(CÁLCULO!$AA$15,0,1):OFFSET(CÁLCULO!$AL$48,0,-1))),2),0)</f>
        <v>0</v>
      </c>
      <c r="G62" s="621" t="str">
        <f t="shared" ca="1" si="6"/>
        <v/>
      </c>
      <c r="H62" s="620" cm="1">
        <f t="array" aca="1" ref="H62" ca="1">IF(AUTOEVENTO="Manual",ROUND(SUMPRODUCT((CÁLCULO!$M$15:$M$48=EVENTOS!$C62)*(OFFSET(CÁLCULO!$AA$15:$AA$48,0,H$13))),2),0)</f>
        <v>0</v>
      </c>
      <c r="I62" s="620" cm="1">
        <f t="array" aca="1" ref="I62" ca="1">IF(AUTOEVENTO="Manual",ROUND(SUMPRODUCT((CÁLCULO!$M$15:$M$48=EVENTOS!$C62)*(OFFSET(CÁLCULO!$AA$15:$AA$48,0,I$13))),2),0)</f>
        <v>0</v>
      </c>
      <c r="J62" s="620" cm="1">
        <f t="array" aca="1" ref="J62" ca="1">IF(AUTOEVENTO="Manual",ROUND(SUMPRODUCT((CÁLCULO!$M$15:$M$48=EVENTOS!$C62)*(OFFSET(CÁLCULO!$AA$15:$AA$48,0,J$13))),2),0)</f>
        <v>0</v>
      </c>
      <c r="K62" s="620" cm="1">
        <f t="array" aca="1" ref="K62" ca="1">IF(AUTOEVENTO="Manual",ROUND(SUMPRODUCT((CÁLCULO!$M$15:$M$48=EVENTOS!$C62)*(OFFSET(CÁLCULO!$AA$15:$AA$48,0,K$13))),2),0)</f>
        <v>0</v>
      </c>
      <c r="L62" s="620" cm="1">
        <f t="array" aca="1" ref="L62" ca="1">IF(AUTOEVENTO="Manual",ROUND(SUMPRODUCT((CÁLCULO!$M$15:$M$48=EVENTOS!$C62)*(OFFSET(CÁLCULO!$AA$15:$AA$48,0,L$13))),2),0)</f>
        <v>0</v>
      </c>
      <c r="M62" s="620" cm="1">
        <f t="array" aca="1" ref="M62" ca="1">IF(AUTOEVENTO="Manual",ROUND(SUMPRODUCT((CÁLCULO!$M$15:$M$48=EVENTOS!$C62)*(OFFSET(CÁLCULO!$AA$15:$AA$48,0,M$13))),2),0)</f>
        <v>0</v>
      </c>
      <c r="N62" s="620" cm="1">
        <f t="array" aca="1" ref="N62" ca="1">IF(AUTOEVENTO="Manual",ROUND(SUMPRODUCT((CÁLCULO!$M$15:$M$48=EVENTOS!$C62)*(OFFSET(CÁLCULO!$AA$15:$AA$48,0,N$13))),2),0)</f>
        <v>0</v>
      </c>
      <c r="O62" s="620" cm="1">
        <f t="array" aca="1" ref="O62" ca="1">IF(AUTOEVENTO="Manual",ROUND(SUMPRODUCT((CÁLCULO!$M$15:$M$48=EVENTOS!$C62)*(OFFSET(CÁLCULO!$AA$15:$AA$48,0,O$13))),2),0)</f>
        <v>0</v>
      </c>
      <c r="P62" s="620" cm="1">
        <f t="array" aca="1" ref="P62" ca="1">IF(AUTOEVENTO="Manual",ROUND(SUMPRODUCT((CÁLCULO!$M$15:$M$48=EVENTOS!$C62)*(OFFSET(CÁLCULO!$AA$15:$AA$48,0,P$13))),2),0)</f>
        <v>0</v>
      </c>
      <c r="Q62" s="620" cm="1">
        <f t="array" aca="1" ref="Q62" ca="1">IF(AUTOEVENTO="Manual",ROUND(SUMPRODUCT((CÁLCULO!$M$15:$M$48=EVENTOS!$C62)*(OFFSET(CÁLCULO!$AA$15:$AA$48,0,Q$13))),2),0)</f>
        <v>0</v>
      </c>
      <c r="R62" s="620" cm="1">
        <f t="array" aca="1" ref="R62" ca="1">IF(AUTOEVENTO="Manual",ROUND(SUMPRODUCT((CÁLCULO!$M$15:$M$48=EVENTOS!$C62)*(OFFSET(CÁLCULO!$AA$15:$AA$48,0,R$13))),2),0)</f>
        <v>0</v>
      </c>
      <c r="S62" s="620" cm="1">
        <f t="array" aca="1" ref="S62" ca="1">IF(AUTOEVENTO="Manual",ROUND(SUMPRODUCT((CÁLCULO!$M$15:$M$48=EVENTOS!$C62)*(OFFSET(CÁLCULO!$AA$15:$AA$48,0,S$13))),2),0)</f>
        <v>0</v>
      </c>
      <c r="T62" s="620" cm="1">
        <f t="array" aca="1" ref="T62" ca="1">IF(AUTOEVENTO="Manual",ROUND(SUMPRODUCT((CÁLCULO!$M$15:$M$48=EVENTOS!$C62)*(OFFSET(CÁLCULO!$AA$15:$AA$48,0,T$13))),2),0)</f>
        <v>0</v>
      </c>
      <c r="U62" s="620" cm="1">
        <f t="array" aca="1" ref="U62" ca="1">IF(AUTOEVENTO="Manual",ROUND(SUMPRODUCT((CÁLCULO!$M$15:$M$48=EVENTOS!$C62)*(OFFSET(CÁLCULO!$AA$15:$AA$48,0,U$13))),2),0)</f>
        <v>0</v>
      </c>
      <c r="V62" s="620" cm="1">
        <f t="array" aca="1" ref="V62" ca="1">IF(AUTOEVENTO="Manual",ROUND(SUMPRODUCT((CÁLCULO!$M$15:$M$48=EVENTOS!$C62)*(OFFSET(CÁLCULO!$AA$15:$AA$48,0,V$13))),2),0)</f>
        <v>0</v>
      </c>
      <c r="W62" s="620" cm="1">
        <f t="array" aca="1" ref="W62" ca="1">IF(AUTOEVENTO="Manual",ROUND(SUMPRODUCT((CÁLCULO!$M$15:$M$48=EVENTOS!$C62)*(OFFSET(CÁLCULO!$AA$15:$AA$48,0,W$13))),2),0)</f>
        <v>0</v>
      </c>
      <c r="X62" s="620" cm="1">
        <f t="array" aca="1" ref="X62" ca="1">IF(AUTOEVENTO="Manual",ROUND(SUMPRODUCT((CÁLCULO!$M$15:$M$48=EVENTOS!$C62)*(OFFSET(CÁLCULO!$AA$15:$AA$48,0,X$13))),2),0)</f>
        <v>0</v>
      </c>
      <c r="Y62" s="620" cm="1">
        <f t="array" aca="1" ref="Y62" ca="1">IF(AUTOEVENTO="Manual",ROUND(SUMPRODUCT((CÁLCULO!$M$15:$M$48=EVENTOS!$C62)*(OFFSET(CÁLCULO!$AA$15:$AA$48,0,Y$13))),2),0)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IF(AUTOEVENTO="Manual",ROUND(SUMPRODUCT((CÁLCULO!$M$15:$M$48=EVENTOS!$C63)*(OFFSET(CÁLCULO!$AA$15:$AA$48,0,E$13))),2),0)</f>
        <v>0</v>
      </c>
      <c r="F63" s="183">
        <f ca="1">IF(AUTOEVENTO="Manual",ROUND(SUMPRODUCT((CÁLCULO!$M$15:$M$48=EVENTOS!$C63)*(OFFSET(CÁLCULO!$AA$15,0,1):OFFSET(CÁLCULO!$AL$48,0,-1))),2),0)</f>
        <v>0</v>
      </c>
      <c r="G63" s="621" t="str">
        <f t="shared" ca="1" si="6"/>
        <v/>
      </c>
      <c r="H63" s="620" cm="1">
        <f t="array" aca="1" ref="H63" ca="1">IF(AUTOEVENTO="Manual",ROUND(SUMPRODUCT((CÁLCULO!$M$15:$M$48=EVENTOS!$C63)*(OFFSET(CÁLCULO!$AA$15:$AA$48,0,H$13))),2),0)</f>
        <v>0</v>
      </c>
      <c r="I63" s="620" cm="1">
        <f t="array" aca="1" ref="I63" ca="1">IF(AUTOEVENTO="Manual",ROUND(SUMPRODUCT((CÁLCULO!$M$15:$M$48=EVENTOS!$C63)*(OFFSET(CÁLCULO!$AA$15:$AA$48,0,I$13))),2),0)</f>
        <v>0</v>
      </c>
      <c r="J63" s="620" cm="1">
        <f t="array" aca="1" ref="J63" ca="1">IF(AUTOEVENTO="Manual",ROUND(SUMPRODUCT((CÁLCULO!$M$15:$M$48=EVENTOS!$C63)*(OFFSET(CÁLCULO!$AA$15:$AA$48,0,J$13))),2),0)</f>
        <v>0</v>
      </c>
      <c r="K63" s="620" cm="1">
        <f t="array" aca="1" ref="K63" ca="1">IF(AUTOEVENTO="Manual",ROUND(SUMPRODUCT((CÁLCULO!$M$15:$M$48=EVENTOS!$C63)*(OFFSET(CÁLCULO!$AA$15:$AA$48,0,K$13))),2),0)</f>
        <v>0</v>
      </c>
      <c r="L63" s="620" cm="1">
        <f t="array" aca="1" ref="L63" ca="1">IF(AUTOEVENTO="Manual",ROUND(SUMPRODUCT((CÁLCULO!$M$15:$M$48=EVENTOS!$C63)*(OFFSET(CÁLCULO!$AA$15:$AA$48,0,L$13))),2),0)</f>
        <v>0</v>
      </c>
      <c r="M63" s="620" cm="1">
        <f t="array" aca="1" ref="M63" ca="1">IF(AUTOEVENTO="Manual",ROUND(SUMPRODUCT((CÁLCULO!$M$15:$M$48=EVENTOS!$C63)*(OFFSET(CÁLCULO!$AA$15:$AA$48,0,M$13))),2),0)</f>
        <v>0</v>
      </c>
      <c r="N63" s="620" cm="1">
        <f t="array" aca="1" ref="N63" ca="1">IF(AUTOEVENTO="Manual",ROUND(SUMPRODUCT((CÁLCULO!$M$15:$M$48=EVENTOS!$C63)*(OFFSET(CÁLCULO!$AA$15:$AA$48,0,N$13))),2),0)</f>
        <v>0</v>
      </c>
      <c r="O63" s="620" cm="1">
        <f t="array" aca="1" ref="O63" ca="1">IF(AUTOEVENTO="Manual",ROUND(SUMPRODUCT((CÁLCULO!$M$15:$M$48=EVENTOS!$C63)*(OFFSET(CÁLCULO!$AA$15:$AA$48,0,O$13))),2),0)</f>
        <v>0</v>
      </c>
      <c r="P63" s="620" cm="1">
        <f t="array" aca="1" ref="P63" ca="1">IF(AUTOEVENTO="Manual",ROUND(SUMPRODUCT((CÁLCULO!$M$15:$M$48=EVENTOS!$C63)*(OFFSET(CÁLCULO!$AA$15:$AA$48,0,P$13))),2),0)</f>
        <v>0</v>
      </c>
      <c r="Q63" s="620" cm="1">
        <f t="array" aca="1" ref="Q63" ca="1">IF(AUTOEVENTO="Manual",ROUND(SUMPRODUCT((CÁLCULO!$M$15:$M$48=EVENTOS!$C63)*(OFFSET(CÁLCULO!$AA$15:$AA$48,0,Q$13))),2),0)</f>
        <v>0</v>
      </c>
      <c r="R63" s="620" cm="1">
        <f t="array" aca="1" ref="R63" ca="1">IF(AUTOEVENTO="Manual",ROUND(SUMPRODUCT((CÁLCULO!$M$15:$M$48=EVENTOS!$C63)*(OFFSET(CÁLCULO!$AA$15:$AA$48,0,R$13))),2),0)</f>
        <v>0</v>
      </c>
      <c r="S63" s="620" cm="1">
        <f t="array" aca="1" ref="S63" ca="1">IF(AUTOEVENTO="Manual",ROUND(SUMPRODUCT((CÁLCULO!$M$15:$M$48=EVENTOS!$C63)*(OFFSET(CÁLCULO!$AA$15:$AA$48,0,S$13))),2),0)</f>
        <v>0</v>
      </c>
      <c r="T63" s="620" cm="1">
        <f t="array" aca="1" ref="T63" ca="1">IF(AUTOEVENTO="Manual",ROUND(SUMPRODUCT((CÁLCULO!$M$15:$M$48=EVENTOS!$C63)*(OFFSET(CÁLCULO!$AA$15:$AA$48,0,T$13))),2),0)</f>
        <v>0</v>
      </c>
      <c r="U63" s="620" cm="1">
        <f t="array" aca="1" ref="U63" ca="1">IF(AUTOEVENTO="Manual",ROUND(SUMPRODUCT((CÁLCULO!$M$15:$M$48=EVENTOS!$C63)*(OFFSET(CÁLCULO!$AA$15:$AA$48,0,U$13))),2),0)</f>
        <v>0</v>
      </c>
      <c r="V63" s="620" cm="1">
        <f t="array" aca="1" ref="V63" ca="1">IF(AUTOEVENTO="Manual",ROUND(SUMPRODUCT((CÁLCULO!$M$15:$M$48=EVENTOS!$C63)*(OFFSET(CÁLCULO!$AA$15:$AA$48,0,V$13))),2),0)</f>
        <v>0</v>
      </c>
      <c r="W63" s="620" cm="1">
        <f t="array" aca="1" ref="W63" ca="1">IF(AUTOEVENTO="Manual",ROUND(SUMPRODUCT((CÁLCULO!$M$15:$M$48=EVENTOS!$C63)*(OFFSET(CÁLCULO!$AA$15:$AA$48,0,W$13))),2),0)</f>
        <v>0</v>
      </c>
      <c r="X63" s="620" cm="1">
        <f t="array" aca="1" ref="X63" ca="1">IF(AUTOEVENTO="Manual",ROUND(SUMPRODUCT((CÁLCULO!$M$15:$M$48=EVENTOS!$C63)*(OFFSET(CÁLCULO!$AA$15:$AA$48,0,X$13))),2),0)</f>
        <v>0</v>
      </c>
      <c r="Y63" s="620" cm="1">
        <f t="array" aca="1" ref="Y63" ca="1">IF(AUTOEVENTO="Manual",ROUND(SUMPRODUCT((CÁLCULO!$M$15:$M$48=EVENTOS!$C63)*(OFFSET(CÁLCULO!$AA$15:$AA$48,0,Y$13))),2),0)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IF(AUTOEVENTO="Manual",ROUND(SUMPRODUCT((CÁLCULO!$M$15:$M$48=EVENTOS!$C64)*(OFFSET(CÁLCULO!$AA$15:$AA$48,0,E$13))),2),0)</f>
        <v>0</v>
      </c>
      <c r="F64" s="183">
        <f ca="1">IF(AUTOEVENTO="Manual",ROUND(SUMPRODUCT((CÁLCULO!$M$15:$M$48=EVENTOS!$C64)*(OFFSET(CÁLCULO!$AA$15,0,1):OFFSET(CÁLCULO!$AL$48,0,-1))),2),0)</f>
        <v>0</v>
      </c>
      <c r="G64" s="621" t="str">
        <f t="shared" ca="1" si="6"/>
        <v/>
      </c>
      <c r="H64" s="620" cm="1">
        <f t="array" aca="1" ref="H64" ca="1">IF(AUTOEVENTO="Manual",ROUND(SUMPRODUCT((CÁLCULO!$M$15:$M$48=EVENTOS!$C64)*(OFFSET(CÁLCULO!$AA$15:$AA$48,0,H$13))),2),0)</f>
        <v>0</v>
      </c>
      <c r="I64" s="620" cm="1">
        <f t="array" aca="1" ref="I64" ca="1">IF(AUTOEVENTO="Manual",ROUND(SUMPRODUCT((CÁLCULO!$M$15:$M$48=EVENTOS!$C64)*(OFFSET(CÁLCULO!$AA$15:$AA$48,0,I$13))),2),0)</f>
        <v>0</v>
      </c>
      <c r="J64" s="620" cm="1">
        <f t="array" aca="1" ref="J64" ca="1">IF(AUTOEVENTO="Manual",ROUND(SUMPRODUCT((CÁLCULO!$M$15:$M$48=EVENTOS!$C64)*(OFFSET(CÁLCULO!$AA$15:$AA$48,0,J$13))),2),0)</f>
        <v>0</v>
      </c>
      <c r="K64" s="620" cm="1">
        <f t="array" aca="1" ref="K64" ca="1">IF(AUTOEVENTO="Manual",ROUND(SUMPRODUCT((CÁLCULO!$M$15:$M$48=EVENTOS!$C64)*(OFFSET(CÁLCULO!$AA$15:$AA$48,0,K$13))),2),0)</f>
        <v>0</v>
      </c>
      <c r="L64" s="620" cm="1">
        <f t="array" aca="1" ref="L64" ca="1">IF(AUTOEVENTO="Manual",ROUND(SUMPRODUCT((CÁLCULO!$M$15:$M$48=EVENTOS!$C64)*(OFFSET(CÁLCULO!$AA$15:$AA$48,0,L$13))),2),0)</f>
        <v>0</v>
      </c>
      <c r="M64" s="620" cm="1">
        <f t="array" aca="1" ref="M64" ca="1">IF(AUTOEVENTO="Manual",ROUND(SUMPRODUCT((CÁLCULO!$M$15:$M$48=EVENTOS!$C64)*(OFFSET(CÁLCULO!$AA$15:$AA$48,0,M$13))),2),0)</f>
        <v>0</v>
      </c>
      <c r="N64" s="620" cm="1">
        <f t="array" aca="1" ref="N64" ca="1">IF(AUTOEVENTO="Manual",ROUND(SUMPRODUCT((CÁLCULO!$M$15:$M$48=EVENTOS!$C64)*(OFFSET(CÁLCULO!$AA$15:$AA$48,0,N$13))),2),0)</f>
        <v>0</v>
      </c>
      <c r="O64" s="620" cm="1">
        <f t="array" aca="1" ref="O64" ca="1">IF(AUTOEVENTO="Manual",ROUND(SUMPRODUCT((CÁLCULO!$M$15:$M$48=EVENTOS!$C64)*(OFFSET(CÁLCULO!$AA$15:$AA$48,0,O$13))),2),0)</f>
        <v>0</v>
      </c>
      <c r="P64" s="620" cm="1">
        <f t="array" aca="1" ref="P64" ca="1">IF(AUTOEVENTO="Manual",ROUND(SUMPRODUCT((CÁLCULO!$M$15:$M$48=EVENTOS!$C64)*(OFFSET(CÁLCULO!$AA$15:$AA$48,0,P$13))),2),0)</f>
        <v>0</v>
      </c>
      <c r="Q64" s="620" cm="1">
        <f t="array" aca="1" ref="Q64" ca="1">IF(AUTOEVENTO="Manual",ROUND(SUMPRODUCT((CÁLCULO!$M$15:$M$48=EVENTOS!$C64)*(OFFSET(CÁLCULO!$AA$15:$AA$48,0,Q$13))),2),0)</f>
        <v>0</v>
      </c>
      <c r="R64" s="620" cm="1">
        <f t="array" aca="1" ref="R64" ca="1">IF(AUTOEVENTO="Manual",ROUND(SUMPRODUCT((CÁLCULO!$M$15:$M$48=EVENTOS!$C64)*(OFFSET(CÁLCULO!$AA$15:$AA$48,0,R$13))),2),0)</f>
        <v>0</v>
      </c>
      <c r="S64" s="620" cm="1">
        <f t="array" aca="1" ref="S64" ca="1">IF(AUTOEVENTO="Manual",ROUND(SUMPRODUCT((CÁLCULO!$M$15:$M$48=EVENTOS!$C64)*(OFFSET(CÁLCULO!$AA$15:$AA$48,0,S$13))),2),0)</f>
        <v>0</v>
      </c>
      <c r="T64" s="620" cm="1">
        <f t="array" aca="1" ref="T64" ca="1">IF(AUTOEVENTO="Manual",ROUND(SUMPRODUCT((CÁLCULO!$M$15:$M$48=EVENTOS!$C64)*(OFFSET(CÁLCULO!$AA$15:$AA$48,0,T$13))),2),0)</f>
        <v>0</v>
      </c>
      <c r="U64" s="620" cm="1">
        <f t="array" aca="1" ref="U64" ca="1">IF(AUTOEVENTO="Manual",ROUND(SUMPRODUCT((CÁLCULO!$M$15:$M$48=EVENTOS!$C64)*(OFFSET(CÁLCULO!$AA$15:$AA$48,0,U$13))),2),0)</f>
        <v>0</v>
      </c>
      <c r="V64" s="620" cm="1">
        <f t="array" aca="1" ref="V64" ca="1">IF(AUTOEVENTO="Manual",ROUND(SUMPRODUCT((CÁLCULO!$M$15:$M$48=EVENTOS!$C64)*(OFFSET(CÁLCULO!$AA$15:$AA$48,0,V$13))),2),0)</f>
        <v>0</v>
      </c>
      <c r="W64" s="620" cm="1">
        <f t="array" aca="1" ref="W64" ca="1">IF(AUTOEVENTO="Manual",ROUND(SUMPRODUCT((CÁLCULO!$M$15:$M$48=EVENTOS!$C64)*(OFFSET(CÁLCULO!$AA$15:$AA$48,0,W$13))),2),0)</f>
        <v>0</v>
      </c>
      <c r="X64" s="620" cm="1">
        <f t="array" aca="1" ref="X64" ca="1">IF(AUTOEVENTO="Manual",ROUND(SUMPRODUCT((CÁLCULO!$M$15:$M$48=EVENTOS!$C64)*(OFFSET(CÁLCULO!$AA$15:$AA$48,0,X$13))),2),0)</f>
        <v>0</v>
      </c>
      <c r="Y64" s="620" cm="1">
        <f t="array" aca="1" ref="Y64" ca="1">IF(AUTOEVENTO="Manual",ROUND(SUMPRODUCT((CÁLCULO!$M$15:$M$48=EVENTOS!$C64)*(OFFSET(CÁLCULO!$AA$15:$AA$48,0,Y$13))),2),0)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CAÇADOR</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Diego Dutra do Nascimento</v>
      </c>
      <c r="V70" s="398" t="str">
        <f t="array" aca="1" ref="V70:V72" ca="1">OFFSET(Import.RespOrçamento,0,-1) &amp; " " &amp; Import.RespOrçamento</f>
        <v>Nome: Diego Dutra do Nascimento</v>
      </c>
    </row>
    <row r="71" spans="1:25" x14ac:dyDescent="0.2">
      <c r="A71" s="506" t="s">
        <v>536</v>
      </c>
      <c r="D71" s="494">
        <f>DADOS!$C$25</f>
        <v>46150</v>
      </c>
      <c r="L71" s="398" t="str">
        <f ca="1"/>
        <v>CREA/CAU: CREA-SC 225647-1</v>
      </c>
      <c r="V71" s="398" t="str">
        <f ca="1"/>
        <v>CREA/CAU: CREA-SC 225647-1</v>
      </c>
    </row>
    <row r="72" spans="1:25" x14ac:dyDescent="0.2">
      <c r="A72" s="506" t="s">
        <v>536</v>
      </c>
      <c r="D72" s="9" t="s">
        <v>694</v>
      </c>
      <c r="L72" s="398" t="str">
        <f ca="1"/>
        <v>ART/RRT: 10468622-6</v>
      </c>
      <c r="V72" s="398" t="str">
        <f ca="1"/>
        <v>ART/RRT: 10468622-6</v>
      </c>
    </row>
  </sheetData>
  <sheetProtection algorithmName="SHA-512" hashValue="SduCFTfyMweUzgYTrd1xQx2N0Gp60R8xZXdGhTaFvsQbJVTcrel1t4uh6ERxeijHmctdeC3KkPVGvlevoZwEEA==" saltValue="0L+78Tl2HbmpqgWm4UilIw=="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425" priority="1" stopIfTrue="1">
      <formula>OR(AUTOEVENTO&lt;&gt;"Manual",ACOMPANHAMENTO="BM",C$10=0,C$13=0,$C1=" ")</formula>
    </cfRule>
  </conditionalFormatting>
  <conditionalFormatting sqref="A15 C15:XFD15">
    <cfRule type="expression" dxfId="42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6"/>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activeCell="A43" sqref="A43"/>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MEMÓRIA DE CÁLCULO</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 xml:space="preserve"> - (SELECIONAR)</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 xml:space="preserve">Ponte Herminio Gonçalves </v>
      </c>
      <c r="F10" s="703"/>
      <c r="G10" s="703" cm="1">
        <f t="array" ref="G10">Import.TransfereGOV</f>
        <v>0</v>
      </c>
      <c r="H10" s="703"/>
      <c r="I10" s="90">
        <f>Import.CR</f>
        <v>0</v>
      </c>
      <c r="K10" s="148">
        <f>Import.Proponente</f>
        <v>0</v>
      </c>
      <c r="L10" s="149"/>
      <c r="M10" s="100"/>
      <c r="N10" s="149"/>
      <c r="O10" s="149"/>
      <c r="P10" s="149"/>
      <c r="Q10" s="149"/>
      <c r="R10" s="91"/>
      <c r="S10" s="703">
        <f>Import.CR</f>
        <v>0</v>
      </c>
      <c r="T10" s="703"/>
      <c r="U10" s="703">
        <f>Import.Proponente</f>
        <v>0</v>
      </c>
      <c r="V10" s="703"/>
      <c r="W10" s="703"/>
      <c r="X10" s="703"/>
      <c r="Y10" s="703"/>
      <c r="Z10" s="703"/>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IF(COUNTIF($J$15:$J$48,"►E")&gt;0,"Não pode haver serviços sem agrupador de eventos",
  IF(COUNTIF($P$11:$AA$11,"▼")&gt;0,"Não pode haver frentes de obra sem quantidades",
  IF(COUNTIF($P$11:$AA$11,"Nome &gt;100")&gt;0,"Nome da frente de obra com mais de 100 caracteres","")))))</f>
        <v/>
      </c>
      <c r="N11" s="573" t="str">
        <f ca="1">IF(OR(COUNTIF($J$15:$J$48,"►E")&gt;0,COUNTIF($J$15:$J$48,"►Q")&gt;0),"",
IF(COUNTIF($J$15:$J$48,"►S")&gt;0,"Preencha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IF(COUNTIF($J$15:$J$48,"►E")&gt;0,"Falta Definir o Agrupador de Evento na linha "&amp;MATCH("►E",$J$15:$J$48,0)+ROW($J$14),
  IF(COUNTIF($J$15:$J$48,"►Q")&gt;0,"Falta preencher a quantidade do serviço na linha "&amp;MATCH("►Q",$J$15:$J$48,0)+ROW($J$14),
  IF(COUNTIF($J$15:$J$48,"►S")&gt;0,"Verifique as quantidades preenchidas na linha "&amp;MATCH("►S",$J$15:$J$48,0)+ROW($J$14),
  IF(AND(COUNTIF($P$11:$AA$11,"▼")=0,COUNTIF($J$15:$J$48,"◄")&gt;0),"Falta Preencher o Memorial de Cálculo na linha "&amp;MATCH("◄",$J$15:$J$48,0)+ROW($J$14),"")))))</f>
        <v/>
      </c>
      <c r="J12" s="151" t="s">
        <v>764</v>
      </c>
      <c r="K12" s="152" t="s">
        <v>770</v>
      </c>
      <c r="L12" s="151" t="s">
        <v>764</v>
      </c>
      <c r="M12" s="570" cm="1">
        <f t="array" ref="M12">IF(ACOMPANHAMENTO="BM",0,MAX($M$15:$M$48))</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ESTRUTURA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35">
        <f>Import.DescLote</f>
        <v>0</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ROUND(SUM(OFFSET(AB$15,1,0):AB$48),2)</f>
        <v>0</v>
      </c>
      <c r="AC15" s="177">
        <f ca="1">SUM(OFFSET(AC$15,1,0):AC$48)</f>
        <v>0</v>
      </c>
      <c r="AD15" s="177">
        <f ca="1">SUM(OFFSET(AD$15,1,0):AD$48)</f>
        <v>0</v>
      </c>
      <c r="AE15" s="177">
        <f ca="1">SUM(OFFSET(AE$15,1,0):AE$48)</f>
        <v>0</v>
      </c>
      <c r="AF15" s="177">
        <f ca="1">SUM(OFFSET(AF$15,1,0):AF$48)</f>
        <v>0</v>
      </c>
      <c r="AG15" s="177">
        <f ca="1">SUM(OFFSET(AG$15,1,0):AG$48)</f>
        <v>0</v>
      </c>
      <c r="AH15" s="177">
        <f ca="1">SUM(OFFSET(AH$15,1,0):AH$48)</f>
        <v>0</v>
      </c>
      <c r="AI15" s="177">
        <f ca="1">SUM(OFFSET(AI$15,1,0):AI$48)</f>
        <v>0</v>
      </c>
      <c r="AJ15" s="177">
        <f ca="1">SUM(OFFSET(AJ$15,1,0):AJ$48)</f>
        <v>0</v>
      </c>
      <c r="AK15" s="177">
        <f ca="1">SUM(OFFSET(AK$15,1,0):AK$48)</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6"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ESTRUTURA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6"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E 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E SERVIÇOS PRELIMINARES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4.5</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E SERVIÇOS PRELIMINARES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1.28</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E SERVIÇOS PRELIMINARES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1.2.</v>
      </c>
      <c r="F21" s="163" t="str">
        <f ca="1">OFFSET(ORÇAMENTO!R$15,$L21,0)</f>
        <v>ALAS E CONTENÇÃO</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25.5" x14ac:dyDescent="0.2">
      <c r="A22" s="7" t="str">
        <f ca="1">IFERROR(IF(AUTOEVENTO="Manual",IF(K22&lt;&gt;"",MIN(VALUE(LEFT(K22,FIND(".",K22)-1)),COUNTA(EVENTOS.Lista)),0),IF(OR($B22&gt;AUTOEVENTO,$B22="S",$B22=0),SUBSTITUTE(OFFSET($A22,-1,0),IF($D22="Serviço",".",""),""),$L22&amp;".")),0)</f>
        <v>6</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149.09</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ca="1">OFFSET(L22,-1,0)+1</f>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ALAS E CONTENÇÃO</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6</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178.92</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ALAS E CONTENÇÃO</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25.5" x14ac:dyDescent="0.2">
      <c r="A24" s="7" t="str">
        <f t="shared" ca="1" si="8"/>
        <v>6</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830.87</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ALAS E CONTENÇÃO</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25.5" x14ac:dyDescent="0.2">
      <c r="A25" s="7" t="str">
        <f t="shared" ca="1" si="8"/>
        <v>6</v>
      </c>
      <c r="B25" s="7" t="str">
        <f ca="1">OFFSET(ORÇAMENTO!C$15,$L25,0)</f>
        <v>S</v>
      </c>
      <c r="C25" s="7" t="str">
        <f ca="1">OFFSET(ORÇAMENTO!L$15,$L25,0)</f>
        <v/>
      </c>
      <c r="D25" s="116" t="str">
        <f ca="1">OFFSET(ORÇAMENTO!N$15,$L25,0)</f>
        <v>Serviço</v>
      </c>
      <c r="E25" s="117" t="str">
        <f ca="1">OFFSET(ORÇAMENTO!O$15,$L25,0)</f>
        <v>-</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182.59</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ALAS E CONTENÇÃO</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8"/>
        <v>6</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37.78</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ALAS E CONTENÇÃO</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51" x14ac:dyDescent="0.2">
      <c r="A27" s="7" t="str">
        <f t="shared" ref="A27:A33" ca="1" si="10">IFERROR(IF(AUTOEVENTO="Manual",IF(K27&lt;&gt;"",MIN(VALUE(LEFT(K27,FIND(".",K27)-1)),COUNTA(EVENTOS.Lista)),0),IF(OR($B27&gt;AUTOEVENTO,$B27="S",$B27=0),SUBSTITUTE(OFFSET($A27,-1,0),IF($D27="Serviço",".",""),""),$L27&amp;".")),0)</f>
        <v>6</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82.92</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ALAS E CONTENÇÃO</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10"/>
        <v>6</v>
      </c>
      <c r="B28" s="7" t="str">
        <f ca="1">OFFSET(ORÇAMENTO!C$15,$L28,0)</f>
        <v>S</v>
      </c>
      <c r="C28" s="7" t="str">
        <f ca="1">OFFSET(ORÇAMENTO!L$15,$L28,0)</f>
        <v>F</v>
      </c>
      <c r="D28" s="116" t="str">
        <f ca="1">OFFSET(ORÇAMENTO!N$15,$L28,0)</f>
        <v>Serviço</v>
      </c>
      <c r="E28" s="117" t="str">
        <f ca="1">OFFSET(ORÇAMENTO!O$15,$L28,0)</f>
        <v>1.2.1.</v>
      </c>
      <c r="F28" s="163" t="str">
        <f ca="1">OFFSET(ORÇAMENTO!R$15,$L28,0)</f>
        <v>APARELHO DE APOIO DE NEOPRENE FRETADO PARA ESTRUTURAS PRÉ-MOLDADAS - FORNECIMENTO E INSTALAÇÃO</v>
      </c>
      <c r="G28" s="164" t="str">
        <f ca="1">IF($D28&lt;&gt;"Serviço","",OFFSET(ORÇAMENTO!S$15,$L28,0))</f>
        <v>DM3</v>
      </c>
      <c r="H28" s="122" cm="1">
        <f t="array" aca="1" ref="H28" ca="1">IF($D28&lt;&gt;"Serviço",0,IF(ACOMPANHAMENTO="BM",ROUND(OFFSET(ORÇAMENTO!AJ$15,$L28,0),15-13*ORÇAMENTO!$AF$7),IF(IFERROR(CÁLCULO.FrentesPreenchidas,0)=0,0,SUM(ROUND(OFFSET($P28,0,1,1,CÁLCULO.FrentesPreenchidas),15-13*ORÇAMENTO!$AF$7)))))</f>
        <v>9.2799999999999994</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ca="1">OFFSET(L28,-1,0)+1</f>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ALAS E CONTENÇÃO</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10"/>
        <v>6</v>
      </c>
      <c r="B29" s="7" t="str">
        <f ca="1">OFFSET(ORÇAMENTO!C$15,$L29,0)</f>
        <v>S</v>
      </c>
      <c r="C29" s="7" t="str">
        <f ca="1">OFFSET(ORÇAMENTO!L$15,$L29,0)</f>
        <v>F</v>
      </c>
      <c r="D29" s="116" t="str">
        <f ca="1">OFFSET(ORÇAMENTO!N$15,$L29,0)</f>
        <v>Serviço</v>
      </c>
      <c r="E29" s="117" t="str">
        <f ca="1">OFFSET(ORÇAMENTO!O$15,$L29,0)</f>
        <v>1.2.2.</v>
      </c>
      <c r="F29" s="163" t="str">
        <f ca="1">OFFSET(ORÇAMENTO!R$15,$L29,0)</f>
        <v>FORNECIMENTO E APLICAÇÃO DE ADESIVO ESTRUTURAL À BASE DE RESINA EPÓXI</v>
      </c>
      <c r="G29" s="164" t="str">
        <f ca="1">IF($D29&lt;&gt;"Serviço","",OFFSET(ORÇAMENTO!S$15,$L29,0))</f>
        <v>KG</v>
      </c>
      <c r="H29" s="122" cm="1">
        <f t="array" aca="1" ref="H29" ca="1">IF($D29&lt;&gt;"Serviço",0,IF(ACOMPANHAMENTO="BM",ROUND(OFFSET(ORÇAMENTO!AJ$15,$L29,0),15-13*ORÇAMENTO!$AF$7),IF(IFERROR(CÁLCULO.FrentesPreenchidas,0)=0,0,SUM(ROUND(OFFSET($P29,0,1,1,CÁLCULO.FrentesPreenchidas),15-13*ORÇAMENTO!$AF$7)))))</f>
        <v>7.7</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ca="1">OFFSET(L29,-1,0)+1</f>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ALAS E CONTENÇÃO</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10"/>
        <v>6</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11</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ca="1">OFFSET(L30,-1,0)+1</f>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ALAS E CONTENÇÃO</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10"/>
        <v>6</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0.75</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ca="1">OFFSET(L31,-1,0)+1</f>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ALAS E CONTENÇÃO</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25.5" x14ac:dyDescent="0.2">
      <c r="A32" s="7" t="str">
        <f t="shared" ca="1" si="10"/>
        <v>6</v>
      </c>
      <c r="B32" s="7" t="str">
        <f ca="1">OFFSET(ORÇAMENTO!C$15,$L32,0)</f>
        <v>S</v>
      </c>
      <c r="C32" s="7" t="str">
        <f ca="1">OFFSET(ORÇAMENTO!L$15,$L32,0)</f>
        <v>F</v>
      </c>
      <c r="D32" s="116" t="str">
        <f ca="1">OFFSET(ORÇAMENTO!N$15,$L32,0)</f>
        <v>Serviço</v>
      </c>
      <c r="E32" s="117" t="str">
        <f ca="1">OFFSET(ORÇAMENTO!O$15,$L32,0)</f>
        <v>1.2.3.</v>
      </c>
      <c r="F32" s="163" t="str">
        <f ca="1">OFFSET(ORÇAMENTO!R$15,$L32,0)</f>
        <v>TRANSPORTE COM CAMINHÃO BETONEIRA - RODOVIA EM LEITO NATURAL</v>
      </c>
      <c r="G32" s="164" t="str">
        <f ca="1">IF($D32&lt;&gt;"Serviço","",OFFSET(ORÇAMENTO!S$15,$L32,0))</f>
        <v>tkm</v>
      </c>
      <c r="H32" s="122" cm="1">
        <f t="array" aca="1" ref="H32" ca="1">IF($D32&lt;&gt;"Serviço",0,IF(ACOMPANHAMENTO="BM",ROUND(OFFSET(ORÇAMENTO!AJ$15,$L32,0),15-13*ORÇAMENTO!$AF$7),IF(IFERROR(CÁLCULO.FrentesPreenchidas,0)=0,0,SUM(ROUND(OFFSET($P32,0,1,1,CÁLCULO.FrentesPreenchidas),15-13*ORÇAMENTO!$AF$7)))))</f>
        <v>554.83000000000004</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ref="L32:L33" ca="1" si="11">OFFSET(L32,-1,0)+1</f>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ALAS E CONTENÇÃO</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25.5" x14ac:dyDescent="0.2">
      <c r="A33" s="7" t="str">
        <f t="shared" ca="1" si="10"/>
        <v>6</v>
      </c>
      <c r="B33" s="7" t="str">
        <f ca="1">OFFSET(ORÇAMENTO!C$15,$L33,0)</f>
        <v>S</v>
      </c>
      <c r="C33" s="7" t="str">
        <f ca="1">OFFSET(ORÇAMENTO!L$15,$L33,0)</f>
        <v>F</v>
      </c>
      <c r="D33" s="116" t="str">
        <f ca="1">OFFSET(ORÇAMENTO!N$15,$L33,0)</f>
        <v>Serviço</v>
      </c>
      <c r="E33" s="117" t="str">
        <f ca="1">OFFSET(ORÇAMENTO!O$15,$L33,0)</f>
        <v>1.2.4.</v>
      </c>
      <c r="F33" s="163" t="str">
        <f ca="1">OFFSET(ORÇAMENTO!R$15,$L33,0)</f>
        <v>TRANSPORTE COM CAMINHÃO BETONEIRA - RODOVIA PAVIMENTADA</v>
      </c>
      <c r="G33" s="164" t="str">
        <f ca="1">IF($D33&lt;&gt;"Serviço","",OFFSET(ORÇAMENTO!S$15,$L33,0))</f>
        <v>tkm</v>
      </c>
      <c r="H33" s="122" cm="1">
        <f t="array" aca="1" ref="H33" ca="1">IF($D33&lt;&gt;"Serviço",0,IF(ACOMPANHAMENTO="BM",ROUND(OFFSET(ORÇAMENTO!AJ$15,$L33,0),15-13*ORÇAMENTO!$AF$7),IF(IFERROR(CÁLCULO.FrentesPreenchidas,0)=0,0,SUM(ROUND(OFFSET($P33,0,1,1,CÁLCULO.FrentesPreenchidas),15-13*ORÇAMENTO!$AF$7)))))</f>
        <v>138.71</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11"/>
        <v>18</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ALAS E CONTENÇÃO</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12.75" x14ac:dyDescent="0.2">
      <c r="A34" s="7" t="str">
        <f t="shared" ca="1" si="8"/>
        <v>19.</v>
      </c>
      <c r="B34" s="7">
        <f ca="1">OFFSET(ORÇAMENTO!C$15,$L34,0)</f>
        <v>2</v>
      </c>
      <c r="C34" s="7" t="str">
        <f ca="1">OFFSET(ORÇAMENTO!L$15,$L34,0)</f>
        <v>F</v>
      </c>
      <c r="D34" s="116" t="str">
        <f ca="1">OFFSET(ORÇAMENTO!N$15,$L34,0)</f>
        <v>Nível 2</v>
      </c>
      <c r="E34" s="117" t="str">
        <f ca="1">OFFSET(ORÇAMENTO!O$15,$L34,0)</f>
        <v>1.3.</v>
      </c>
      <c r="F34" s="163" t="str">
        <f ca="1">OFFSET(ORÇAMENTO!R$15,$L34,0)</f>
        <v>VIGAS CABECEIRAS</v>
      </c>
      <c r="G34" s="164" t="str">
        <f ca="1">IF($D34&lt;&gt;"Serviço","",OFFSET(ORÇAMENTO!S$15,$L34,0))</f>
        <v/>
      </c>
      <c r="H34" s="122" cm="1">
        <f t="array" aca="1" ref="H34" ca="1">IF($D34&lt;&gt;"Serviço",0,IF(ACOMPANHAMENTO="BM",ROUND(OFFSET(ORÇAMENTO!AJ$15,$L34,0),15-13*ORÇAMENTO!$AF$7),IF(IFERROR(CÁLCULO.FrentesPreenchidas,0)=0,0,SUM(ROUND(OFFSET($P34,0,1,1,CÁLCULO.FrentesPreenchidas),15-13*ORÇAMENTO!$AF$7)))))</f>
        <v>0</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t="str">
        <f ca="1">IF($D34&lt;&gt;"Serviço","",
          IF(AUTOEVENTO="manual",$A34,
                IF(ISERROR(MATCH($A34,$A$15:OFFSET($A34,-1,0),0)),MAX($M$15:OFFSET(M34,-1,0))+1,
                      INDEX($M$15:OFFSET(M34,-1,0),MATCH($A34,$A$15:OFFSET($A34,-1,0),0)))))</f>
        <v/>
      </c>
      <c r="N34" s="167" t="str">
        <f ca="1">IF($D34&lt;&gt;"Serviço","",
         IF(AUTOEVENTO="Manual",
                IF($A34=0,"&lt;-- defina o número do agrupador",
                       OFFSET(EVENTOS!$D$15,$A34-$A$15,0)),
                OFFSET($F$15,$A34,0)))</f>
        <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0</v>
      </c>
      <c r="AN34" s="171">
        <f ca="1">IF(OR($D34&lt;&gt;"Serviço",AND(AUTOEVENTO="Manual",$M34=$A$15)),0,
         IF(OFFSET(CRONOPLE!$F$15,$M34-$A$15,AN$13)=0,10^12,OFFSET(CRONOPLE!$F$15,$M34-$A$15,AN$13)))</f>
        <v>0</v>
      </c>
      <c r="AO34" s="171">
        <f ca="1">IF(OR($D34&lt;&gt;"Serviço",AND(AUTOEVENTO="Manual",$M34=$A$15)),0,
         IF(OFFSET(CRONOPLE!$F$15,$M34-$A$15,AO$13)=0,10^12,OFFSET(CRONOPLE!$F$15,$M34-$A$15,AO$13)))</f>
        <v>0</v>
      </c>
      <c r="AP34" s="171">
        <f ca="1">IF(OR($D34&lt;&gt;"Serviço",AND(AUTOEVENTO="Manual",$M34=$A$15)),0,
         IF(OFFSET(CRONOPLE!$F$15,$M34-$A$15,AP$13)=0,10^12,OFFSET(CRONOPLE!$F$15,$M34-$A$15,AP$13)))</f>
        <v>0</v>
      </c>
      <c r="AQ34" s="171">
        <f ca="1">IF(OR($D34&lt;&gt;"Serviço",AND(AUTOEVENTO="Manual",$M34=$A$15)),0,
         IF(OFFSET(CRONOPLE!$F$15,$M34-$A$15,AQ$13)=0,10^12,OFFSET(CRONOPLE!$F$15,$M34-$A$15,AQ$13)))</f>
        <v>0</v>
      </c>
      <c r="AR34" s="171">
        <f ca="1">IF(OR($D34&lt;&gt;"Serviço",AND(AUTOEVENTO="Manual",$M34=$A$15)),0,
         IF(OFFSET(CRONOPLE!$F$15,$M34-$A$15,AR$13)=0,10^12,OFFSET(CRONOPLE!$F$15,$M34-$A$15,AR$13)))</f>
        <v>0</v>
      </c>
      <c r="AS34" s="171">
        <f ca="1">IF(OR($D34&lt;&gt;"Serviço",AND(AUTOEVENTO="Manual",$M34=$A$15)),0,
         IF(OFFSET(CRONOPLE!$F$15,$M34-$A$15,AS$13)=0,10^12,OFFSET(CRONOPLE!$F$15,$M34-$A$15,AS$13)))</f>
        <v>0</v>
      </c>
      <c r="AT34" s="171">
        <f ca="1">IF(OR($D34&lt;&gt;"Serviço",AND(AUTOEVENTO="Manual",$M34=$A$15)),0,
         IF(OFFSET(CRONOPLE!$F$15,$M34-$A$15,AT$13)=0,10^12,OFFSET(CRONOPLE!$F$15,$M34-$A$15,AT$13)))</f>
        <v>0</v>
      </c>
      <c r="AU34" s="171">
        <f ca="1">IF(OR($D34&lt;&gt;"Serviço",AND(AUTOEVENTO="Manual",$M34=$A$15)),0,
         IF(OFFSET(CRONOPLE!$F$15,$M34-$A$15,AU$13)=0,10^12,OFFSET(CRONOPLE!$F$15,$M34-$A$15,AU$13)))</f>
        <v>0</v>
      </c>
      <c r="AV34" s="171">
        <f ca="1">IF(OR($D34&lt;&gt;"Serviço",AND(AUTOEVENTO="Manual",$M34=$A$15)),0,
         IF(OFFSET(CRONOPLE!$F$15,$M34-$A$15,AV$13)=0,10^12,OFFSET(CRONOPLE!$F$15,$M34-$A$15,AV$13)))</f>
        <v>0</v>
      </c>
      <c r="AX34" s="172" cm="1">
        <f t="array" aca="1" ref="AX34" ca="1">IF(OR($D34&lt;&gt;"Serviço",AND(AUTOEVENTO="Manual",$M34=$A$15),$M34&gt;(ROW(PLE.lastrow)-ROW(PLE.firstrow))),0,
           IF(OFFSET(PLE!$G$15,$M34-$A$15,AX$13)="",10^12,OFFSET(PLE!$G$15,$M34-$A$15,AX$13)))</f>
        <v>0</v>
      </c>
      <c r="AY34" s="172" cm="1">
        <f t="array" aca="1" ref="AY34" ca="1">IF(OR($D34&lt;&gt;"Serviço",AND(AUTOEVENTO="Manual",$M34=$A$15),$M34&gt;(ROW(PLE.lastrow)-ROW(PLE.firstrow))),0,
           IF(OFFSET(PLE!$G$15,$M34-$A$15,AY$13)="",10^12,OFFSET(PLE!$G$15,$M34-$A$15,AY$13)))</f>
        <v>0</v>
      </c>
      <c r="AZ34" s="172" cm="1">
        <f t="array" aca="1" ref="AZ34" ca="1">IF(OR($D34&lt;&gt;"Serviço",AND(AUTOEVENTO="Manual",$M34=$A$15),$M34&gt;(ROW(PLE.lastrow)-ROW(PLE.firstrow))),0,
           IF(OFFSET(PLE!$G$15,$M34-$A$15,AZ$13)="",10^12,OFFSET(PLE!$G$15,$M34-$A$15,AZ$13)))</f>
        <v>0</v>
      </c>
      <c r="BA34" s="172" cm="1">
        <f t="array" aca="1" ref="BA34" ca="1">IF(OR($D34&lt;&gt;"Serviço",AND(AUTOEVENTO="Manual",$M34=$A$15),$M34&gt;(ROW(PLE.lastrow)-ROW(PLE.firstrow))),0,
           IF(OFFSET(PLE!$G$15,$M34-$A$15,BA$13)="",10^12,OFFSET(PLE!$G$15,$M34-$A$15,BA$13)))</f>
        <v>0</v>
      </c>
      <c r="BB34" s="172" cm="1">
        <f t="array" aca="1" ref="BB34" ca="1">IF(OR($D34&lt;&gt;"Serviço",AND(AUTOEVENTO="Manual",$M34=$A$15),$M34&gt;(ROW(PLE.lastrow)-ROW(PLE.firstrow))),0,
           IF(OFFSET(PLE!$G$15,$M34-$A$15,BB$13)="",10^12,OFFSET(PLE!$G$15,$M34-$A$15,BB$13)))</f>
        <v>0</v>
      </c>
      <c r="BC34" s="172" cm="1">
        <f t="array" aca="1" ref="BC34" ca="1">IF(OR($D34&lt;&gt;"Serviço",AND(AUTOEVENTO="Manual",$M34=$A$15),$M34&gt;(ROW(PLE.lastrow)-ROW(PLE.firstrow))),0,
           IF(OFFSET(PLE!$G$15,$M34-$A$15,BC$13)="",10^12,OFFSET(PLE!$G$15,$M34-$A$15,BC$13)))</f>
        <v>0</v>
      </c>
      <c r="BD34" s="172" cm="1">
        <f t="array" aca="1" ref="BD34" ca="1">IF(OR($D34&lt;&gt;"Serviço",AND(AUTOEVENTO="Manual",$M34=$A$15),$M34&gt;(ROW(PLE.lastrow)-ROW(PLE.firstrow))),0,
           IF(OFFSET(PLE!$G$15,$M34-$A$15,BD$13)="",10^12,OFFSET(PLE!$G$15,$M34-$A$15,BD$13)))</f>
        <v>0</v>
      </c>
      <c r="BE34" s="172" cm="1">
        <f t="array" aca="1" ref="BE34" ca="1">IF(OR($D34&lt;&gt;"Serviço",AND(AUTOEVENTO="Manual",$M34=$A$15),$M34&gt;(ROW(PLE.lastrow)-ROW(PLE.firstrow))),0,
           IF(OFFSET(PLE!$G$15,$M34-$A$15,BE$13)="",10^12,OFFSET(PLE!$G$15,$M34-$A$15,BE$13)))</f>
        <v>0</v>
      </c>
      <c r="BF34" s="172" cm="1">
        <f t="array" aca="1" ref="BF34" ca="1">IF(OR($D34&lt;&gt;"Serviço",AND(AUTOEVENTO="Manual",$M34=$A$15),$M34&gt;(ROW(PLE.lastrow)-ROW(PLE.firstrow))),0,
           IF(OFFSET(PLE!$G$15,$M34-$A$15,BF$13)="",10^12,OFFSET(PLE!$G$15,$M34-$A$15,BF$13)))</f>
        <v>0</v>
      </c>
      <c r="BG34" s="172" cm="1">
        <f t="array" aca="1" ref="BG34" ca="1">IF(OR($D34&lt;&gt;"Serviço",AND(AUTOEVENTO="Manual",$M34=$A$15),$M34&gt;(ROW(PLE.lastrow)-ROW(PLE.firstrow))),0,
           IF(OFFSET(PLE!$G$15,$M34-$A$15,BG$13)="",10^12,OFFSET(PLE!$G$15,$M34-$A$15,BG$13)))</f>
        <v>0</v>
      </c>
    </row>
    <row r="35" spans="1:59" ht="25.5" x14ac:dyDescent="0.2">
      <c r="A35" s="7" t="str">
        <f t="shared" ca="1" si="8"/>
        <v>19</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70.739999999999995</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VIGAS CABECEIRAS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5.5" x14ac:dyDescent="0.2">
      <c r="A36" s="7" t="str">
        <f t="shared" ca="1" si="8"/>
        <v>19</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201.43</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VIGAS CABECEIRAS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t="shared" ca="1" si="8"/>
        <v>19</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5.96</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3</v>
      </c>
      <c r="N37" s="167" t="str">
        <f ca="1">IF($D37&lt;&gt;"Serviço","",
         IF(AUTOEVENTO="Manual",
                IF($A37=0,"&lt;-- defina o número do agrupador",
                       OFFSET(EVENTOS!$D$15,$A37-$A$15,0)),
                OFFSET($F$15,$A37,0)))</f>
        <v>VIGAS CABECEIRAS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ref="A38:A44" ca="1" si="12">IFERROR(IF(AUTOEVENTO="Manual",IF(K38&lt;&gt;"",MIN(VALUE(LEFT(K38,FIND(".",K38)-1)),COUNTA(EVENTOS.Lista)),0),IF(OR($B38&gt;AUTOEVENTO,$B38="S",$B38=0),SUBSTITUTE(OFFSET($A38,-1,0),IF($D38="Serviço",".",""),""),$L38&amp;".")),0)</f>
        <v>19</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26.09</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ca="1">OFFSET(L38,-1,0)+1</f>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VIGAS CABECEIRAS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12"/>
        <v>19</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20.52</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ca="1">OFFSET(L39,-1,0)+1</f>
        <v>24</v>
      </c>
      <c r="M39" s="166">
        <f ca="1">IF($D39&lt;&gt;"Serviço","",
          IF(AUTOEVENTO="manual",$A39,
                IF(ISERROR(MATCH($A39,$A$15:OFFSET($A39,-1,0),0)),MAX($M$15:OFFSET(M39,-1,0))+1,
                      INDEX($M$15:OFFSET(M39,-1,0),MATCH($A39,$A$15:OFFSET($A39,-1,0),0)))))</f>
        <v>3</v>
      </c>
      <c r="N39" s="167" t="str">
        <f ca="1">IF($D39&lt;&gt;"Serviço","",
         IF(AUTOEVENTO="Manual",
                IF($A39=0,"&lt;-- defina o número do agrupador",
                       OFFSET(EVENTOS!$D$15,$A39-$A$15,0)),
                OFFSET($F$15,$A39,0)))</f>
        <v>VIGAS CABECEIRAS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25.5" x14ac:dyDescent="0.2">
      <c r="A40" s="7" t="str">
        <f t="shared" ca="1" si="12"/>
        <v>19</v>
      </c>
      <c r="B40" s="7" t="str">
        <f ca="1">OFFSET(ORÇAMENTO!C$15,$L40,0)</f>
        <v>S</v>
      </c>
      <c r="C40" s="7" t="str">
        <f ca="1">OFFSET(ORÇAMENTO!L$15,$L40,0)</f>
        <v>F</v>
      </c>
      <c r="D40" s="116" t="str">
        <f ca="1">OFFSET(ORÇAMENTO!N$15,$L40,0)</f>
        <v>Serviço</v>
      </c>
      <c r="E40" s="117" t="str">
        <f ca="1">OFFSET(ORÇAMENTO!O$15,$L40,0)</f>
        <v>1.3.1.</v>
      </c>
      <c r="F40" s="163" t="str">
        <f ca="1">OFFSET(ORÇAMENTO!R$15,$L40,0)</f>
        <v>FORNECIMENTO E APLICAÇÃO DE ADESIVO ESTRUTURAL À BASE DE RESINA EPÓXI</v>
      </c>
      <c r="G40" s="164" t="str">
        <f ca="1">IF($D40&lt;&gt;"Serviço","",OFFSET(ORÇAMENTO!S$15,$L40,0))</f>
        <v>KG</v>
      </c>
      <c r="H40" s="122" cm="1">
        <f t="array" aca="1" ref="H40" ca="1">IF($D40&lt;&gt;"Serviço",0,IF(ACOMPANHAMENTO="BM",ROUND(OFFSET(ORÇAMENTO!AJ$15,$L40,0),15-13*ORÇAMENTO!$AF$7),IF(IFERROR(CÁLCULO.FrentesPreenchidas,0)=0,0,SUM(ROUND(OFFSET($P40,0,1,1,CÁLCULO.FrentesPreenchidas),15-13*ORÇAMENTO!$AF$7)))))</f>
        <v>6.91</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ref="L40:L44" ca="1" si="13">OFFSET(L40,-1,0)+1</f>
        <v>25</v>
      </c>
      <c r="M40" s="166">
        <f ca="1">IF($D40&lt;&gt;"Serviço","",
          IF(AUTOEVENTO="manual",$A40,
                IF(ISERROR(MATCH($A40,$A$15:OFFSET($A40,-1,0),0)),MAX($M$15:OFFSET(M40,-1,0))+1,
                      INDEX($M$15:OFFSET(M40,-1,0),MATCH($A40,$A$15:OFFSET($A40,-1,0),0)))))</f>
        <v>3</v>
      </c>
      <c r="N40" s="167" t="str">
        <f ca="1">IF($D40&lt;&gt;"Serviço","",
         IF(AUTOEVENTO="Manual",
                IF($A40=0,"&lt;-- defina o número do agrupador",
                       OFFSET(EVENTOS!$D$15,$A40-$A$15,0)),
                OFFSET($F$15,$A40,0)))</f>
        <v>VIGAS CABECEIRAS</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25.5" x14ac:dyDescent="0.2">
      <c r="A41" s="7" t="str">
        <f t="shared" ca="1" si="12"/>
        <v>19</v>
      </c>
      <c r="B41" s="7" t="str">
        <f ca="1">OFFSET(ORÇAMENTO!C$15,$L41,0)</f>
        <v>S</v>
      </c>
      <c r="C41" s="7" t="str">
        <f ca="1">OFFSET(ORÇAMENTO!L$15,$L41,0)</f>
        <v>F</v>
      </c>
      <c r="D41" s="116" t="str">
        <f ca="1">OFFSET(ORÇAMENTO!N$15,$L41,0)</f>
        <v>Serviço</v>
      </c>
      <c r="E41" s="117" t="str">
        <f ca="1">OFFSET(ORÇAMENTO!O$15,$L41,0)</f>
        <v>1.3.2.</v>
      </c>
      <c r="F41" s="163" t="str">
        <f ca="1">OFFSET(ORÇAMENTO!R$15,$L41,0)</f>
        <v>PERFURAÇÃO EM CONCRETO COM COROA DIAMANTADA - D = 16 MM</v>
      </c>
      <c r="G41" s="164" t="str">
        <f ca="1">IF($D41&lt;&gt;"Serviço","",OFFSET(ORÇAMENTO!S$15,$L41,0))</f>
        <v>M</v>
      </c>
      <c r="H41" s="122" cm="1">
        <f t="array" aca="1" ref="H41" ca="1">IF($D41&lt;&gt;"Serviço",0,IF(ACOMPANHAMENTO="BM",ROUND(OFFSET(ORÇAMENTO!AJ$15,$L41,0),15-13*ORÇAMENTO!$AF$7),IF(IFERROR(CÁLCULO.FrentesPreenchidas,0)=0,0,SUM(ROUND(OFFSET($P41,0,1,1,CÁLCULO.FrentesPreenchidas),15-13*ORÇAMENTO!$AF$7)))))</f>
        <v>46.8</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13"/>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VIGAS CABECEIRAS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25.5" x14ac:dyDescent="0.2">
      <c r="A42" s="7" t="str">
        <f t="shared" ca="1" si="12"/>
        <v>19</v>
      </c>
      <c r="B42" s="7" t="str">
        <f ca="1">OFFSET(ORÇAMENTO!C$15,$L42,0)</f>
        <v>S</v>
      </c>
      <c r="C42" s="7" t="str">
        <f ca="1">OFFSET(ORÇAMENTO!L$15,$L42,0)</f>
        <v>F</v>
      </c>
      <c r="D42" s="116" t="str">
        <f ca="1">OFFSET(ORÇAMENTO!N$15,$L42,0)</f>
        <v>Serviço</v>
      </c>
      <c r="E42" s="117" t="str">
        <f ca="1">OFFSET(ORÇAMENTO!O$15,$L42,0)</f>
        <v>1.3.3.</v>
      </c>
      <c r="F42" s="163" t="str">
        <f ca="1">OFFSET(ORÇAMENTO!R$15,$L42,0)</f>
        <v>APARELHO DE APOIO DE NEOPRENE FRETADO PARA ESTRUTURAS PRÉ-MOLDADAS - FORNECIMENTO E INSTALAÇÃO</v>
      </c>
      <c r="G42" s="164" t="str">
        <f ca="1">IF($D42&lt;&gt;"Serviço","",OFFSET(ORÇAMENTO!S$15,$L42,0))</f>
        <v>DM3</v>
      </c>
      <c r="H42" s="122" cm="1">
        <f t="array" aca="1" ref="H42" ca="1">IF($D42&lt;&gt;"Serviço",0,IF(ACOMPANHAMENTO="BM",ROUND(OFFSET(ORÇAMENTO!AJ$15,$L42,0),15-13*ORÇAMENTO!$AF$7),IF(IFERROR(CÁLCULO.FrentesPreenchidas,0)=0,0,SUM(ROUND(OFFSET($P42,0,1,1,CÁLCULO.FrentesPreenchidas),15-13*ORÇAMENTO!$AF$7)))))</f>
        <v>9.2799999999999994</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13"/>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VIGAS CABECEIRAS</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25.5" x14ac:dyDescent="0.2">
      <c r="A43" s="7" t="str">
        <f t="shared" ca="1" si="12"/>
        <v>19</v>
      </c>
      <c r="B43" s="7" t="str">
        <f ca="1">OFFSET(ORÇAMENTO!C$15,$L43,0)</f>
        <v>S</v>
      </c>
      <c r="C43" s="7" t="str">
        <f ca="1">OFFSET(ORÇAMENTO!L$15,$L43,0)</f>
        <v>F</v>
      </c>
      <c r="D43" s="116" t="str">
        <f ca="1">OFFSET(ORÇAMENTO!N$15,$L43,0)</f>
        <v>Serviço</v>
      </c>
      <c r="E43" s="117" t="str">
        <f ca="1">OFFSET(ORÇAMENTO!O$15,$L43,0)</f>
        <v>1.3.4.</v>
      </c>
      <c r="F43" s="163" t="str">
        <f ca="1">OFFSET(ORÇAMENTO!R$15,$L43,0)</f>
        <v>TRANSPORTE COM CAMINHÃO BETONEIRA - RODOVIA EM LEITO NATURAL</v>
      </c>
      <c r="G43" s="164" t="str">
        <f ca="1">IF($D43&lt;&gt;"Serviço","",OFFSET(ORÇAMENTO!S$15,$L43,0))</f>
        <v>tkm</v>
      </c>
      <c r="H43" s="122" cm="1">
        <f t="array" aca="1" ref="H43" ca="1">IF($D43&lt;&gt;"Serviço",0,IF(ACOMPANHAMENTO="BM",ROUND(OFFSET(ORÇAMENTO!AJ$15,$L43,0),15-13*ORÇAMENTO!$AF$7),IF(IFERROR(CÁLCULO.FrentesPreenchidas,0)=0,0,SUM(ROUND(OFFSET($P43,0,1,1,CÁLCULO.FrentesPreenchidas),15-13*ORÇAMENTO!$AF$7)))))</f>
        <v>85.82</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13"/>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VIGAS CABECEIRAS</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25.5" x14ac:dyDescent="0.2">
      <c r="A44" s="7" t="str">
        <f t="shared" ca="1" si="12"/>
        <v>19</v>
      </c>
      <c r="B44" s="7" t="str">
        <f ca="1">OFFSET(ORÇAMENTO!C$15,$L44,0)</f>
        <v>S</v>
      </c>
      <c r="C44" s="7" t="str">
        <f ca="1">OFFSET(ORÇAMENTO!L$15,$L44,0)</f>
        <v>F</v>
      </c>
      <c r="D44" s="116" t="str">
        <f ca="1">OFFSET(ORÇAMENTO!N$15,$L44,0)</f>
        <v>Serviço</v>
      </c>
      <c r="E44" s="117" t="str">
        <f ca="1">OFFSET(ORÇAMENTO!O$15,$L44,0)</f>
        <v>1.3.5.</v>
      </c>
      <c r="F44" s="163" t="str">
        <f ca="1">OFFSET(ORÇAMENTO!R$15,$L44,0)</f>
        <v>TRANSPORTE COM CAMINHÃO BETONEIRA - RODOVIA PAVIMENTADA</v>
      </c>
      <c r="G44" s="164" t="str">
        <f ca="1">IF($D44&lt;&gt;"Serviço","",OFFSET(ORÇAMENTO!S$15,$L44,0))</f>
        <v>tkm</v>
      </c>
      <c r="H44" s="122" cm="1">
        <f t="array" aca="1" ref="H44" ca="1">IF($D44&lt;&gt;"Serviço",0,IF(ACOMPANHAMENTO="BM",ROUND(OFFSET(ORÇAMENTO!AJ$15,$L44,0),15-13*ORÇAMENTO!$AF$7),IF(IFERROR(CÁLCULO.FrentesPreenchidas,0)=0,0,SUM(ROUND(OFFSET($P44,0,1,1,CÁLCULO.FrentesPreenchidas),15-13*ORÇAMENTO!$AF$7)))))</f>
        <v>21.46</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13"/>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VIGAS CABECEIRAS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t="str">
        <f t="shared" ca="1" si="8"/>
        <v>30.</v>
      </c>
      <c r="B45" s="7">
        <f ca="1">OFFSET(ORÇAMENTO!C$15,$L45,0)</f>
        <v>2</v>
      </c>
      <c r="C45" s="7" t="str">
        <f ca="1">OFFSET(ORÇAMENTO!L$15,$L45,0)</f>
        <v>F</v>
      </c>
      <c r="D45" s="116" t="str">
        <f ca="1">OFFSET(ORÇAMENTO!N$15,$L45,0)</f>
        <v>Nível 2</v>
      </c>
      <c r="E45" s="117" t="str">
        <f ca="1">OFFSET(ORÇAMENTO!O$15,$L45,0)</f>
        <v>1.4.</v>
      </c>
      <c r="F45" s="163" t="str">
        <f ca="1">OFFSET(ORÇAMENTO!R$15,$L45,0)</f>
        <v>SINALIZAÇÃO</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25.5" x14ac:dyDescent="0.2">
      <c r="A46" s="7" t="str">
        <f t="shared" ca="1" si="8"/>
        <v>30</v>
      </c>
      <c r="B46" s="7" t="str">
        <f ca="1">OFFSET(ORÇAMENTO!C$15,$L46,0)</f>
        <v>S</v>
      </c>
      <c r="C46" s="7" t="str">
        <f ca="1">OFFSET(ORÇAMENTO!L$15,$L46,0)</f>
        <v>F</v>
      </c>
      <c r="D46" s="116" t="str">
        <f ca="1">OFFSET(ORÇAMENTO!N$15,$L46,0)</f>
        <v>Serviço</v>
      </c>
      <c r="E46" s="117" t="str">
        <f ca="1">OFFSET(ORÇAMENTO!O$15,$L46,0)</f>
        <v>1.4.1.</v>
      </c>
      <c r="F46" s="163" t="str">
        <f ca="1">OFFSET(ORÇAMENTO!R$15,$L46,0)</f>
        <v>PLACA EM AÇO Nº 16 GALVANIZADO COM PELÍCULA RETRORREFLETIVA TIPO I + III - CONFECÇÃO</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2.36</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4</v>
      </c>
      <c r="N46" s="167" t="str">
        <f ca="1">IF($D46&lt;&gt;"Serviço","",
         IF(AUTOEVENTO="Manual",
                IF($A46=0,"&lt;-- defina o número do agrupador",
                       OFFSET(EVENTOS!$D$15,$A46-$A$15,0)),
                OFFSET($F$15,$A46,0)))</f>
        <v>SINALIZAÇÃO</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38.25" x14ac:dyDescent="0.2">
      <c r="A47" s="7" t="str">
        <f ca="1">IFERROR(IF(AUTOEVENTO="Manual",IF(K47&lt;&gt;"",MIN(VALUE(LEFT(K47,FIND(".",K47)-1)),COUNTA(EVENTOS.Lista)),0),IF(OR($B47&gt;AUTOEVENTO,$B47="S",$B47=0),SUBSTITUTE(OFFSET($A47,-1,0),IF($D47="Serviço",".",""),""),$L47&amp;".")),0)</f>
        <v>30</v>
      </c>
      <c r="B47" s="7" t="str">
        <f ca="1">OFFSET(ORÇAMENTO!C$15,$L47,0)</f>
        <v>S</v>
      </c>
      <c r="C47" s="7" t="str">
        <f ca="1">OFFSET(ORÇAMENTO!L$15,$L47,0)</f>
        <v>F</v>
      </c>
      <c r="D47" s="116" t="str">
        <f ca="1">OFFSET(ORÇAMENTO!N$15,$L47,0)</f>
        <v>Serviço</v>
      </c>
      <c r="E47" s="117" t="str">
        <f ca="1">OFFSET(ORÇAMENTO!O$15,$L47,0)</f>
        <v>1.4.2.</v>
      </c>
      <c r="F47" s="163" t="str">
        <f ca="1">OFFSET(ORÇAMENTO!R$15,$L47,0)</f>
        <v>SUPORTE METÁLICO GALVANIZADO PARA PLACA DE ADVERTÊNCIA OU REGULAMENTAÇÃO - LADO OU DIÂMETRO DE 0,60 M - FORNECIMENTO E IMPLANTAÇÃO</v>
      </c>
      <c r="G47" s="164" t="str">
        <f ca="1">IF($D47&lt;&gt;"Serviço","",OFFSET(ORÇAMENTO!S$15,$L47,0))</f>
        <v>UN</v>
      </c>
      <c r="H47" s="122" cm="1">
        <f t="array" aca="1" ref="H47" ca="1">IF($D47&lt;&gt;"Serviço",0,IF(ACOMPANHAMENTO="BM",ROUND(OFFSET(ORÇAMENTO!AJ$15,$L47,0),15-13*ORÇAMENTO!$AF$7),IF(IFERROR(CÁLCULO.FrentesPreenchidas,0)=0,0,SUM(ROUND(OFFSET($P47,0,1,1,CÁLCULO.FrentesPreenchidas),15-13*ORÇAMENTO!$AF$7)))))</f>
        <v>6</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ca="1">OFFSET(L47,-1,0)+1</f>
        <v>32</v>
      </c>
      <c r="M47" s="166">
        <f ca="1">IF($D47&lt;&gt;"Serviço","",
          IF(AUTOEVENTO="manual",$A47,
                IF(ISERROR(MATCH($A47,$A$15:OFFSET($A47,-1,0),0)),MAX($M$15:OFFSET(M47,-1,0))+1,
                      INDEX($M$15:OFFSET(M47,-1,0),MATCH($A47,$A$15:OFFSET($A47,-1,0),0)))))</f>
        <v>4</v>
      </c>
      <c r="N47" s="167" t="str">
        <f ca="1">IF($D47&lt;&gt;"Serviço","",
         IF(AUTOEVENTO="Manual",
                IF($A47=0,"&lt;-- defina o número do agrupador",
                       OFFSET(EVENTOS!$D$15,$A47-$A$15,0)),
                OFFSET($F$15,$A47,0)))</f>
        <v>SINALIZAÇÃO</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5.0999999999999996" customHeight="1" x14ac:dyDescent="0.2">
      <c r="B48" s="7">
        <f ca="1">OFFSET(ORÇAMENTO!C$15,ROW(B48)-ROW(B$15),0)</f>
        <v>-1</v>
      </c>
      <c r="C48" s="7" t="str">
        <f ca="1">OFFSET(ORÇAMENTO!L$15,ROW(C48)-ROW(C$15),0)</f>
        <v>F</v>
      </c>
      <c r="D48" s="634" t="s">
        <v>700</v>
      </c>
      <c r="E48" s="618"/>
      <c r="F48" s="619"/>
      <c r="G48" s="619"/>
      <c r="H48" s="619"/>
      <c r="I48" s="419"/>
      <c r="K48" s="569"/>
      <c r="L48" s="165">
        <f t="shared" ref="L48" ca="1" si="14">OFFSET(L48,-1,0)+1</f>
        <v>33</v>
      </c>
      <c r="M48" s="421"/>
      <c r="N48" s="420"/>
      <c r="O48" s="635"/>
      <c r="Q48" s="618"/>
      <c r="R48" s="619"/>
      <c r="S48" s="619"/>
      <c r="T48" s="619"/>
      <c r="U48" s="619"/>
      <c r="V48" s="619"/>
      <c r="W48" s="619"/>
      <c r="X48" s="619"/>
      <c r="Y48" s="619"/>
      <c r="Z48" s="419"/>
      <c r="AB48" s="636"/>
      <c r="AC48" s="637"/>
      <c r="AD48" s="637"/>
      <c r="AE48" s="637"/>
      <c r="AF48" s="637"/>
      <c r="AG48" s="637"/>
      <c r="AH48" s="637"/>
      <c r="AI48" s="637"/>
      <c r="AJ48" s="637"/>
      <c r="AK48" s="133"/>
      <c r="AM48" s="636"/>
      <c r="AN48" s="637"/>
      <c r="AO48" s="637"/>
      <c r="AP48" s="637"/>
      <c r="AQ48" s="637"/>
      <c r="AR48" s="637"/>
      <c r="AS48" s="637"/>
      <c r="AT48" s="637"/>
      <c r="AU48" s="637"/>
      <c r="AV48" s="133"/>
      <c r="AX48" s="636"/>
      <c r="AY48" s="637"/>
      <c r="AZ48" s="637"/>
      <c r="BA48" s="637"/>
      <c r="BB48" s="637"/>
      <c r="BC48" s="637"/>
      <c r="BD48" s="637"/>
      <c r="BE48" s="637"/>
      <c r="BF48" s="637"/>
      <c r="BG48" s="133"/>
    </row>
    <row r="49" spans="3:25" ht="12.75" customHeight="1" x14ac:dyDescent="0.2"/>
    <row r="50" spans="3:25" ht="12.75" customHeight="1" x14ac:dyDescent="0.2"/>
    <row r="51" spans="3:25" ht="12.75" customHeight="1" x14ac:dyDescent="0.2"/>
    <row r="52" spans="3:25" ht="15" customHeight="1" x14ac:dyDescent="0.2">
      <c r="F52" s="179" t="str">
        <f>Import.Município</f>
        <v>CAÇADOR</v>
      </c>
      <c r="I52" s="460"/>
      <c r="J52" s="460"/>
      <c r="K52" s="460"/>
      <c r="L52" s="460"/>
      <c r="M52" s="461"/>
      <c r="N52" s="417"/>
      <c r="T52" s="139"/>
      <c r="U52" s="139"/>
      <c r="V52" s="180"/>
      <c r="W52" s="180"/>
      <c r="X52" s="180"/>
      <c r="Y52" s="180"/>
    </row>
    <row r="53" spans="3:25" ht="12.75" customHeight="1" x14ac:dyDescent="0.2">
      <c r="F53" s="9" t="s">
        <v>693</v>
      </c>
      <c r="I53" s="181" t="s">
        <v>696</v>
      </c>
      <c r="J53" s="181"/>
      <c r="K53" s="181"/>
      <c r="L53" s="181"/>
      <c r="T53" s="181" t="s">
        <v>696</v>
      </c>
      <c r="U53" s="181"/>
    </row>
    <row r="54" spans="3:25" ht="12.75" customHeight="1" x14ac:dyDescent="0.2">
      <c r="I54" s="398" t="str">
        <f t="array" aca="1" ref="I54:I56" ca="1">OFFSET(Import.RespOrçamento,0,-1) &amp; " " &amp; Import.RespOrçamento</f>
        <v>Nome: Diego Dutra do Nascimento</v>
      </c>
      <c r="K54" s="79"/>
      <c r="L54" s="79"/>
      <c r="T54" s="398" t="str">
        <f t="array" aca="1" ref="T54:T56" ca="1">OFFSET(Import.RespOrçamento,0,-1) &amp; " " &amp; Import.RespOrçamento</f>
        <v>Nome: Diego Dutra do Nascimento</v>
      </c>
      <c r="U54" s="78"/>
    </row>
    <row r="55" spans="3:25" ht="12.75" customHeight="1" x14ac:dyDescent="0.2">
      <c r="F55" s="459">
        <f>DADOS!$C$25</f>
        <v>46150</v>
      </c>
      <c r="I55" s="398" t="str">
        <f ca="1"/>
        <v>CREA/CAU: CREA-SC 225647-1</v>
      </c>
      <c r="K55" s="79"/>
      <c r="L55" s="79"/>
      <c r="T55" s="398" t="str">
        <f ca="1"/>
        <v>CREA/CAU: CREA-SC 225647-1</v>
      </c>
      <c r="U55" s="78"/>
    </row>
    <row r="56" spans="3:25" ht="12.75" customHeight="1" x14ac:dyDescent="0.2">
      <c r="F56" s="140" t="s">
        <v>694</v>
      </c>
      <c r="I56" s="398" t="str">
        <f ca="1"/>
        <v>ART/RRT: 10468622-6</v>
      </c>
      <c r="K56" s="79"/>
      <c r="L56" s="79"/>
      <c r="T56" s="398" t="str">
        <f ca="1"/>
        <v>ART/RRT: 10468622-6</v>
      </c>
      <c r="U56" s="78"/>
    </row>
    <row r="57" spans="3:25" ht="12.75" customHeight="1" x14ac:dyDescent="0.2">
      <c r="C57"/>
      <c r="M57"/>
    </row>
    <row r="58" spans="3:25" ht="12.75" customHeight="1" x14ac:dyDescent="0.2">
      <c r="C58"/>
      <c r="M58"/>
    </row>
    <row r="59" spans="3:25" ht="12.75" customHeight="1" x14ac:dyDescent="0.2">
      <c r="C59"/>
      <c r="M59"/>
    </row>
    <row r="60" spans="3:25" ht="12.75" customHeight="1" x14ac:dyDescent="0.2">
      <c r="C60"/>
      <c r="M60"/>
    </row>
    <row r="61" spans="3:25" ht="12.75" customHeight="1" x14ac:dyDescent="0.2">
      <c r="C61"/>
      <c r="M61"/>
    </row>
    <row r="62" spans="3:25" ht="12.75" customHeight="1" x14ac:dyDescent="0.2">
      <c r="C62"/>
      <c r="M62"/>
    </row>
    <row r="63" spans="3:25" ht="12.75" customHeight="1" x14ac:dyDescent="0.2">
      <c r="C63"/>
      <c r="M63"/>
    </row>
    <row r="64" spans="3:25"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60960" spans="3:13" ht="12.75" customHeight="1" x14ac:dyDescent="0.2">
      <c r="C60960"/>
      <c r="M60960"/>
    </row>
    <row r="60976" spans="3:13" ht="12.75" customHeight="1" x14ac:dyDescent="0.2">
      <c r="C60976"/>
      <c r="M60976"/>
    </row>
    <row r="60992" spans="3:13" ht="12.75" customHeight="1" x14ac:dyDescent="0.2">
      <c r="C60992"/>
      <c r="M60992"/>
    </row>
    <row r="61008" spans="3:13" ht="12.75" customHeight="1" x14ac:dyDescent="0.2">
      <c r="C61008"/>
      <c r="M61008"/>
    </row>
    <row r="61021" spans="3:13" ht="12.75" customHeight="1" x14ac:dyDescent="0.2">
      <c r="C61021"/>
      <c r="M61021"/>
    </row>
    <row r="61022" spans="3:13" ht="12.75" customHeight="1" x14ac:dyDescent="0.2">
      <c r="C61022"/>
      <c r="M61022"/>
    </row>
    <row r="61024" spans="3:13" ht="12.75" customHeight="1" x14ac:dyDescent="0.2">
      <c r="C61024"/>
      <c r="M61024"/>
    </row>
    <row r="61035" spans="3:13" ht="12.75" customHeight="1" x14ac:dyDescent="0.2">
      <c r="C61035"/>
      <c r="M61035"/>
    </row>
    <row r="61036" spans="3:13" ht="12.75" customHeight="1" x14ac:dyDescent="0.2">
      <c r="C61036"/>
      <c r="M61036"/>
    </row>
    <row r="61037" spans="3:13" ht="12.75" customHeight="1" x14ac:dyDescent="0.2">
      <c r="C61037"/>
      <c r="M61037"/>
    </row>
    <row r="61038" spans="3:13" ht="12.75" customHeight="1" x14ac:dyDescent="0.2">
      <c r="C61038"/>
      <c r="M61038"/>
    </row>
    <row r="61040" spans="3:13" ht="12.75" customHeight="1" x14ac:dyDescent="0.2">
      <c r="C61040"/>
      <c r="M61040"/>
    </row>
    <row r="61051" spans="3:13" ht="12.75" customHeight="1" x14ac:dyDescent="0.2">
      <c r="C61051"/>
      <c r="M61051"/>
    </row>
    <row r="61052" spans="3:13" ht="12.75" customHeight="1" x14ac:dyDescent="0.2">
      <c r="C61052"/>
      <c r="M61052"/>
    </row>
    <row r="61053" spans="3:13" ht="12.75" customHeight="1" x14ac:dyDescent="0.2">
      <c r="C61053"/>
      <c r="M61053"/>
    </row>
    <row r="61054" spans="3:13" ht="12.75" customHeight="1" x14ac:dyDescent="0.2">
      <c r="C61054"/>
      <c r="M61054"/>
    </row>
    <row r="61056" spans="3:13" ht="12.75" customHeight="1" x14ac:dyDescent="0.2">
      <c r="C61056"/>
      <c r="M61056"/>
    </row>
    <row r="61067" spans="3:13" ht="12.75" customHeight="1" x14ac:dyDescent="0.2">
      <c r="C61067"/>
      <c r="M61067"/>
    </row>
    <row r="61068" spans="3:13" ht="12.75" customHeight="1" x14ac:dyDescent="0.2">
      <c r="C61068"/>
      <c r="M61068"/>
    </row>
    <row r="61069" spans="3:13" ht="12.75" customHeight="1" x14ac:dyDescent="0.2">
      <c r="C61069"/>
      <c r="M61069"/>
    </row>
    <row r="61070" spans="3:13" ht="12.75" customHeight="1" x14ac:dyDescent="0.2">
      <c r="C61070"/>
      <c r="M61070"/>
    </row>
    <row r="61072" spans="3:13" ht="12.75" customHeight="1" x14ac:dyDescent="0.2">
      <c r="C61072"/>
      <c r="M61072"/>
    </row>
    <row r="61083" spans="3:13" ht="12.75" customHeight="1" x14ac:dyDescent="0.2">
      <c r="C61083"/>
      <c r="M61083"/>
    </row>
    <row r="61084" spans="3:13" ht="12.75" customHeight="1" x14ac:dyDescent="0.2">
      <c r="C61084"/>
      <c r="M61084"/>
    </row>
    <row r="61085" spans="3:13" ht="12.75" customHeight="1" x14ac:dyDescent="0.2">
      <c r="C61085"/>
      <c r="M61085"/>
    </row>
    <row r="61086" spans="3:13" ht="12.75" customHeight="1" x14ac:dyDescent="0.2">
      <c r="C61086"/>
      <c r="M61086"/>
    </row>
    <row r="61088" spans="3:13" ht="12.75" customHeight="1" x14ac:dyDescent="0.2">
      <c r="C61088"/>
      <c r="M61088"/>
    </row>
    <row r="61099" spans="3:13" ht="12.75" customHeight="1" x14ac:dyDescent="0.2">
      <c r="C61099"/>
      <c r="M61099"/>
    </row>
    <row r="61100" spans="3:13" ht="12.75" customHeight="1" x14ac:dyDescent="0.2">
      <c r="C61100"/>
      <c r="M61100"/>
    </row>
    <row r="61101" spans="3:13" ht="12.75" customHeight="1" x14ac:dyDescent="0.2">
      <c r="C61101"/>
      <c r="M61101"/>
    </row>
    <row r="61102" spans="3:13" ht="12.75" customHeight="1" x14ac:dyDescent="0.2">
      <c r="C61102"/>
      <c r="M61102"/>
    </row>
    <row r="61104" spans="3:13" ht="12.75" customHeight="1" x14ac:dyDescent="0.2">
      <c r="C61104"/>
      <c r="M61104"/>
    </row>
    <row r="61115" spans="3:13" ht="12.75" customHeight="1" x14ac:dyDescent="0.2">
      <c r="C61115"/>
      <c r="M61115"/>
    </row>
    <row r="61116" spans="3:13" ht="12.75" customHeight="1" x14ac:dyDescent="0.2">
      <c r="C61116"/>
      <c r="M61116"/>
    </row>
    <row r="61117" spans="3:13" ht="12.75" customHeight="1" x14ac:dyDescent="0.2">
      <c r="C61117"/>
      <c r="M61117"/>
    </row>
    <row r="61118" spans="3:13" ht="12.75" customHeight="1" x14ac:dyDescent="0.2">
      <c r="C61118"/>
      <c r="M61118"/>
    </row>
    <row r="61120" spans="3:13" ht="12.75" customHeight="1" x14ac:dyDescent="0.2">
      <c r="C61120"/>
      <c r="M61120"/>
    </row>
    <row r="61131" spans="3:13" ht="12.75" customHeight="1" x14ac:dyDescent="0.2">
      <c r="C61131"/>
      <c r="M61131"/>
    </row>
    <row r="61132" spans="3:13" ht="12.75" customHeight="1" x14ac:dyDescent="0.2">
      <c r="C61132"/>
      <c r="M61132"/>
    </row>
    <row r="61133" spans="3:13" ht="12.75" customHeight="1" x14ac:dyDescent="0.2">
      <c r="C61133"/>
      <c r="M61133"/>
    </row>
    <row r="61134" spans="3:13" ht="12.75" customHeight="1" x14ac:dyDescent="0.2">
      <c r="C61134"/>
      <c r="M61134"/>
    </row>
    <row r="61136" spans="3:13" ht="12.75" customHeight="1" x14ac:dyDescent="0.2">
      <c r="C61136"/>
      <c r="M61136"/>
    </row>
    <row r="61147" spans="3:13" ht="12.75" customHeight="1" x14ac:dyDescent="0.2">
      <c r="C61147"/>
      <c r="M61147"/>
    </row>
    <row r="61148" spans="3:13" ht="12.75" customHeight="1" x14ac:dyDescent="0.2">
      <c r="C61148"/>
      <c r="M61148"/>
    </row>
    <row r="61149" spans="3:13" ht="12.75" customHeight="1" x14ac:dyDescent="0.2">
      <c r="C61149"/>
      <c r="M61149"/>
    </row>
    <row r="61150" spans="3:13" ht="12.75" customHeight="1" x14ac:dyDescent="0.2">
      <c r="C61150"/>
      <c r="M61150"/>
    </row>
    <row r="61152" spans="3:13" ht="12.75" customHeight="1" x14ac:dyDescent="0.2">
      <c r="C61152"/>
      <c r="M61152"/>
    </row>
    <row r="61160" spans="3:13" ht="12.75" customHeight="1" x14ac:dyDescent="0.2">
      <c r="C61160"/>
      <c r="M61160"/>
    </row>
    <row r="61163" spans="3:13" ht="12.75" customHeight="1" x14ac:dyDescent="0.2">
      <c r="C61163"/>
      <c r="M61163"/>
    </row>
    <row r="61164" spans="3:13" ht="12.75" customHeight="1" x14ac:dyDescent="0.2">
      <c r="C61164"/>
      <c r="M61164"/>
    </row>
    <row r="61165" spans="3:13" ht="12.75" customHeight="1" x14ac:dyDescent="0.2">
      <c r="C61165"/>
      <c r="M61165"/>
    </row>
    <row r="61166" spans="3:13" ht="12.75" customHeight="1" x14ac:dyDescent="0.2">
      <c r="C61166"/>
      <c r="M61166"/>
    </row>
    <row r="61168" spans="3:13" ht="12.75" customHeight="1" x14ac:dyDescent="0.2">
      <c r="C61168"/>
      <c r="M61168"/>
    </row>
    <row r="61176" spans="3:13" ht="12.75" customHeight="1" x14ac:dyDescent="0.2">
      <c r="C61176"/>
      <c r="M61176"/>
    </row>
    <row r="61179" spans="3:13" ht="12.75" customHeight="1" x14ac:dyDescent="0.2">
      <c r="C61179"/>
      <c r="M61179"/>
    </row>
    <row r="61180" spans="3:13" ht="12.75" customHeight="1" x14ac:dyDescent="0.2">
      <c r="C61180"/>
      <c r="M61180"/>
    </row>
    <row r="61181" spans="3:13" ht="12.75" customHeight="1" x14ac:dyDescent="0.2">
      <c r="C61181"/>
      <c r="M61181"/>
    </row>
    <row r="61182" spans="3:13" ht="12.75" customHeight="1" x14ac:dyDescent="0.2">
      <c r="C61182"/>
      <c r="M61182"/>
    </row>
    <row r="61184" spans="3:13" ht="12.75" customHeight="1" x14ac:dyDescent="0.2">
      <c r="C61184"/>
      <c r="M61184"/>
    </row>
    <row r="61192" spans="3:13" ht="12.75" customHeight="1" x14ac:dyDescent="0.2">
      <c r="C61192"/>
      <c r="M61192"/>
    </row>
    <row r="61193" spans="3:13" ht="12.75" customHeight="1" x14ac:dyDescent="0.2">
      <c r="C61193"/>
      <c r="M61193"/>
    </row>
    <row r="61195" spans="3:13" ht="12.75" customHeight="1" x14ac:dyDescent="0.2">
      <c r="C61195"/>
      <c r="M61195"/>
    </row>
    <row r="61196" spans="3:13" ht="12.75" customHeight="1" x14ac:dyDescent="0.2">
      <c r="C61196"/>
      <c r="M61196"/>
    </row>
    <row r="61197" spans="3:13" ht="12.75" customHeight="1" x14ac:dyDescent="0.2">
      <c r="C61197"/>
      <c r="M61197"/>
    </row>
    <row r="61198" spans="3:13" ht="12.75" customHeight="1" x14ac:dyDescent="0.2">
      <c r="C61198"/>
      <c r="M61198"/>
    </row>
    <row r="61200" spans="3:13" ht="12.75" customHeight="1" x14ac:dyDescent="0.2">
      <c r="C61200"/>
      <c r="M61200"/>
    </row>
    <row r="61208" spans="3:13" ht="12.75" customHeight="1" x14ac:dyDescent="0.2">
      <c r="C61208"/>
      <c r="M61208"/>
    </row>
    <row r="61209" spans="3:13" ht="12.75" customHeight="1" x14ac:dyDescent="0.2">
      <c r="C61209"/>
      <c r="M6120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6" spans="3:13" ht="12.75" customHeight="1" x14ac:dyDescent="0.2">
      <c r="C61216"/>
      <c r="M61216"/>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2" spans="3:13" ht="12.75" customHeight="1" x14ac:dyDescent="0.2">
      <c r="C61232"/>
      <c r="M61232"/>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sheetData>
  <sheetProtection algorithmName="SHA-512" hashValue="ronrY+rWjsJvBI5hHi2NZC4m36rMamQ8yCsN6QYxVApPpl4rRbnFBggrReJaOSneNgjXGYxF5xX7LOyHEj140A==" saltValue="AYNan2LGcByLoqtRI8o+lQ==" spinCount="100000" sheet="1" objects="1" scenarios="1" autoFilter="0"/>
  <autoFilter ref="C15:C48"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23:I26 D34:I34 D16:I21 D37:I37">
    <cfRule type="expression" dxfId="423" priority="15191" stopIfTrue="1">
      <formula>$B14=1</formula>
    </cfRule>
    <cfRule type="expression" dxfId="422" priority="15192" stopIfTrue="1">
      <formula>OR($B14=0,$B14=2,$B14=3,$B14=4)</formula>
    </cfRule>
  </conditionalFormatting>
  <conditionalFormatting sqref="M23:N26 M34:N34 M48:N48 M45:N46 M12:N21 M37:N37">
    <cfRule type="expression" dxfId="421" priority="15193" stopIfTrue="1">
      <formula>ACOMPANHAMENTO="BM"</formula>
    </cfRule>
    <cfRule type="expression" dxfId="420" priority="15194" stopIfTrue="1">
      <formula>OR($B12=0,$B12=2,$B12=3,$B12=4)</formula>
    </cfRule>
    <cfRule type="expression" dxfId="419" priority="15195" stopIfTrue="1">
      <formula>$B12=1</formula>
    </cfRule>
  </conditionalFormatting>
  <conditionalFormatting sqref="K12:K31 K37:K39 K45:K48 K34">
    <cfRule type="expression" dxfId="418" priority="15196" stopIfTrue="1">
      <formula>OR(ACOMPANHAMENTO="BM",$A$12&lt;&gt;"Manual")</formula>
    </cfRule>
    <cfRule type="expression" dxfId="417" priority="15197" stopIfTrue="1">
      <formula>$B12=1</formula>
    </cfRule>
    <cfRule type="expression" dxfId="416" priority="15198" stopIfTrue="1">
      <formula>OR($B12=2,$B12=3,$B12=4,$B12=0)</formula>
    </cfRule>
  </conditionalFormatting>
  <conditionalFormatting sqref="O12:AA31 O37:AA39 O45:AA48 O34:AA34">
    <cfRule type="expression" dxfId="415" priority="8782" stopIfTrue="1">
      <formula>ACOMPANHAMENTO="BM"</formula>
    </cfRule>
    <cfRule type="expression" dxfId="414" priority="15200" stopIfTrue="1">
      <formula>AND(O$12&lt;&gt;".",OR($B12=0,$B12=2,$B12=3,$B12=4,AND(O$12="",$B12&lt;&gt;"Empty"),OFFSET(O$1,0,-1)=0))</formula>
    </cfRule>
    <cfRule type="expression" dxfId="413" priority="15201" stopIfTrue="1">
      <formula>AND($B12=1,O$1=1)</formula>
    </cfRule>
  </conditionalFormatting>
  <conditionalFormatting sqref="Q15:Z15">
    <cfRule type="expression" dxfId="412" priority="15199">
      <formula>Q$11="▼"</formula>
    </cfRule>
  </conditionalFormatting>
  <conditionalFormatting sqref="O15">
    <cfRule type="expression" dxfId="411" priority="8781">
      <formula>O$11="▼"</formula>
    </cfRule>
  </conditionalFormatting>
  <conditionalFormatting sqref="N14 N23:N26 N34 N16:N21 N37">
    <cfRule type="expression" dxfId="410" priority="5816">
      <formula>$J14="►"</formula>
    </cfRule>
  </conditionalFormatting>
  <conditionalFormatting sqref="N12">
    <cfRule type="cellIs" dxfId="409" priority="5814" operator="notEqual">
      <formula>"FRENTES DE OBRA:"</formula>
    </cfRule>
  </conditionalFormatting>
  <conditionalFormatting sqref="Q14:AA14 Q16:AA16 Q21:AA21 Q23:AA26 Q34:AA34 Q37:AA37">
    <cfRule type="expression" dxfId="408" priority="3599">
      <formula>Q14&lt;&gt;ROUND(Q14,2)</formula>
    </cfRule>
  </conditionalFormatting>
  <conditionalFormatting sqref="H14">
    <cfRule type="expression" dxfId="407" priority="3159" stopIfTrue="1">
      <formula>$B14=1</formula>
    </cfRule>
    <cfRule type="expression" dxfId="406" priority="3160" stopIfTrue="1">
      <formula>OR($B14=0,$B14=2,$B14=3,$B14=4)</formula>
    </cfRule>
  </conditionalFormatting>
  <conditionalFormatting sqref="H14 H23:H26 H34 H16:H21 H37">
    <cfRule type="expression" dxfId="405" priority="3158">
      <formula>$J14="►S"</formula>
    </cfRule>
  </conditionalFormatting>
  <conditionalFormatting sqref="I45:I46 D45:G46">
    <cfRule type="expression" dxfId="404" priority="741" stopIfTrue="1">
      <formula>$B45=1</formula>
    </cfRule>
    <cfRule type="expression" dxfId="403" priority="742" stopIfTrue="1">
      <formula>OR($B45=0,$B45=2,$B45=3,$B45=4)</formula>
    </cfRule>
  </conditionalFormatting>
  <conditionalFormatting sqref="N45:N46">
    <cfRule type="expression" dxfId="402" priority="740">
      <formula>$J45="►"</formula>
    </cfRule>
  </conditionalFormatting>
  <conditionalFormatting sqref="Q45:AA46">
    <cfRule type="expression" dxfId="401" priority="739">
      <formula>Q45&lt;&gt;ROUND(Q45,2)</formula>
    </cfRule>
  </conditionalFormatting>
  <conditionalFormatting sqref="H45:H46">
    <cfRule type="expression" dxfId="400" priority="737" stopIfTrue="1">
      <formula>$B45=1</formula>
    </cfRule>
    <cfRule type="expression" dxfId="399" priority="738" stopIfTrue="1">
      <formula>OR($B45=0,$B45=2,$B45=3,$B45=4)</formula>
    </cfRule>
  </conditionalFormatting>
  <conditionalFormatting sqref="H45:H46">
    <cfRule type="expression" dxfId="398" priority="736">
      <formula>$J45="►S"</formula>
    </cfRule>
  </conditionalFormatting>
  <conditionalFormatting sqref="D27:G27 I27">
    <cfRule type="expression" dxfId="397" priority="487" stopIfTrue="1">
      <formula>$B27=1</formula>
    </cfRule>
    <cfRule type="expression" dxfId="396" priority="488" stopIfTrue="1">
      <formula>OR($B27=0,$B27=2,$B27=3,$B27=4)</formula>
    </cfRule>
  </conditionalFormatting>
  <conditionalFormatting sqref="M27:N27">
    <cfRule type="expression" dxfId="395" priority="489" stopIfTrue="1">
      <formula>ACOMPANHAMENTO="BM"</formula>
    </cfRule>
    <cfRule type="expression" dxfId="394" priority="490" stopIfTrue="1">
      <formula>OR($B27=0,$B27=2,$B27=3,$B27=4)</formula>
    </cfRule>
    <cfRule type="expression" dxfId="393" priority="491" stopIfTrue="1">
      <formula>$B27=1</formula>
    </cfRule>
  </conditionalFormatting>
  <conditionalFormatting sqref="N27">
    <cfRule type="expression" dxfId="392" priority="485">
      <formula>$J27="►"</formula>
    </cfRule>
  </conditionalFormatting>
  <conditionalFormatting sqref="Q27:AA27">
    <cfRule type="expression" dxfId="391" priority="484">
      <formula>Q27&lt;&gt;ROUND(Q27,2)</formula>
    </cfRule>
  </conditionalFormatting>
  <conditionalFormatting sqref="H27">
    <cfRule type="expression" dxfId="390" priority="482" stopIfTrue="1">
      <formula>$B27=1</formula>
    </cfRule>
    <cfRule type="expression" dxfId="389" priority="483" stopIfTrue="1">
      <formula>OR($B27=0,$B27=2,$B27=3,$B27=4)</formula>
    </cfRule>
  </conditionalFormatting>
  <conditionalFormatting sqref="H27">
    <cfRule type="expression" dxfId="388" priority="481">
      <formula>$J27="►S"</formula>
    </cfRule>
  </conditionalFormatting>
  <conditionalFormatting sqref="Q17:AA20">
    <cfRule type="expression" dxfId="387" priority="404">
      <formula>Q17&lt;&gt;ROUND(Q17,2)</formula>
    </cfRule>
  </conditionalFormatting>
  <conditionalFormatting sqref="D22:G22 I22">
    <cfRule type="expression" dxfId="386" priority="327" stopIfTrue="1">
      <formula>$B22=1</formula>
    </cfRule>
    <cfRule type="expression" dxfId="385" priority="328" stopIfTrue="1">
      <formula>OR($B22=0,$B22=2,$B22=3,$B22=4)</formula>
    </cfRule>
  </conditionalFormatting>
  <conditionalFormatting sqref="M22:N22">
    <cfRule type="expression" dxfId="384" priority="329" stopIfTrue="1">
      <formula>ACOMPANHAMENTO="BM"</formula>
    </cfRule>
    <cfRule type="expression" dxfId="383" priority="330" stopIfTrue="1">
      <formula>OR($B22=0,$B22=2,$B22=3,$B22=4)</formula>
    </cfRule>
    <cfRule type="expression" dxfId="382" priority="331" stopIfTrue="1">
      <formula>$B22=1</formula>
    </cfRule>
  </conditionalFormatting>
  <conditionalFormatting sqref="N22">
    <cfRule type="expression" dxfId="381" priority="325">
      <formula>$J22="►"</formula>
    </cfRule>
  </conditionalFormatting>
  <conditionalFormatting sqref="Q22:AA22">
    <cfRule type="expression" dxfId="380" priority="324">
      <formula>Q22&lt;&gt;ROUND(Q22,2)</formula>
    </cfRule>
  </conditionalFormatting>
  <conditionalFormatting sqref="H22">
    <cfRule type="expression" dxfId="379" priority="322" stopIfTrue="1">
      <formula>$B22=1</formula>
    </cfRule>
    <cfRule type="expression" dxfId="378" priority="323" stopIfTrue="1">
      <formula>OR($B22=0,$B22=2,$B22=3,$B22=4)</formula>
    </cfRule>
  </conditionalFormatting>
  <conditionalFormatting sqref="H22">
    <cfRule type="expression" dxfId="377" priority="321">
      <formula>$J22="►S"</formula>
    </cfRule>
  </conditionalFormatting>
  <conditionalFormatting sqref="D28:G28 I28">
    <cfRule type="expression" dxfId="376" priority="247" stopIfTrue="1">
      <formula>$B28=1</formula>
    </cfRule>
    <cfRule type="expression" dxfId="375" priority="248" stopIfTrue="1">
      <formula>OR($B28=0,$B28=2,$B28=3,$B28=4)</formula>
    </cfRule>
  </conditionalFormatting>
  <conditionalFormatting sqref="M28:N28">
    <cfRule type="expression" dxfId="374" priority="249" stopIfTrue="1">
      <formula>ACOMPANHAMENTO="BM"</formula>
    </cfRule>
    <cfRule type="expression" dxfId="373" priority="250" stopIfTrue="1">
      <formula>OR($B28=0,$B28=2,$B28=3,$B28=4)</formula>
    </cfRule>
    <cfRule type="expression" dxfId="372" priority="251" stopIfTrue="1">
      <formula>$B28=1</formula>
    </cfRule>
  </conditionalFormatting>
  <conditionalFormatting sqref="N28">
    <cfRule type="expression" dxfId="371" priority="245">
      <formula>$J28="►"</formula>
    </cfRule>
  </conditionalFormatting>
  <conditionalFormatting sqref="Q28:AA28">
    <cfRule type="expression" dxfId="370" priority="244">
      <formula>Q28&lt;&gt;ROUND(Q28,2)</formula>
    </cfRule>
  </conditionalFormatting>
  <conditionalFormatting sqref="H28">
    <cfRule type="expression" dxfId="369" priority="242" stopIfTrue="1">
      <formula>$B28=1</formula>
    </cfRule>
    <cfRule type="expression" dxfId="368" priority="243" stopIfTrue="1">
      <formula>OR($B28=0,$B28=2,$B28=3,$B28=4)</formula>
    </cfRule>
  </conditionalFormatting>
  <conditionalFormatting sqref="H28">
    <cfRule type="expression" dxfId="367" priority="241">
      <formula>$J28="►S"</formula>
    </cfRule>
  </conditionalFormatting>
  <conditionalFormatting sqref="D47:G47 I47">
    <cfRule type="expression" dxfId="366" priority="231" stopIfTrue="1">
      <formula>$B47=1</formula>
    </cfRule>
    <cfRule type="expression" dxfId="365" priority="232" stopIfTrue="1">
      <formula>OR($B47=0,$B47=2,$B47=3,$B47=4)</formula>
    </cfRule>
  </conditionalFormatting>
  <conditionalFormatting sqref="M47:N47">
    <cfRule type="expression" dxfId="364" priority="233" stopIfTrue="1">
      <formula>ACOMPANHAMENTO="BM"</formula>
    </cfRule>
    <cfRule type="expression" dxfId="363" priority="234" stopIfTrue="1">
      <formula>OR($B47=0,$B47=2,$B47=3,$B47=4)</formula>
    </cfRule>
    <cfRule type="expression" dxfId="362" priority="235" stopIfTrue="1">
      <formula>$B47=1</formula>
    </cfRule>
  </conditionalFormatting>
  <conditionalFormatting sqref="N47">
    <cfRule type="expression" dxfId="361" priority="229">
      <formula>$J47="►"</formula>
    </cfRule>
  </conditionalFormatting>
  <conditionalFormatting sqref="Q47:AA47">
    <cfRule type="expression" dxfId="360" priority="228">
      <formula>Q47&lt;&gt;ROUND(Q47,2)</formula>
    </cfRule>
  </conditionalFormatting>
  <conditionalFormatting sqref="H47">
    <cfRule type="expression" dxfId="359" priority="226" stopIfTrue="1">
      <formula>$B47=1</formula>
    </cfRule>
    <cfRule type="expression" dxfId="358" priority="227" stopIfTrue="1">
      <formula>OR($B47=0,$B47=2,$B47=3,$B47=4)</formula>
    </cfRule>
  </conditionalFormatting>
  <conditionalFormatting sqref="H47">
    <cfRule type="expression" dxfId="357" priority="225">
      <formula>$J47="►S"</formula>
    </cfRule>
  </conditionalFormatting>
  <conditionalFormatting sqref="D38:G38 I38">
    <cfRule type="expression" dxfId="356" priority="183" stopIfTrue="1">
      <formula>$B38=1</formula>
    </cfRule>
    <cfRule type="expression" dxfId="355" priority="184" stopIfTrue="1">
      <formula>OR($B38=0,$B38=2,$B38=3,$B38=4)</formula>
    </cfRule>
  </conditionalFormatting>
  <conditionalFormatting sqref="M38:N38">
    <cfRule type="expression" dxfId="354" priority="185" stopIfTrue="1">
      <formula>ACOMPANHAMENTO="BM"</formula>
    </cfRule>
    <cfRule type="expression" dxfId="353" priority="186" stopIfTrue="1">
      <formula>OR($B38=0,$B38=2,$B38=3,$B38=4)</formula>
    </cfRule>
    <cfRule type="expression" dxfId="352" priority="187" stopIfTrue="1">
      <formula>$B38=1</formula>
    </cfRule>
  </conditionalFormatting>
  <conditionalFormatting sqref="N38">
    <cfRule type="expression" dxfId="351" priority="181">
      <formula>$J38="►"</formula>
    </cfRule>
  </conditionalFormatting>
  <conditionalFormatting sqref="Q38:AA38">
    <cfRule type="expression" dxfId="350" priority="180">
      <formula>Q38&lt;&gt;ROUND(Q38,2)</formula>
    </cfRule>
  </conditionalFormatting>
  <conditionalFormatting sqref="H38">
    <cfRule type="expression" dxfId="349" priority="178" stopIfTrue="1">
      <formula>$B38=1</formula>
    </cfRule>
    <cfRule type="expression" dxfId="348" priority="179" stopIfTrue="1">
      <formula>OR($B38=0,$B38=2,$B38=3,$B38=4)</formula>
    </cfRule>
  </conditionalFormatting>
  <conditionalFormatting sqref="H38">
    <cfRule type="expression" dxfId="347" priority="177">
      <formula>$J38="►S"</formula>
    </cfRule>
  </conditionalFormatting>
  <conditionalFormatting sqref="D29:G29 I29">
    <cfRule type="expression" dxfId="346" priority="167" stopIfTrue="1">
      <formula>$B29=1</formula>
    </cfRule>
    <cfRule type="expression" dxfId="345" priority="168" stopIfTrue="1">
      <formula>OR($B29=0,$B29=2,$B29=3,$B29=4)</formula>
    </cfRule>
  </conditionalFormatting>
  <conditionalFormatting sqref="M29:N29">
    <cfRule type="expression" dxfId="344" priority="169" stopIfTrue="1">
      <formula>ACOMPANHAMENTO="BM"</formula>
    </cfRule>
    <cfRule type="expression" dxfId="343" priority="170" stopIfTrue="1">
      <formula>OR($B29=0,$B29=2,$B29=3,$B29=4)</formula>
    </cfRule>
    <cfRule type="expression" dxfId="342" priority="171" stopIfTrue="1">
      <formula>$B29=1</formula>
    </cfRule>
  </conditionalFormatting>
  <conditionalFormatting sqref="N29">
    <cfRule type="expression" dxfId="341" priority="165">
      <formula>$J29="►"</formula>
    </cfRule>
  </conditionalFormatting>
  <conditionalFormatting sqref="Q29:AA29">
    <cfRule type="expression" dxfId="340" priority="164">
      <formula>Q29&lt;&gt;ROUND(Q29,2)</formula>
    </cfRule>
  </conditionalFormatting>
  <conditionalFormatting sqref="H29">
    <cfRule type="expression" dxfId="339" priority="162" stopIfTrue="1">
      <formula>$B29=1</formula>
    </cfRule>
    <cfRule type="expression" dxfId="338" priority="163" stopIfTrue="1">
      <formula>OR($B29=0,$B29=2,$B29=3,$B29=4)</formula>
    </cfRule>
  </conditionalFormatting>
  <conditionalFormatting sqref="H29">
    <cfRule type="expression" dxfId="337" priority="161">
      <formula>$J29="►S"</formula>
    </cfRule>
  </conditionalFormatting>
  <conditionalFormatting sqref="D30:G30 I30">
    <cfRule type="expression" dxfId="336" priority="151" stopIfTrue="1">
      <formula>$B30=1</formula>
    </cfRule>
    <cfRule type="expression" dxfId="335" priority="152" stopIfTrue="1">
      <formula>OR($B30=0,$B30=2,$B30=3,$B30=4)</formula>
    </cfRule>
  </conditionalFormatting>
  <conditionalFormatting sqref="M30:N30">
    <cfRule type="expression" dxfId="334" priority="153" stopIfTrue="1">
      <formula>ACOMPANHAMENTO="BM"</formula>
    </cfRule>
    <cfRule type="expression" dxfId="333" priority="154" stopIfTrue="1">
      <formula>OR($B30=0,$B30=2,$B30=3,$B30=4)</formula>
    </cfRule>
    <cfRule type="expression" dxfId="332" priority="155" stopIfTrue="1">
      <formula>$B30=1</formula>
    </cfRule>
  </conditionalFormatting>
  <conditionalFormatting sqref="N30">
    <cfRule type="expression" dxfId="331" priority="149">
      <formula>$J30="►"</formula>
    </cfRule>
  </conditionalFormatting>
  <conditionalFormatting sqref="Q30:AA30">
    <cfRule type="expression" dxfId="330" priority="148">
      <formula>Q30&lt;&gt;ROUND(Q30,2)</formula>
    </cfRule>
  </conditionalFormatting>
  <conditionalFormatting sqref="H30">
    <cfRule type="expression" dxfId="329" priority="146" stopIfTrue="1">
      <formula>$B30=1</formula>
    </cfRule>
    <cfRule type="expression" dxfId="328" priority="147" stopIfTrue="1">
      <formula>OR($B30=0,$B30=2,$B30=3,$B30=4)</formula>
    </cfRule>
  </conditionalFormatting>
  <conditionalFormatting sqref="H30">
    <cfRule type="expression" dxfId="327" priority="145">
      <formula>$J30="►S"</formula>
    </cfRule>
  </conditionalFormatting>
  <conditionalFormatting sqref="D39:G39 I39">
    <cfRule type="expression" dxfId="326" priority="103" stopIfTrue="1">
      <formula>$B39=1</formula>
    </cfRule>
    <cfRule type="expression" dxfId="325" priority="104" stopIfTrue="1">
      <formula>OR($B39=0,$B39=2,$B39=3,$B39=4)</formula>
    </cfRule>
  </conditionalFormatting>
  <conditionalFormatting sqref="M39:N39">
    <cfRule type="expression" dxfId="324" priority="105" stopIfTrue="1">
      <formula>ACOMPANHAMENTO="BM"</formula>
    </cfRule>
    <cfRule type="expression" dxfId="323" priority="106" stopIfTrue="1">
      <formula>OR($B39=0,$B39=2,$B39=3,$B39=4)</formula>
    </cfRule>
    <cfRule type="expression" dxfId="322" priority="107" stopIfTrue="1">
      <formula>$B39=1</formula>
    </cfRule>
  </conditionalFormatting>
  <conditionalFormatting sqref="N39">
    <cfRule type="expression" dxfId="321" priority="101">
      <formula>$J39="►"</formula>
    </cfRule>
  </conditionalFormatting>
  <conditionalFormatting sqref="Q39:AA39">
    <cfRule type="expression" dxfId="320" priority="100">
      <formula>Q39&lt;&gt;ROUND(Q39,2)</formula>
    </cfRule>
  </conditionalFormatting>
  <conditionalFormatting sqref="H39">
    <cfRule type="expression" dxfId="319" priority="98" stopIfTrue="1">
      <formula>$B39=1</formula>
    </cfRule>
    <cfRule type="expression" dxfId="318" priority="99" stopIfTrue="1">
      <formula>OR($B39=0,$B39=2,$B39=3,$B39=4)</formula>
    </cfRule>
  </conditionalFormatting>
  <conditionalFormatting sqref="H39">
    <cfRule type="expression" dxfId="317" priority="97">
      <formula>$J39="►S"</formula>
    </cfRule>
  </conditionalFormatting>
  <conditionalFormatting sqref="D31:G31 I31">
    <cfRule type="expression" dxfId="316" priority="87" stopIfTrue="1">
      <formula>$B31=1</formula>
    </cfRule>
    <cfRule type="expression" dxfId="315" priority="88" stopIfTrue="1">
      <formula>OR($B31=0,$B31=2,$B31=3,$B31=4)</formula>
    </cfRule>
  </conditionalFormatting>
  <conditionalFormatting sqref="M31:N31">
    <cfRule type="expression" dxfId="314" priority="89" stopIfTrue="1">
      <formula>ACOMPANHAMENTO="BM"</formula>
    </cfRule>
    <cfRule type="expression" dxfId="313" priority="90" stopIfTrue="1">
      <formula>OR($B31=0,$B31=2,$B31=3,$B31=4)</formula>
    </cfRule>
    <cfRule type="expression" dxfId="312" priority="91" stopIfTrue="1">
      <formula>$B31=1</formula>
    </cfRule>
  </conditionalFormatting>
  <conditionalFormatting sqref="N31">
    <cfRule type="expression" dxfId="311" priority="85">
      <formula>$J31="►"</formula>
    </cfRule>
  </conditionalFormatting>
  <conditionalFormatting sqref="Q31:AA31">
    <cfRule type="expression" dxfId="310" priority="84">
      <formula>Q31&lt;&gt;ROUND(Q31,2)</formula>
    </cfRule>
  </conditionalFormatting>
  <conditionalFormatting sqref="H31">
    <cfRule type="expression" dxfId="309" priority="82" stopIfTrue="1">
      <formula>$B31=1</formula>
    </cfRule>
    <cfRule type="expression" dxfId="308" priority="83" stopIfTrue="1">
      <formula>OR($B31=0,$B31=2,$B31=3,$B31=4)</formula>
    </cfRule>
  </conditionalFormatting>
  <conditionalFormatting sqref="H31">
    <cfRule type="expression" dxfId="307" priority="81">
      <formula>$J31="►S"</formula>
    </cfRule>
  </conditionalFormatting>
  <conditionalFormatting sqref="D35:G36 I35:I36">
    <cfRule type="expression" dxfId="306" priority="55" stopIfTrue="1">
      <formula>$B35=1</formula>
    </cfRule>
    <cfRule type="expression" dxfId="305" priority="56" stopIfTrue="1">
      <formula>OR($B35=0,$B35=2,$B35=3,$B35=4)</formula>
    </cfRule>
  </conditionalFormatting>
  <conditionalFormatting sqref="M35:N36">
    <cfRule type="expression" dxfId="304" priority="57" stopIfTrue="1">
      <formula>ACOMPANHAMENTO="BM"</formula>
    </cfRule>
    <cfRule type="expression" dxfId="303" priority="58" stopIfTrue="1">
      <formula>OR($B35=0,$B35=2,$B35=3,$B35=4)</formula>
    </cfRule>
    <cfRule type="expression" dxfId="302" priority="59" stopIfTrue="1">
      <formula>$B35=1</formula>
    </cfRule>
  </conditionalFormatting>
  <conditionalFormatting sqref="K35:K36">
    <cfRule type="expression" dxfId="301" priority="60" stopIfTrue="1">
      <formula>OR(ACOMPANHAMENTO="BM",$A$12&lt;&gt;"Manual")</formula>
    </cfRule>
    <cfRule type="expression" dxfId="300" priority="61" stopIfTrue="1">
      <formula>$B35=1</formula>
    </cfRule>
    <cfRule type="expression" dxfId="299" priority="62" stopIfTrue="1">
      <formula>OR($B35=2,$B35=3,$B35=4,$B35=0)</formula>
    </cfRule>
  </conditionalFormatting>
  <conditionalFormatting sqref="O35:AA36">
    <cfRule type="expression" dxfId="298" priority="54" stopIfTrue="1">
      <formula>ACOMPANHAMENTO="BM"</formula>
    </cfRule>
    <cfRule type="expression" dxfId="297" priority="63" stopIfTrue="1">
      <formula>AND(O$12&lt;&gt;".",OR($B35=0,$B35=2,$B35=3,$B35=4,AND(O$12="",$B35&lt;&gt;"Empty"),OFFSET(O$1,0,-1)=0))</formula>
    </cfRule>
    <cfRule type="expression" dxfId="296" priority="64" stopIfTrue="1">
      <formula>AND($B35=1,O$1=1)</formula>
    </cfRule>
  </conditionalFormatting>
  <conditionalFormatting sqref="N35:N36">
    <cfRule type="expression" dxfId="295" priority="53">
      <formula>$J35="►"</formula>
    </cfRule>
  </conditionalFormatting>
  <conditionalFormatting sqref="Q35:AA36">
    <cfRule type="expression" dxfId="294" priority="52">
      <formula>Q35&lt;&gt;ROUND(Q35,2)</formula>
    </cfRule>
  </conditionalFormatting>
  <conditionalFormatting sqref="H35:H36">
    <cfRule type="expression" dxfId="293" priority="50" stopIfTrue="1">
      <formula>$B35=1</formula>
    </cfRule>
    <cfRule type="expression" dxfId="292" priority="51" stopIfTrue="1">
      <formula>OR($B35=0,$B35=2,$B35=3,$B35=4)</formula>
    </cfRule>
  </conditionalFormatting>
  <conditionalFormatting sqref="H35:H36">
    <cfRule type="expression" dxfId="291" priority="49">
      <formula>$J35="►S"</formula>
    </cfRule>
  </conditionalFormatting>
  <conditionalFormatting sqref="D40:G42 I40:I42">
    <cfRule type="expression" dxfId="290" priority="39" stopIfTrue="1">
      <formula>$B40=1</formula>
    </cfRule>
    <cfRule type="expression" dxfId="289" priority="40" stopIfTrue="1">
      <formula>OR($B40=0,$B40=2,$B40=3,$B40=4)</formula>
    </cfRule>
  </conditionalFormatting>
  <conditionalFormatting sqref="M40:N42">
    <cfRule type="expression" dxfId="288" priority="41" stopIfTrue="1">
      <formula>ACOMPANHAMENTO="BM"</formula>
    </cfRule>
    <cfRule type="expression" dxfId="287" priority="42" stopIfTrue="1">
      <formula>OR($B40=0,$B40=2,$B40=3,$B40=4)</formula>
    </cfRule>
    <cfRule type="expression" dxfId="286" priority="43" stopIfTrue="1">
      <formula>$B40=1</formula>
    </cfRule>
  </conditionalFormatting>
  <conditionalFormatting sqref="K40:K42">
    <cfRule type="expression" dxfId="285" priority="44" stopIfTrue="1">
      <formula>OR(ACOMPANHAMENTO="BM",$A$12&lt;&gt;"Manual")</formula>
    </cfRule>
    <cfRule type="expression" dxfId="284" priority="45" stopIfTrue="1">
      <formula>$B40=1</formula>
    </cfRule>
    <cfRule type="expression" dxfId="283" priority="46" stopIfTrue="1">
      <formula>OR($B40=2,$B40=3,$B40=4,$B40=0)</formula>
    </cfRule>
  </conditionalFormatting>
  <conditionalFormatting sqref="O40:AA42">
    <cfRule type="expression" dxfId="282" priority="38" stopIfTrue="1">
      <formula>ACOMPANHAMENTO="BM"</formula>
    </cfRule>
    <cfRule type="expression" dxfId="281" priority="47" stopIfTrue="1">
      <formula>AND(O$12&lt;&gt;".",OR($B40=0,$B40=2,$B40=3,$B40=4,AND(O$12="",$B40&lt;&gt;"Empty"),OFFSET(O$1,0,-1)=0))</formula>
    </cfRule>
    <cfRule type="expression" dxfId="280" priority="48" stopIfTrue="1">
      <formula>AND($B40=1,O$1=1)</formula>
    </cfRule>
  </conditionalFormatting>
  <conditionalFormatting sqref="N40:N42">
    <cfRule type="expression" dxfId="279" priority="37">
      <formula>$J40="►"</formula>
    </cfRule>
  </conditionalFormatting>
  <conditionalFormatting sqref="Q40:AA42">
    <cfRule type="expression" dxfId="278" priority="36">
      <formula>Q40&lt;&gt;ROUND(Q40,2)</formula>
    </cfRule>
  </conditionalFormatting>
  <conditionalFormatting sqref="H40:H42">
    <cfRule type="expression" dxfId="277" priority="34" stopIfTrue="1">
      <formula>$B40=1</formula>
    </cfRule>
    <cfRule type="expression" dxfId="276" priority="35" stopIfTrue="1">
      <formula>OR($B40=0,$B40=2,$B40=3,$B40=4)</formula>
    </cfRule>
  </conditionalFormatting>
  <conditionalFormatting sqref="H40:H42">
    <cfRule type="expression" dxfId="275" priority="33">
      <formula>$J40="►S"</formula>
    </cfRule>
  </conditionalFormatting>
  <conditionalFormatting sqref="D32:G33 I32:I33">
    <cfRule type="expression" dxfId="274" priority="23" stopIfTrue="1">
      <formula>$B32=1</formula>
    </cfRule>
    <cfRule type="expression" dxfId="273" priority="24" stopIfTrue="1">
      <formula>OR($B32=0,$B32=2,$B32=3,$B32=4)</formula>
    </cfRule>
  </conditionalFormatting>
  <conditionalFormatting sqref="M32:N33">
    <cfRule type="expression" dxfId="272" priority="25" stopIfTrue="1">
      <formula>ACOMPANHAMENTO="BM"</formula>
    </cfRule>
    <cfRule type="expression" dxfId="271" priority="26" stopIfTrue="1">
      <formula>OR($B32=0,$B32=2,$B32=3,$B32=4)</formula>
    </cfRule>
    <cfRule type="expression" dxfId="270" priority="27" stopIfTrue="1">
      <formula>$B32=1</formula>
    </cfRule>
  </conditionalFormatting>
  <conditionalFormatting sqref="K32:K33">
    <cfRule type="expression" dxfId="269" priority="28" stopIfTrue="1">
      <formula>OR(ACOMPANHAMENTO="BM",$A$12&lt;&gt;"Manual")</formula>
    </cfRule>
    <cfRule type="expression" dxfId="268" priority="29" stopIfTrue="1">
      <formula>$B32=1</formula>
    </cfRule>
    <cfRule type="expression" dxfId="267" priority="30" stopIfTrue="1">
      <formula>OR($B32=2,$B32=3,$B32=4,$B32=0)</formula>
    </cfRule>
  </conditionalFormatting>
  <conditionalFormatting sqref="O32:AA33">
    <cfRule type="expression" dxfId="266" priority="22" stopIfTrue="1">
      <formula>ACOMPANHAMENTO="BM"</formula>
    </cfRule>
    <cfRule type="expression" dxfId="265" priority="31" stopIfTrue="1">
      <formula>AND(O$12&lt;&gt;".",OR($B32=0,$B32=2,$B32=3,$B32=4,AND(O$12="",$B32&lt;&gt;"Empty"),OFFSET(O$1,0,-1)=0))</formula>
    </cfRule>
    <cfRule type="expression" dxfId="264" priority="32" stopIfTrue="1">
      <formula>AND($B32=1,O$1=1)</formula>
    </cfRule>
  </conditionalFormatting>
  <conditionalFormatting sqref="N32:N33">
    <cfRule type="expression" dxfId="263" priority="21">
      <formula>$J32="►"</formula>
    </cfRule>
  </conditionalFormatting>
  <conditionalFormatting sqref="Q32:AA33">
    <cfRule type="expression" dxfId="262" priority="20">
      <formula>Q32&lt;&gt;ROUND(Q32,2)</formula>
    </cfRule>
  </conditionalFormatting>
  <conditionalFormatting sqref="H32:H33">
    <cfRule type="expression" dxfId="261" priority="18" stopIfTrue="1">
      <formula>$B32=1</formula>
    </cfRule>
    <cfRule type="expression" dxfId="260" priority="19" stopIfTrue="1">
      <formula>OR($B32=0,$B32=2,$B32=3,$B32=4)</formula>
    </cfRule>
  </conditionalFormatting>
  <conditionalFormatting sqref="H32:H33">
    <cfRule type="expression" dxfId="259" priority="17">
      <formula>$J32="►S"</formula>
    </cfRule>
  </conditionalFormatting>
  <conditionalFormatting sqref="D43:G44 I43:I44">
    <cfRule type="expression" dxfId="258" priority="7" stopIfTrue="1">
      <formula>$B43=1</formula>
    </cfRule>
    <cfRule type="expression" dxfId="257" priority="8" stopIfTrue="1">
      <formula>OR($B43=0,$B43=2,$B43=3,$B43=4)</formula>
    </cfRule>
  </conditionalFormatting>
  <conditionalFormatting sqref="M43:N44">
    <cfRule type="expression" dxfId="256" priority="9" stopIfTrue="1">
      <formula>ACOMPANHAMENTO="BM"</formula>
    </cfRule>
    <cfRule type="expression" dxfId="255" priority="10" stopIfTrue="1">
      <formula>OR($B43=0,$B43=2,$B43=3,$B43=4)</formula>
    </cfRule>
    <cfRule type="expression" dxfId="254" priority="11" stopIfTrue="1">
      <formula>$B43=1</formula>
    </cfRule>
  </conditionalFormatting>
  <conditionalFormatting sqref="K43:K44">
    <cfRule type="expression" dxfId="253" priority="12" stopIfTrue="1">
      <formula>OR(ACOMPANHAMENTO="BM",$A$12&lt;&gt;"Manual")</formula>
    </cfRule>
    <cfRule type="expression" dxfId="252" priority="13" stopIfTrue="1">
      <formula>$B43=1</formula>
    </cfRule>
    <cfRule type="expression" dxfId="251" priority="14" stopIfTrue="1">
      <formula>OR($B43=2,$B43=3,$B43=4,$B43=0)</formula>
    </cfRule>
  </conditionalFormatting>
  <conditionalFormatting sqref="O43:AA44">
    <cfRule type="expression" dxfId="250" priority="6" stopIfTrue="1">
      <formula>ACOMPANHAMENTO="BM"</formula>
    </cfRule>
    <cfRule type="expression" dxfId="249" priority="15" stopIfTrue="1">
      <formula>AND(O$12&lt;&gt;".",OR($B43=0,$B43=2,$B43=3,$B43=4,AND(O$12="",$B43&lt;&gt;"Empty"),OFFSET(O$1,0,-1)=0))</formula>
    </cfRule>
    <cfRule type="expression" dxfId="248" priority="16" stopIfTrue="1">
      <formula>AND($B43=1,O$1=1)</formula>
    </cfRule>
  </conditionalFormatting>
  <conditionalFormatting sqref="N43:N44">
    <cfRule type="expression" dxfId="247" priority="5">
      <formula>$J43="►"</formula>
    </cfRule>
  </conditionalFormatting>
  <conditionalFormatting sqref="Q43:AA44">
    <cfRule type="expression" dxfId="246" priority="4">
      <formula>Q43&lt;&gt;ROUND(Q43,2)</formula>
    </cfRule>
  </conditionalFormatting>
  <conditionalFormatting sqref="H43:H44">
    <cfRule type="expression" dxfId="245" priority="2" stopIfTrue="1">
      <formula>$B43=1</formula>
    </cfRule>
    <cfRule type="expression" dxfId="244" priority="3" stopIfTrue="1">
      <formula>OR($B43=0,$B43=2,$B43=3,$B43=4)</formula>
    </cfRule>
  </conditionalFormatting>
  <conditionalFormatting sqref="H43:H44">
    <cfRule type="expression" dxfId="243" priority="1">
      <formula>$J43="►S"</formula>
    </cfRule>
  </conditionalFormatting>
  <dataValidations count="4">
    <dataValidation type="decimal" operator="greaterThan" allowBlank="1" showErrorMessage="1" error="Apenas números decimais maiores que zero." sqref="O14 Q14:Z14 O16:O47 Q16:Z47"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7"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7"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IF(AUTOEVENTO="Manual",IF(EVENTOS!$F1&gt;0,"F",""),IF(AND(B1&gt;0,B1&lt;=MAX(CÁLCULO!$M$15:$M$48)),"F",""))</f>
        <v>#REF!</v>
      </c>
      <c r="B1" s="247" t="e">
        <f ca="1">OFFSET(B1,-1,0)+1</f>
        <v>#REF!</v>
      </c>
      <c r="C1" s="514" t="e">
        <f ca="1">IF(AUTOEVENTO="Manual",IF($B1&gt;0,OFFSET(EVENTOS!$D$15,$B1-$B$15,0),0),IF(B1&lt;=MAX(CÁLCULO!$M$15:$M$48),VLOOKUP($B1,CÁLCULO!$M$15:$N$48,2,FALSE),0))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f>Import.Proponente</f>
        <v>0</v>
      </c>
      <c r="C5" s="703"/>
      <c r="D5" s="703"/>
      <c r="G5" s="716">
        <f>Import.CR</f>
        <v>0</v>
      </c>
      <c r="H5" s="716"/>
      <c r="I5" s="716"/>
      <c r="J5" s="716">
        <f>Import.SICONV</f>
        <v>0</v>
      </c>
      <c r="K5" s="716"/>
      <c r="L5" s="716"/>
      <c r="M5" s="725" t="str">
        <f>Import.Apelido</f>
        <v xml:space="preserve">Ponte Herminio Gonçalves </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IF(MAX($B$14:$B$65)&lt;MAX(CÁLCULO!$M$15:$M$48),"ERRO: NÚMERO DE EVENTOS INSUFICIENTE, CLIQUE EM ATUALIZAR LINHAS",
  IF(ROUND(OFFSET(CRONO!$AG$39,0,-1),2)&lt;&gt;CRONO!$R$30,"ERRO: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32"/>
      <c r="C8" s="733"/>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MATCH(VALUE(A8),CÁLCULO!$M$15:$M$48,0)-2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IF(AUTOEVENTO="Manual",IF(EVENTOS!$F15&gt;0,"F",""),IF(AND(B15&gt;0,B15&lt;=MAX(CÁLCULO!$M$15:$M$48)),"F",""))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IF(AUTOEVENTO="Manual",IF(EVENTOS!$F16&gt;0,"F",""),IF(AND(B16&gt;0,B16&lt;=MAX(CÁLCULO!$M$15:$M$48)),"F",""))</f>
        <v>F</v>
      </c>
      <c r="B16" s="247">
        <f t="shared" ref="B16:B64" ca="1" si="1">OFFSET(B16,-1,0)+1</f>
        <v>1</v>
      </c>
      <c r="C16" s="514" t="str">
        <f ca="1">IF(AUTOEVENTO="Manual",IF($B16&gt;0,OFFSET(EVENTOS!$D$15,$B16-$B$15,0),0),IF(B16&lt;=MAX(CÁLCULO!$M$15:$M$48),VLOOKUP($B16,CÁLCULO!$M$15:$N$48,2,FALSE),0))</f>
        <v>ADMINISTRAÇÃO E SERVIÇOS PRELIMINARES</v>
      </c>
      <c r="D16" s="554"/>
      <c r="E16" s="248"/>
      <c r="F16" t="str">
        <f t="shared" ref="F16:F64" ca="1" si="2">IF($C16=0,"",CONCATENATE($B16,". ",$C16))</f>
        <v>1. ADMINISTRAÇÃO E SERVIÇOS PRELIMINARES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IF(AUTOEVENTO="Manual",IF(EVENTOS!$F17&gt;0,"F",""),IF(AND(B17&gt;0,B17&lt;=MAX(CÁLCULO!$M$15:$M$48)),"F",""))</f>
        <v>F</v>
      </c>
      <c r="B17" s="247">
        <f t="shared" ca="1" si="1"/>
        <v>2</v>
      </c>
      <c r="C17" s="514" t="str">
        <f ca="1">IF(AUTOEVENTO="Manual",IF($B17&gt;0,OFFSET(EVENTOS!$D$15,$B17-$B$15,0),0),IF(B17&lt;=MAX(CÁLCULO!$M$15:$M$48),VLOOKUP($B17,CÁLCULO!$M$15:$N$48,2,FALSE),0))</f>
        <v>ALAS E CONTENÇÃO</v>
      </c>
      <c r="D17" s="554"/>
      <c r="E17" s="248"/>
      <c r="F17" t="str">
        <f t="shared" ca="1" si="2"/>
        <v>2. ALAS E CONTENÇÃO</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IF(AUTOEVENTO="Manual",IF(EVENTOS!$F18&gt;0,"F",""),IF(AND(B18&gt;0,B18&lt;=MAX(CÁLCULO!$M$15:$M$48)),"F",""))</f>
        <v>F</v>
      </c>
      <c r="B18" s="247">
        <f t="shared" ca="1" si="1"/>
        <v>3</v>
      </c>
      <c r="C18" s="514" t="str">
        <f ca="1">IF(AUTOEVENTO="Manual",IF($B18&gt;0,OFFSET(EVENTOS!$D$15,$B18-$B$15,0),0),IF(B18&lt;=MAX(CÁLCULO!$M$15:$M$48),VLOOKUP($B18,CÁLCULO!$M$15:$N$48,2,FALSE),0))</f>
        <v>VIGAS CABECEIRAS</v>
      </c>
      <c r="D18" s="554"/>
      <c r="E18" s="248"/>
      <c r="F18" t="str">
        <f t="shared" ca="1" si="2"/>
        <v>3. VIGAS CABECEIRAS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IF(AUTOEVENTO="Manual",IF(EVENTOS!$F19&gt;0,"F",""),IF(AND(B19&gt;0,B19&lt;=MAX(CÁLCULO!$M$15:$M$48)),"F",""))</f>
        <v>F</v>
      </c>
      <c r="B19" s="247">
        <f t="shared" ca="1" si="1"/>
        <v>4</v>
      </c>
      <c r="C19" s="514" t="str">
        <f ca="1">IF(AUTOEVENTO="Manual",IF($B19&gt;0,OFFSET(EVENTOS!$D$15,$B19-$B$15,0),0),IF(B19&lt;=MAX(CÁLCULO!$M$15:$M$48),VLOOKUP($B19,CÁLCULO!$M$15:$N$48,2,FALSE),0))</f>
        <v>SINALIZAÇÃO</v>
      </c>
      <c r="D19" s="554"/>
      <c r="E19" s="248"/>
      <c r="F19" t="str">
        <f t="shared" ca="1" si="2"/>
        <v>4. SINALIZAÇÃO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IF(AUTOEVENTO="Manual",IF(EVENTOS!$F20&gt;0,"F",""),IF(AND(B20&gt;0,B20&lt;=MAX(CÁLCULO!$M$15:$M$48)),"F",""))</f>
        <v/>
      </c>
      <c r="B20" s="247">
        <f t="shared" ca="1" si="1"/>
        <v>5</v>
      </c>
      <c r="C20" s="514">
        <f ca="1">IF(AUTOEVENTO="Manual",IF($B20&gt;0,OFFSET(EVENTOS!$D$15,$B20-$B$15,0),0),IF(B20&lt;=MAX(CÁLCULO!$M$15:$M$48),VLOOKUP($B20,CÁLCULO!$M$15:$N$48,2,FALSE),0))</f>
        <v>0</v>
      </c>
      <c r="D20" s="554"/>
      <c r="E20" s="248"/>
      <c r="F20" t="str">
        <f t="shared" ca="1" si="2"/>
        <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IF(AUTOEVENTO="Manual",IF(EVENTOS!$F21&gt;0,"F",""),IF(AND(B21&gt;0,B21&lt;=MAX(CÁLCULO!$M$15:$M$48)),"F",""))</f>
        <v/>
      </c>
      <c r="B21" s="247">
        <f t="shared" ca="1" si="1"/>
        <v>6</v>
      </c>
      <c r="C21" s="514">
        <f ca="1">IF(AUTOEVENTO="Manual",IF($B21&gt;0,OFFSET(EVENTOS!$D$15,$B21-$B$15,0),0),IF(B21&lt;=MAX(CÁLCULO!$M$15:$M$48),VLOOKUP($B21,CÁLCULO!$M$15:$N$48,2,FALSE),0))</f>
        <v>0</v>
      </c>
      <c r="D21" s="554"/>
      <c r="E21" s="248"/>
      <c r="F21"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IF(AUTOEVENTO="Manual",IF(EVENTOS!$F22&gt;0,"F",""),IF(AND(B22&gt;0,B22&lt;=MAX(CÁLCULO!$M$15:$M$48)),"F",""))</f>
        <v/>
      </c>
      <c r="B22" s="247">
        <f t="shared" ca="1" si="1"/>
        <v>7</v>
      </c>
      <c r="C22" s="514">
        <f ca="1">IF(AUTOEVENTO="Manual",IF($B22&gt;0,OFFSET(EVENTOS!$D$15,$B22-$B$15,0),0),IF(B22&lt;=MAX(CÁLCULO!$M$15:$M$48),VLOOKUP($B22,CÁLCULO!$M$15:$N$48,2,FALSE),0))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IF(AUTOEVENTO="Manual",IF(EVENTOS!$F23&gt;0,"F",""),IF(AND(B23&gt;0,B23&lt;=MAX(CÁLCULO!$M$15:$M$48)),"F",""))</f>
        <v/>
      </c>
      <c r="B23" s="247">
        <f t="shared" ca="1" si="1"/>
        <v>8</v>
      </c>
      <c r="C23" s="514">
        <f ca="1">IF(AUTOEVENTO="Manual",IF($B23&gt;0,OFFSET(EVENTOS!$D$15,$B23-$B$15,0),0),IF(B23&lt;=MAX(CÁLCULO!$M$15:$M$48),VLOOKUP($B23,CÁLCULO!$M$15:$N$48,2,FALSE),0))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IF(AUTOEVENTO="Manual",IF(EVENTOS!$F24&gt;0,"F",""),IF(AND(B24&gt;0,B24&lt;=MAX(CÁLCULO!$M$15:$M$48)),"F",""))</f>
        <v/>
      </c>
      <c r="B24" s="247">
        <f t="shared" ca="1" si="1"/>
        <v>9</v>
      </c>
      <c r="C24" s="514">
        <f ca="1">IF(AUTOEVENTO="Manual",IF($B24&gt;0,OFFSET(EVENTOS!$D$15,$B24-$B$15,0),0),IF(B24&lt;=MAX(CÁLCULO!$M$15:$M$48),VLOOKUP($B24,CÁLCULO!$M$15:$N$48,2,FALSE),0))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IF(AUTOEVENTO="Manual",IF(EVENTOS!$F25&gt;0,"F",""),IF(AND(B25&gt;0,B25&lt;=MAX(CÁLCULO!$M$15:$M$48)),"F",""))</f>
        <v/>
      </c>
      <c r="B25" s="247">
        <f t="shared" ca="1" si="1"/>
        <v>10</v>
      </c>
      <c r="C25" s="514">
        <f ca="1">IF(AUTOEVENTO="Manual",IF($B25&gt;0,OFFSET(EVENTOS!$D$15,$B25-$B$15,0),0),IF(B25&lt;=MAX(CÁLCULO!$M$15:$M$48),VLOOKUP($B25,CÁLCULO!$M$15:$N$48,2,FALSE),0))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IF(AUTOEVENTO="Manual",IF(EVENTOS!$F26&gt;0,"F",""),IF(AND(B26&gt;0,B26&lt;=MAX(CÁLCULO!$M$15:$M$48)),"F",""))</f>
        <v/>
      </c>
      <c r="B26" s="247">
        <f t="shared" ca="1" si="1"/>
        <v>11</v>
      </c>
      <c r="C26" s="514">
        <f ca="1">IF(AUTOEVENTO="Manual",IF($B26&gt;0,OFFSET(EVENTOS!$D$15,$B26-$B$15,0),0),IF(B26&lt;=MAX(CÁLCULO!$M$15:$M$48),VLOOKUP($B26,CÁLCULO!$M$15:$N$48,2,FALSE),0))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IF(AUTOEVENTO="Manual",IF(EVENTOS!$F27&gt;0,"F",""),IF(AND(B27&gt;0,B27&lt;=MAX(CÁLCULO!$M$15:$M$48)),"F",""))</f>
        <v/>
      </c>
      <c r="B27" s="247">
        <f t="shared" ca="1" si="1"/>
        <v>12</v>
      </c>
      <c r="C27" s="514">
        <f ca="1">IF(AUTOEVENTO="Manual",IF($B27&gt;0,OFFSET(EVENTOS!$D$15,$B27-$B$15,0),0),IF(B27&lt;=MAX(CÁLCULO!$M$15:$M$48),VLOOKUP($B27,CÁLCULO!$M$15:$N$48,2,FALSE),0))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IF(AUTOEVENTO="Manual",IF(EVENTOS!$F28&gt;0,"F",""),IF(AND(B28&gt;0,B28&lt;=MAX(CÁLCULO!$M$15:$M$48)),"F",""))</f>
        <v/>
      </c>
      <c r="B28" s="247">
        <f t="shared" ca="1" si="1"/>
        <v>13</v>
      </c>
      <c r="C28" s="514">
        <f ca="1">IF(AUTOEVENTO="Manual",IF($B28&gt;0,OFFSET(EVENTOS!$D$15,$B28-$B$15,0),0),IF(B28&lt;=MAX(CÁLCULO!$M$15:$M$48),VLOOKUP($B28,CÁLCULO!$M$15:$N$48,2,FALSE),0))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IF(AUTOEVENTO="Manual",IF(EVENTOS!$F29&gt;0,"F",""),IF(AND(B29&gt;0,B29&lt;=MAX(CÁLCULO!$M$15:$M$48)),"F",""))</f>
        <v/>
      </c>
      <c r="B29" s="247">
        <f t="shared" ca="1" si="1"/>
        <v>14</v>
      </c>
      <c r="C29" s="514">
        <f ca="1">IF(AUTOEVENTO="Manual",IF($B29&gt;0,OFFSET(EVENTOS!$D$15,$B29-$B$15,0),0),IF(B29&lt;=MAX(CÁLCULO!$M$15:$M$48),VLOOKUP($B29,CÁLCULO!$M$15:$N$48,2,FALSE),0))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IF(AUTOEVENTO="Manual",IF(EVENTOS!$F30&gt;0,"F",""),IF(AND(B30&gt;0,B30&lt;=MAX(CÁLCULO!$M$15:$M$48)),"F",""))</f>
        <v/>
      </c>
      <c r="B30" s="247">
        <f t="shared" ca="1" si="1"/>
        <v>15</v>
      </c>
      <c r="C30" s="514">
        <f ca="1">IF(AUTOEVENTO="Manual",IF($B30&gt;0,OFFSET(EVENTOS!$D$15,$B30-$B$15,0),0),IF(B30&lt;=MAX(CÁLCULO!$M$15:$M$48),VLOOKUP($B30,CÁLCULO!$M$15:$N$48,2,FALSE),0))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IF(AUTOEVENTO="Manual",IF(EVENTOS!$F31&gt;0,"F",""),IF(AND(B31&gt;0,B31&lt;=MAX(CÁLCULO!$M$15:$M$48)),"F",""))</f>
        <v/>
      </c>
      <c r="B31" s="247">
        <f t="shared" ca="1" si="1"/>
        <v>16</v>
      </c>
      <c r="C31" s="514">
        <f ca="1">IF(AUTOEVENTO="Manual",IF($B31&gt;0,OFFSET(EVENTOS!$D$15,$B31-$B$15,0),0),IF(B31&lt;=MAX(CÁLCULO!$M$15:$M$48),VLOOKUP($B31,CÁLCULO!$M$15:$N$48,2,FALSE),0))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IF(AUTOEVENTO="Manual",IF(EVENTOS!$F32&gt;0,"F",""),IF(AND(B32&gt;0,B32&lt;=MAX(CÁLCULO!$M$15:$M$48)),"F",""))</f>
        <v/>
      </c>
      <c r="B32" s="247">
        <f t="shared" ca="1" si="1"/>
        <v>17</v>
      </c>
      <c r="C32" s="514">
        <f ca="1">IF(AUTOEVENTO="Manual",IF($B32&gt;0,OFFSET(EVENTOS!$D$15,$B32-$B$15,0),0),IF(B32&lt;=MAX(CÁLCULO!$M$15:$M$48),VLOOKUP($B32,CÁLCULO!$M$15:$N$48,2,FALSE),0))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IF(AUTOEVENTO="Manual",IF(EVENTOS!$F33&gt;0,"F",""),IF(AND(B33&gt;0,B33&lt;=MAX(CÁLCULO!$M$15:$M$48)),"F",""))</f>
        <v/>
      </c>
      <c r="B33" s="247">
        <f t="shared" ca="1" si="1"/>
        <v>18</v>
      </c>
      <c r="C33" s="514">
        <f ca="1">IF(AUTOEVENTO="Manual",IF($B33&gt;0,OFFSET(EVENTOS!$D$15,$B33-$B$15,0),0),IF(B33&lt;=MAX(CÁLCULO!$M$15:$M$48),VLOOKUP($B33,CÁLCULO!$M$15:$N$48,2,FALSE),0))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IF(AUTOEVENTO="Manual",IF(EVENTOS!$F34&gt;0,"F",""),IF(AND(B34&gt;0,B34&lt;=MAX(CÁLCULO!$M$15:$M$48)),"F",""))</f>
        <v/>
      </c>
      <c r="B34" s="247">
        <f t="shared" ca="1" si="1"/>
        <v>19</v>
      </c>
      <c r="C34" s="514">
        <f ca="1">IF(AUTOEVENTO="Manual",IF($B34&gt;0,OFFSET(EVENTOS!$D$15,$B34-$B$15,0),0),IF(B34&lt;=MAX(CÁLCULO!$M$15:$M$48),VLOOKUP($B34,CÁLCULO!$M$15:$N$48,2,FALSE),0))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IF(AUTOEVENTO="Manual",IF(EVENTOS!$F35&gt;0,"F",""),IF(AND(B35&gt;0,B35&lt;=MAX(CÁLCULO!$M$15:$M$48)),"F",""))</f>
        <v/>
      </c>
      <c r="B35" s="247">
        <f t="shared" ca="1" si="1"/>
        <v>20</v>
      </c>
      <c r="C35" s="514">
        <f ca="1">IF(AUTOEVENTO="Manual",IF($B35&gt;0,OFFSET(EVENTOS!$D$15,$B35-$B$15,0),0),IF(B35&lt;=MAX(CÁLCULO!$M$15:$M$48),VLOOKUP($B35,CÁLCULO!$M$15:$N$48,2,FALSE),0))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IF(AUTOEVENTO="Manual",IF(EVENTOS!$F36&gt;0,"F",""),IF(AND(B36&gt;0,B36&lt;=MAX(CÁLCULO!$M$15:$M$48)),"F",""))</f>
        <v/>
      </c>
      <c r="B36" s="247">
        <f t="shared" ca="1" si="1"/>
        <v>21</v>
      </c>
      <c r="C36" s="514">
        <f ca="1">IF(AUTOEVENTO="Manual",IF($B36&gt;0,OFFSET(EVENTOS!$D$15,$B36-$B$15,0),0),IF(B36&lt;=MAX(CÁLCULO!$M$15:$M$48),VLOOKUP($B36,CÁLCULO!$M$15:$N$48,2,FALSE),0))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IF(AUTOEVENTO="Manual",IF(EVENTOS!$F37&gt;0,"F",""),IF(AND(B37&gt;0,B37&lt;=MAX(CÁLCULO!$M$15:$M$48)),"F",""))</f>
        <v/>
      </c>
      <c r="B37" s="247">
        <f t="shared" ca="1" si="1"/>
        <v>22</v>
      </c>
      <c r="C37" s="514">
        <f ca="1">IF(AUTOEVENTO="Manual",IF($B37&gt;0,OFFSET(EVENTOS!$D$15,$B37-$B$15,0),0),IF(B37&lt;=MAX(CÁLCULO!$M$15:$M$48),VLOOKUP($B37,CÁLCULO!$M$15:$N$48,2,FALSE),0))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IF(AUTOEVENTO="Manual",IF(EVENTOS!$F38&gt;0,"F",""),IF(AND(B38&gt;0,B38&lt;=MAX(CÁLCULO!$M$15:$M$48)),"F",""))</f>
        <v/>
      </c>
      <c r="B38" s="247">
        <f t="shared" ca="1" si="1"/>
        <v>23</v>
      </c>
      <c r="C38" s="514">
        <f ca="1">IF(AUTOEVENTO="Manual",IF($B38&gt;0,OFFSET(EVENTOS!$D$15,$B38-$B$15,0),0),IF(B38&lt;=MAX(CÁLCULO!$M$15:$M$48),VLOOKUP($B38,CÁLCULO!$M$15:$N$48,2,FALSE),0))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IF(AUTOEVENTO="Manual",IF(EVENTOS!$F39&gt;0,"F",""),IF(AND(B39&gt;0,B39&lt;=MAX(CÁLCULO!$M$15:$M$48)),"F",""))</f>
        <v/>
      </c>
      <c r="B39" s="247">
        <f t="shared" ca="1" si="1"/>
        <v>24</v>
      </c>
      <c r="C39" s="514">
        <f ca="1">IF(AUTOEVENTO="Manual",IF($B39&gt;0,OFFSET(EVENTOS!$D$15,$B39-$B$15,0),0),IF(B39&lt;=MAX(CÁLCULO!$M$15:$M$48),VLOOKUP($B39,CÁLCULO!$M$15:$N$48,2,FALSE),0))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IF(AUTOEVENTO="Manual",IF(EVENTOS!$F40&gt;0,"F",""),IF(AND(B40&gt;0,B40&lt;=MAX(CÁLCULO!$M$15:$M$48)),"F",""))</f>
        <v/>
      </c>
      <c r="B40" s="247">
        <f t="shared" ca="1" si="1"/>
        <v>25</v>
      </c>
      <c r="C40" s="514">
        <f ca="1">IF(AUTOEVENTO="Manual",IF($B40&gt;0,OFFSET(EVENTOS!$D$15,$B40-$B$15,0),0),IF(B40&lt;=MAX(CÁLCULO!$M$15:$M$48),VLOOKUP($B40,CÁLCULO!$M$15:$N$48,2,FALSE),0))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IF(AUTOEVENTO="Manual",IF(EVENTOS!$F41&gt;0,"F",""),IF(AND(B41&gt;0,B41&lt;=MAX(CÁLCULO!$M$15:$M$48)),"F",""))</f>
        <v/>
      </c>
      <c r="B41" s="247">
        <f t="shared" ca="1" si="1"/>
        <v>26</v>
      </c>
      <c r="C41" s="514">
        <f ca="1">IF(AUTOEVENTO="Manual",IF($B41&gt;0,OFFSET(EVENTOS!$D$15,$B41-$B$15,0),0),IF(B41&lt;=MAX(CÁLCULO!$M$15:$M$48),VLOOKUP($B41,CÁLCULO!$M$15:$N$48,2,FALSE),0))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IF(AUTOEVENTO="Manual",IF(EVENTOS!$F42&gt;0,"F",""),IF(AND(B42&gt;0,B42&lt;=MAX(CÁLCULO!$M$15:$M$48)),"F",""))</f>
        <v/>
      </c>
      <c r="B42" s="247">
        <f t="shared" ca="1" si="1"/>
        <v>27</v>
      </c>
      <c r="C42" s="514">
        <f ca="1">IF(AUTOEVENTO="Manual",IF($B42&gt;0,OFFSET(EVENTOS!$D$15,$B42-$B$15,0),0),IF(B42&lt;=MAX(CÁLCULO!$M$15:$M$48),VLOOKUP($B42,CÁLCULO!$M$15:$N$48,2,FALSE),0))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IF(AUTOEVENTO="Manual",IF(EVENTOS!$F43&gt;0,"F",""),IF(AND(B43&gt;0,B43&lt;=MAX(CÁLCULO!$M$15:$M$48)),"F",""))</f>
        <v/>
      </c>
      <c r="B43" s="247">
        <f t="shared" ca="1" si="1"/>
        <v>28</v>
      </c>
      <c r="C43" s="514">
        <f ca="1">IF(AUTOEVENTO="Manual",IF($B43&gt;0,OFFSET(EVENTOS!$D$15,$B43-$B$15,0),0),IF(B43&lt;=MAX(CÁLCULO!$M$15:$M$48),VLOOKUP($B43,CÁLCULO!$M$15:$N$48,2,FALSE),0))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IF(AUTOEVENTO="Manual",IF(EVENTOS!$F44&gt;0,"F",""),IF(AND(B44&gt;0,B44&lt;=MAX(CÁLCULO!$M$15:$M$48)),"F",""))</f>
        <v/>
      </c>
      <c r="B44" s="247">
        <f t="shared" ca="1" si="1"/>
        <v>29</v>
      </c>
      <c r="C44" s="514">
        <f ca="1">IF(AUTOEVENTO="Manual",IF($B44&gt;0,OFFSET(EVENTOS!$D$15,$B44-$B$15,0),0),IF(B44&lt;=MAX(CÁLCULO!$M$15:$M$48),VLOOKUP($B44,CÁLCULO!$M$15:$N$48,2,FALSE),0))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IF(AUTOEVENTO="Manual",IF(EVENTOS!$F45&gt;0,"F",""),IF(AND(B45&gt;0,B45&lt;=MAX(CÁLCULO!$M$15:$M$48)),"F",""))</f>
        <v/>
      </c>
      <c r="B45" s="247">
        <f t="shared" ca="1" si="1"/>
        <v>30</v>
      </c>
      <c r="C45" s="514">
        <f ca="1">IF(AUTOEVENTO="Manual",IF($B45&gt;0,OFFSET(EVENTOS!$D$15,$B45-$B$15,0),0),IF(B45&lt;=MAX(CÁLCULO!$M$15:$M$48),VLOOKUP($B45,CÁLCULO!$M$15:$N$48,2,FALSE),0))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IF(AUTOEVENTO="Manual",IF(EVENTOS!$F46&gt;0,"F",""),IF(AND(B46&gt;0,B46&lt;=MAX(CÁLCULO!$M$15:$M$48)),"F",""))</f>
        <v/>
      </c>
      <c r="B46" s="247">
        <f t="shared" ca="1" si="1"/>
        <v>31</v>
      </c>
      <c r="C46" s="514">
        <f ca="1">IF(AUTOEVENTO="Manual",IF($B46&gt;0,OFFSET(EVENTOS!$D$15,$B46-$B$15,0),0),IF(B46&lt;=MAX(CÁLCULO!$M$15:$M$48),VLOOKUP($B46,CÁLCULO!$M$15:$N$48,2,FALSE),0))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IF(AUTOEVENTO="Manual",IF(EVENTOS!$F47&gt;0,"F",""),IF(AND(B47&gt;0,B47&lt;=MAX(CÁLCULO!$M$15:$M$48)),"F",""))</f>
        <v/>
      </c>
      <c r="B47" s="247">
        <f t="shared" ca="1" si="1"/>
        <v>32</v>
      </c>
      <c r="C47" s="514">
        <f ca="1">IF(AUTOEVENTO="Manual",IF($B47&gt;0,OFFSET(EVENTOS!$D$15,$B47-$B$15,0),0),IF(B47&lt;=MAX(CÁLCULO!$M$15:$M$48),VLOOKUP($B47,CÁLCULO!$M$15:$N$48,2,FALSE),0))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IF(AUTOEVENTO="Manual",IF(EVENTOS!$F48&gt;0,"F",""),IF(AND(B48&gt;0,B48&lt;=MAX(CÁLCULO!$M$15:$M$48)),"F",""))</f>
        <v/>
      </c>
      <c r="B48" s="247">
        <f t="shared" ca="1" si="1"/>
        <v>33</v>
      </c>
      <c r="C48" s="514">
        <f ca="1">IF(AUTOEVENTO="Manual",IF($B48&gt;0,OFFSET(EVENTOS!$D$15,$B48-$B$15,0),0),IF(B48&lt;=MAX(CÁLCULO!$M$15:$M$48),VLOOKUP($B48,CÁLCULO!$M$15:$N$48,2,FALSE),0))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IF(AUTOEVENTO="Manual",IF(EVENTOS!$F49&gt;0,"F",""),IF(AND(B49&gt;0,B49&lt;=MAX(CÁLCULO!$M$15:$M$48)),"F",""))</f>
        <v/>
      </c>
      <c r="B49" s="247">
        <f t="shared" ca="1" si="1"/>
        <v>34</v>
      </c>
      <c r="C49" s="514">
        <f ca="1">IF(AUTOEVENTO="Manual",IF($B49&gt;0,OFFSET(EVENTOS!$D$15,$B49-$B$15,0),0),IF(B49&lt;=MAX(CÁLCULO!$M$15:$M$48),VLOOKUP($B49,CÁLCULO!$M$15:$N$48,2,FALSE),0))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IF(AUTOEVENTO="Manual",IF(EVENTOS!$F50&gt;0,"F",""),IF(AND(B50&gt;0,B50&lt;=MAX(CÁLCULO!$M$15:$M$48)),"F",""))</f>
        <v/>
      </c>
      <c r="B50" s="247">
        <f t="shared" ca="1" si="1"/>
        <v>35</v>
      </c>
      <c r="C50" s="514">
        <f ca="1">IF(AUTOEVENTO="Manual",IF($B50&gt;0,OFFSET(EVENTOS!$D$15,$B50-$B$15,0),0),IF(B50&lt;=MAX(CÁLCULO!$M$15:$M$48),VLOOKUP($B50,CÁLCULO!$M$15:$N$48,2,FALSE),0))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IF(AUTOEVENTO="Manual",IF(EVENTOS!$F51&gt;0,"F",""),IF(AND(B51&gt;0,B51&lt;=MAX(CÁLCULO!$M$15:$M$48)),"F",""))</f>
        <v/>
      </c>
      <c r="B51" s="247">
        <f t="shared" ca="1" si="1"/>
        <v>36</v>
      </c>
      <c r="C51" s="514">
        <f ca="1">IF(AUTOEVENTO="Manual",IF($B51&gt;0,OFFSET(EVENTOS!$D$15,$B51-$B$15,0),0),IF(B51&lt;=MAX(CÁLCULO!$M$15:$M$48),VLOOKUP($B51,CÁLCULO!$M$15:$N$48,2,FALSE),0))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IF(AUTOEVENTO="Manual",IF(EVENTOS!$F52&gt;0,"F",""),IF(AND(B52&gt;0,B52&lt;=MAX(CÁLCULO!$M$15:$M$48)),"F",""))</f>
        <v/>
      </c>
      <c r="B52" s="247">
        <f t="shared" ca="1" si="1"/>
        <v>37</v>
      </c>
      <c r="C52" s="514">
        <f ca="1">IF(AUTOEVENTO="Manual",IF($B52&gt;0,OFFSET(EVENTOS!$D$15,$B52-$B$15,0),0),IF(B52&lt;=MAX(CÁLCULO!$M$15:$M$48),VLOOKUP($B52,CÁLCULO!$M$15:$N$48,2,FALSE),0))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IF(AUTOEVENTO="Manual",IF(EVENTOS!$F53&gt;0,"F",""),IF(AND(B53&gt;0,B53&lt;=MAX(CÁLCULO!$M$15:$M$48)),"F",""))</f>
        <v/>
      </c>
      <c r="B53" s="247">
        <f t="shared" ca="1" si="1"/>
        <v>38</v>
      </c>
      <c r="C53" s="514">
        <f ca="1">IF(AUTOEVENTO="Manual",IF($B53&gt;0,OFFSET(EVENTOS!$D$15,$B53-$B$15,0),0),IF(B53&lt;=MAX(CÁLCULO!$M$15:$M$48),VLOOKUP($B53,CÁLCULO!$M$15:$N$48,2,FALSE),0))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IF(AUTOEVENTO="Manual",IF(EVENTOS!$F54&gt;0,"F",""),IF(AND(B54&gt;0,B54&lt;=MAX(CÁLCULO!$M$15:$M$48)),"F",""))</f>
        <v/>
      </c>
      <c r="B54" s="247">
        <f t="shared" ca="1" si="1"/>
        <v>39</v>
      </c>
      <c r="C54" s="514">
        <f ca="1">IF(AUTOEVENTO="Manual",IF($B54&gt;0,OFFSET(EVENTOS!$D$15,$B54-$B$15,0),0),IF(B54&lt;=MAX(CÁLCULO!$M$15:$M$48),VLOOKUP($B54,CÁLCULO!$M$15:$N$48,2,FALSE),0))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IF(AUTOEVENTO="Manual",IF(EVENTOS!$F55&gt;0,"F",""),IF(AND(B55&gt;0,B55&lt;=MAX(CÁLCULO!$M$15:$M$48)),"F",""))</f>
        <v/>
      </c>
      <c r="B55" s="247">
        <f t="shared" ca="1" si="1"/>
        <v>40</v>
      </c>
      <c r="C55" s="514">
        <f ca="1">IF(AUTOEVENTO="Manual",IF($B55&gt;0,OFFSET(EVENTOS!$D$15,$B55-$B$15,0),0),IF(B55&lt;=MAX(CÁLCULO!$M$15:$M$48),VLOOKUP($B55,CÁLCULO!$M$15:$N$48,2,FALSE),0))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IF(AUTOEVENTO="Manual",IF(EVENTOS!$F56&gt;0,"F",""),IF(AND(B56&gt;0,B56&lt;=MAX(CÁLCULO!$M$15:$M$48)),"F",""))</f>
        <v/>
      </c>
      <c r="B56" s="247">
        <f t="shared" ca="1" si="1"/>
        <v>41</v>
      </c>
      <c r="C56" s="514">
        <f ca="1">IF(AUTOEVENTO="Manual",IF($B56&gt;0,OFFSET(EVENTOS!$D$15,$B56-$B$15,0),0),IF(B56&lt;=MAX(CÁLCULO!$M$15:$M$48),VLOOKUP($B56,CÁLCULO!$M$15:$N$48,2,FALSE),0))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IF(AUTOEVENTO="Manual",IF(EVENTOS!$F57&gt;0,"F",""),IF(AND(B57&gt;0,B57&lt;=MAX(CÁLCULO!$M$15:$M$48)),"F",""))</f>
        <v/>
      </c>
      <c r="B57" s="247">
        <f t="shared" ca="1" si="1"/>
        <v>42</v>
      </c>
      <c r="C57" s="514">
        <f ca="1">IF(AUTOEVENTO="Manual",IF($B57&gt;0,OFFSET(EVENTOS!$D$15,$B57-$B$15,0),0),IF(B57&lt;=MAX(CÁLCULO!$M$15:$M$48),VLOOKUP($B57,CÁLCULO!$M$15:$N$48,2,FALSE),0))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IF(AUTOEVENTO="Manual",IF(EVENTOS!$F58&gt;0,"F",""),IF(AND(B58&gt;0,B58&lt;=MAX(CÁLCULO!$M$15:$M$48)),"F",""))</f>
        <v/>
      </c>
      <c r="B58" s="247">
        <f t="shared" ca="1" si="1"/>
        <v>43</v>
      </c>
      <c r="C58" s="514">
        <f ca="1">IF(AUTOEVENTO="Manual",IF($B58&gt;0,OFFSET(EVENTOS!$D$15,$B58-$B$15,0),0),IF(B58&lt;=MAX(CÁLCULO!$M$15:$M$48),VLOOKUP($B58,CÁLCULO!$M$15:$N$48,2,FALSE),0))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IF(AUTOEVENTO="Manual",IF(EVENTOS!$F59&gt;0,"F",""),IF(AND(B59&gt;0,B59&lt;=MAX(CÁLCULO!$M$15:$M$48)),"F",""))</f>
        <v/>
      </c>
      <c r="B59" s="247">
        <f t="shared" ca="1" si="1"/>
        <v>44</v>
      </c>
      <c r="C59" s="514">
        <f ca="1">IF(AUTOEVENTO="Manual",IF($B59&gt;0,OFFSET(EVENTOS!$D$15,$B59-$B$15,0),0),IF(B59&lt;=MAX(CÁLCULO!$M$15:$M$48),VLOOKUP($B59,CÁLCULO!$M$15:$N$48,2,FALSE),0))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IF(AUTOEVENTO="Manual",IF(EVENTOS!$F60&gt;0,"F",""),IF(AND(B60&gt;0,B60&lt;=MAX(CÁLCULO!$M$15:$M$48)),"F",""))</f>
        <v/>
      </c>
      <c r="B60" s="247">
        <f t="shared" ca="1" si="1"/>
        <v>45</v>
      </c>
      <c r="C60" s="514">
        <f ca="1">IF(AUTOEVENTO="Manual",IF($B60&gt;0,OFFSET(EVENTOS!$D$15,$B60-$B$15,0),0),IF(B60&lt;=MAX(CÁLCULO!$M$15:$M$48),VLOOKUP($B60,CÁLCULO!$M$15:$N$48,2,FALSE),0))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IF(AUTOEVENTO="Manual",IF(EVENTOS!$F61&gt;0,"F",""),IF(AND(B61&gt;0,B61&lt;=MAX(CÁLCULO!$M$15:$M$48)),"F",""))</f>
        <v/>
      </c>
      <c r="B61" s="247">
        <f t="shared" ca="1" si="1"/>
        <v>46</v>
      </c>
      <c r="C61" s="514">
        <f ca="1">IF(AUTOEVENTO="Manual",IF($B61&gt;0,OFFSET(EVENTOS!$D$15,$B61-$B$15,0),0),IF(B61&lt;=MAX(CÁLCULO!$M$15:$M$48),VLOOKUP($B61,CÁLCULO!$M$15:$N$48,2,FALSE),0))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IF(AUTOEVENTO="Manual",IF(EVENTOS!$F62&gt;0,"F",""),IF(AND(B62&gt;0,B62&lt;=MAX(CÁLCULO!$M$15:$M$48)),"F",""))</f>
        <v/>
      </c>
      <c r="B62" s="247">
        <f t="shared" ca="1" si="1"/>
        <v>47</v>
      </c>
      <c r="C62" s="514">
        <f ca="1">IF(AUTOEVENTO="Manual",IF($B62&gt;0,OFFSET(EVENTOS!$D$15,$B62-$B$15,0),0),IF(B62&lt;=MAX(CÁLCULO!$M$15:$M$48),VLOOKUP($B62,CÁLCULO!$M$15:$N$48,2,FALSE),0))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IF(AUTOEVENTO="Manual",IF(EVENTOS!$F63&gt;0,"F",""),IF(AND(B63&gt;0,B63&lt;=MAX(CÁLCULO!$M$15:$M$48)),"F",""))</f>
        <v/>
      </c>
      <c r="B63" s="247">
        <f t="shared" ca="1" si="1"/>
        <v>48</v>
      </c>
      <c r="C63" s="514">
        <f ca="1">IF(AUTOEVENTO="Manual",IF($B63&gt;0,OFFSET(EVENTOS!$D$15,$B63-$B$15,0),0),IF(B63&lt;=MAX(CÁLCULO!$M$15:$M$48),VLOOKUP($B63,CÁLCULO!$M$15:$N$48,2,FALSE),0))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IF(AUTOEVENTO="Manual",IF(EVENTOS!$F64&gt;0,"F",""),IF(AND(B64&gt;0,B64&lt;=MAX(CÁLCULO!$M$15:$M$48)),"F",""))</f>
        <v/>
      </c>
      <c r="B64" s="247">
        <f t="shared" ca="1" si="1"/>
        <v>49</v>
      </c>
      <c r="C64" s="514">
        <f ca="1">IF(AUTOEVENTO="Manual",IF($B64&gt;0,OFFSET(EVENTOS!$D$15,$B64-$B$15,0),0),IF(B64&lt;=MAX(CÁLCULO!$M$15:$M$48),VLOOKUP($B64,CÁLCULO!$M$15:$N$48,2,FALSE),0))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
      <c r="A68" s="7" t="s">
        <v>536</v>
      </c>
      <c r="C68" s="742" t="s">
        <v>780</v>
      </c>
      <c r="G68" s="551" t="s">
        <v>781</v>
      </c>
      <c r="H68" s="744">
        <f ca="1">OFFSET(CRONO!$T$30,0,CRONOPLE!H67)</f>
        <v>0.13083299795453507</v>
      </c>
      <c r="I68" s="744"/>
      <c r="J68" s="744">
        <f ca="1">OFFSET(CRONO!$T$30,0,CRONOPLE!J67)</f>
        <v>0.86916700204546493</v>
      </c>
      <c r="K68" s="744"/>
      <c r="L68" s="744">
        <f ca="1">OFFSET(CRONO!$T$30,0,CRONOPLE!L67)</f>
        <v>0</v>
      </c>
      <c r="M68" s="744"/>
      <c r="N68" s="744">
        <f ca="1">OFFSET(CRONO!$T$30,0,CRONOPLE!N67)</f>
        <v>0</v>
      </c>
      <c r="O68" s="744"/>
      <c r="P68" s="744">
        <f ca="1">OFFSET(CRONO!$T$30,0,CRONOPLE!P67)</f>
        <v>0</v>
      </c>
      <c r="Q68" s="744"/>
      <c r="R68" s="744">
        <f ca="1">OFFSET(CRONO!$T$30,0,CRONOPLE!R67)</f>
        <v>0</v>
      </c>
      <c r="S68" s="744"/>
      <c r="T68" s="744">
        <f ca="1">OFFSET(CRONO!$T$30,0,CRONOPLE!T67)</f>
        <v>0</v>
      </c>
      <c r="U68" s="744"/>
      <c r="V68" s="744">
        <f ca="1">OFFSET(CRONO!$T$30,0,CRONOPLE!V67)</f>
        <v>0</v>
      </c>
      <c r="W68" s="744"/>
      <c r="X68" s="744">
        <f ca="1">OFFSET(CRONO!$T$30,0,CRONOPLE!X67)</f>
        <v>0</v>
      </c>
      <c r="Y68" s="744"/>
      <c r="Z68" s="744">
        <f ca="1">OFFSET(CRONO!$T$30,0,CRONOPLE!Z67)</f>
        <v>0</v>
      </c>
      <c r="AA68" s="744"/>
      <c r="AB68" s="744">
        <f ca="1">OFFSET(CRONO!$T$30,0,CRONOPLE!AB67)</f>
        <v>0</v>
      </c>
      <c r="AC68" s="744"/>
      <c r="AD68" s="744">
        <f ca="1">OFFSET(CRONO!$T$30,0,CRONOPLE!AD67)</f>
        <v>0</v>
      </c>
      <c r="AE68" s="744"/>
    </row>
    <row r="69" spans="1:31" ht="12.75" customHeight="1" x14ac:dyDescent="0.2">
      <c r="A69" s="7" t="s">
        <v>536</v>
      </c>
      <c r="C69" s="757"/>
      <c r="G69" s="487" t="s">
        <v>782</v>
      </c>
      <c r="H69" s="758">
        <f ca="1">OFFSET(CRONO!$T$34,0,CRONOPLE!H67)</f>
        <v>1892.01</v>
      </c>
      <c r="I69" s="758"/>
      <c r="J69" s="753">
        <f ca="1">OFFSET(CRONO!$T$34,0,CRONOPLE!J67)</f>
        <v>12569.25</v>
      </c>
      <c r="K69" s="754"/>
      <c r="L69" s="753">
        <f ca="1">OFFSET(CRONO!$T$34,0,CRONOPLE!L67)</f>
        <v>0</v>
      </c>
      <c r="M69" s="754"/>
      <c r="N69" s="753">
        <f ca="1">OFFSET(CRONO!$T$34,0,CRONOPLE!N67)</f>
        <v>0</v>
      </c>
      <c r="O69" s="754"/>
      <c r="P69" s="753">
        <f ca="1">OFFSET(CRONO!$T$34,0,CRONOPLE!P67)</f>
        <v>0</v>
      </c>
      <c r="Q69" s="754"/>
      <c r="R69" s="753">
        <f ca="1">OFFSET(CRONO!$T$34,0,CRONOPLE!R67)</f>
        <v>0</v>
      </c>
      <c r="S69" s="754"/>
      <c r="T69" s="753">
        <f ca="1">OFFSET(CRONO!$T$34,0,CRONOPLE!T67)</f>
        <v>0</v>
      </c>
      <c r="U69" s="754"/>
      <c r="V69" s="753">
        <f ca="1">OFFSET(CRONO!$T$34,0,CRONOPLE!V67)</f>
        <v>0</v>
      </c>
      <c r="W69" s="754"/>
      <c r="X69" s="753">
        <f ca="1">OFFSET(CRONO!$T$34,0,CRONOPLE!X67)</f>
        <v>0</v>
      </c>
      <c r="Y69" s="754"/>
      <c r="Z69" s="753">
        <f ca="1">OFFSET(CRONO!$T$34,0,CRONOPLE!Z67)</f>
        <v>0</v>
      </c>
      <c r="AA69" s="754"/>
      <c r="AB69" s="753">
        <f ca="1">OFFSET(CRONO!$T$34,0,CRONOPLE!AB67)</f>
        <v>0</v>
      </c>
      <c r="AC69" s="754"/>
      <c r="AD69" s="753">
        <f ca="1">OFFSET(CRONO!$T$34,0,CRONOPLE!AD67)</f>
        <v>0</v>
      </c>
      <c r="AE69" s="754"/>
    </row>
    <row r="70" spans="1:31" ht="12.75" customHeight="1" x14ac:dyDescent="0.2">
      <c r="A70" s="7" t="s">
        <v>536</v>
      </c>
      <c r="C70" s="742" t="s">
        <v>783</v>
      </c>
      <c r="G70" s="551" t="s">
        <v>781</v>
      </c>
      <c r="H70" s="744">
        <f ca="1">OFFSET(CRONO!$T$35,0,CRONOPLE!H67)</f>
        <v>0.1308</v>
      </c>
      <c r="I70" s="744"/>
      <c r="J70" s="747">
        <f ca="1">OFFSET(CRONO!$T$35,0,CRONOPLE!J67)</f>
        <v>1</v>
      </c>
      <c r="K70" s="748"/>
      <c r="L70" s="747">
        <f ca="1">OFFSET(CRONO!$T$35,0,CRONOPLE!L67)</f>
        <v>1</v>
      </c>
      <c r="M70" s="748"/>
      <c r="N70" s="747">
        <f ca="1">OFFSET(CRONO!$T$35,0,CRONOPLE!N67)</f>
        <v>1</v>
      </c>
      <c r="O70" s="748"/>
      <c r="P70" s="747">
        <f ca="1">OFFSET(CRONO!$T$35,0,CRONOPLE!P67)</f>
        <v>1</v>
      </c>
      <c r="Q70" s="748"/>
      <c r="R70" s="747">
        <f ca="1">OFFSET(CRONO!$T$35,0,CRONOPLE!R67)</f>
        <v>1</v>
      </c>
      <c r="S70" s="748"/>
      <c r="T70" s="747">
        <f ca="1">OFFSET(CRONO!$T$35,0,CRONOPLE!T67)</f>
        <v>1</v>
      </c>
      <c r="U70" s="748"/>
      <c r="V70" s="747">
        <f ca="1">OFFSET(CRONO!$T$35,0,CRONOPLE!V67)</f>
        <v>1</v>
      </c>
      <c r="W70" s="748"/>
      <c r="X70" s="747">
        <f ca="1">OFFSET(CRONO!$T$35,0,CRONOPLE!X67)</f>
        <v>1</v>
      </c>
      <c r="Y70" s="748"/>
      <c r="Z70" s="747">
        <f ca="1">OFFSET(CRONO!$T$35,0,CRONOPLE!Z67)</f>
        <v>1</v>
      </c>
      <c r="AA70" s="748"/>
      <c r="AB70" s="747">
        <f ca="1">OFFSET(CRONO!$T$35,0,CRONOPLE!AB67)</f>
        <v>1</v>
      </c>
      <c r="AC70" s="748"/>
      <c r="AD70" s="747">
        <f ca="1">OFFSET(CRONO!$T$35,0,CRONOPLE!AD67)</f>
        <v>1</v>
      </c>
      <c r="AE70" s="748"/>
    </row>
    <row r="71" spans="1:31" ht="12.75" customHeight="1" x14ac:dyDescent="0.2">
      <c r="A71" s="7" t="s">
        <v>536</v>
      </c>
      <c r="C71" s="743"/>
      <c r="G71" s="487" t="s">
        <v>782</v>
      </c>
      <c r="H71" s="752">
        <f ca="1">OFFSET(CRONO!$T$39,0,CRONOPLE!H67)</f>
        <v>1892.0099999999998</v>
      </c>
      <c r="I71" s="752"/>
      <c r="J71" s="750">
        <f ca="1">OFFSET(CRONO!$T$39,0,CRONOPLE!J67)</f>
        <v>14461.26</v>
      </c>
      <c r="K71" s="751"/>
      <c r="L71" s="750">
        <f ca="1">OFFSET(CRONO!$T$39,0,CRONOPLE!L67)</f>
        <v>14461.26</v>
      </c>
      <c r="M71" s="751"/>
      <c r="N71" s="750">
        <f ca="1">OFFSET(CRONO!$T$39,0,CRONOPLE!N67)</f>
        <v>14461.26</v>
      </c>
      <c r="O71" s="751"/>
      <c r="P71" s="750">
        <f ca="1">OFFSET(CRONO!$T$39,0,CRONOPLE!P67)</f>
        <v>14461.26</v>
      </c>
      <c r="Q71" s="751"/>
      <c r="R71" s="750">
        <f ca="1">OFFSET(CRONO!$T$39,0,CRONOPLE!R67)</f>
        <v>14461.26</v>
      </c>
      <c r="S71" s="751"/>
      <c r="T71" s="750">
        <f ca="1">OFFSET(CRONO!$T$39,0,CRONOPLE!T67)</f>
        <v>14461.26</v>
      </c>
      <c r="U71" s="751"/>
      <c r="V71" s="750">
        <f ca="1">OFFSET(CRONO!$T$39,0,CRONOPLE!V67)</f>
        <v>14461.26</v>
      </c>
      <c r="W71" s="751"/>
      <c r="X71" s="750">
        <f ca="1">OFFSET(CRONO!$T$39,0,CRONOPLE!X67)</f>
        <v>14461.26</v>
      </c>
      <c r="Y71" s="751"/>
      <c r="Z71" s="750">
        <f ca="1">OFFSET(CRONO!$T$39,0,CRONOPLE!Z67)</f>
        <v>14461.26</v>
      </c>
      <c r="AA71" s="751"/>
      <c r="AB71" s="750">
        <f ca="1">OFFSET(CRONO!$T$39,0,CRONOPLE!AB67)</f>
        <v>14461.26</v>
      </c>
      <c r="AC71" s="751"/>
      <c r="AD71" s="750">
        <f ca="1">OFFSET(CRONO!$T$39,0,CRONOPLE!AD67)</f>
        <v>14461.26</v>
      </c>
      <c r="AE71" s="751"/>
    </row>
    <row r="72" spans="1:31" ht="12.75" customHeight="1" x14ac:dyDescent="0.2">
      <c r="A72" s="7" t="s">
        <v>536</v>
      </c>
      <c r="C72" s="552" t="s">
        <v>784</v>
      </c>
      <c r="D72" s="550"/>
      <c r="G72" s="551" t="s">
        <v>781</v>
      </c>
      <c r="H72" s="744" t="str">
        <f ca="1">OFFSET(CRONO!$T$40,0,CRONOPLE!H67)</f>
        <v/>
      </c>
      <c r="I72" s="744"/>
      <c r="J72" s="745" t="str">
        <f ca="1">OFFSET(CRONO!$T$40,0,CRONOPLE!J67)</f>
        <v/>
      </c>
      <c r="K72" s="746"/>
      <c r="L72" s="745" t="str">
        <f ca="1">OFFSET(CRONO!$T$40,0,CRONOPLE!L67)</f>
        <v/>
      </c>
      <c r="M72" s="746"/>
      <c r="N72" s="745" t="str">
        <f ca="1">OFFSET(CRONO!$T$40,0,CRONOPLE!N67)</f>
        <v/>
      </c>
      <c r="O72" s="746"/>
      <c r="P72" s="745" t="str">
        <f ca="1">OFFSET(CRONO!$T$40,0,CRONOPLE!P67)</f>
        <v/>
      </c>
      <c r="Q72" s="746"/>
      <c r="R72" s="745" t="str">
        <f ca="1">OFFSET(CRONO!$T$40,0,CRONOPLE!R67)</f>
        <v/>
      </c>
      <c r="S72" s="746"/>
      <c r="T72" s="745" t="str">
        <f ca="1">OFFSET(CRONO!$T$40,0,CRONOPLE!T67)</f>
        <v/>
      </c>
      <c r="U72" s="746"/>
      <c r="V72" s="745" t="str">
        <f ca="1">OFFSET(CRONO!$T$40,0,CRONOPLE!V67)</f>
        <v/>
      </c>
      <c r="W72" s="746"/>
      <c r="X72" s="745" t="str">
        <f ca="1">OFFSET(CRONO!$T$40,0,CRONOPLE!X67)</f>
        <v/>
      </c>
      <c r="Y72" s="746"/>
      <c r="Z72" s="745" t="str">
        <f ca="1">OFFSET(CRONO!$T$40,0,CRONOPLE!Z67)</f>
        <v/>
      </c>
      <c r="AA72" s="746"/>
      <c r="AB72" s="745" t="str">
        <f ca="1">OFFSET(CRONO!$T$40,0,CRONOPLE!AB67)</f>
        <v/>
      </c>
      <c r="AC72" s="746"/>
      <c r="AD72" s="745" t="str">
        <f ca="1">OFFSET(CRONO!$T$40,0,CRONOPLE!AD67)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Diego Dutra do Nascimento</v>
      </c>
    </row>
    <row r="78" spans="1:31" ht="16.5" x14ac:dyDescent="0.3">
      <c r="A78" s="7" t="s">
        <v>536</v>
      </c>
      <c r="B78" s="749">
        <f>DADOS!$C$25</f>
        <v>46150</v>
      </c>
      <c r="C78" s="749"/>
      <c r="F78" s="185"/>
      <c r="G78" s="185"/>
      <c r="H78" s="185"/>
      <c r="I78" s="185"/>
      <c r="J78" s="185"/>
      <c r="K78" s="185"/>
      <c r="L78" s="187"/>
      <c r="V78" s="398" t="str">
        <f ca="1"/>
        <v>CREA/CAU: CREA-SC 225647-1</v>
      </c>
    </row>
    <row r="79" spans="1:31" x14ac:dyDescent="0.2">
      <c r="A79" s="7" t="s">
        <v>536</v>
      </c>
      <c r="B79" s="9" t="s">
        <v>694</v>
      </c>
      <c r="F79" s="185"/>
      <c r="G79" s="185"/>
      <c r="H79" s="185"/>
      <c r="I79" s="185"/>
      <c r="J79" s="185"/>
      <c r="K79" s="185"/>
      <c r="L79" s="187"/>
      <c r="V79" s="398" t="str">
        <f ca="1"/>
        <v>ART/RRT: 10468622-6</v>
      </c>
    </row>
  </sheetData>
  <sheetProtection algorithmName="SHA-512" hashValue="kZP1GFpfhvAMra5hjXGXBrYFMJBCFmITW2ooPgdrmYumgTV/hQmi8F33n/NH2+Hg6tIDT5XN/KmTD9bJiw++MQ==" saltValue="hm/LRk3cQSYLNpkTQnAGZw=="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42" priority="802" stopIfTrue="1">
      <formula>IF(OR(E$12&gt;CÁLCULO.NúmeroDeFrentes,ACOMPANHAMENTO="BM"),TRUE,CRONOPLE.ValorDoEvento=0)</formula>
    </cfRule>
  </conditionalFormatting>
  <conditionalFormatting sqref="U4:Y4">
    <cfRule type="expression" dxfId="241" priority="692" stopIfTrue="1">
      <formula>QCI.ExisteManual</formula>
    </cfRule>
  </conditionalFormatting>
  <conditionalFormatting sqref="J67:AE67">
    <cfRule type="expression" dxfId="240" priority="691" stopIfTrue="1">
      <formula>OFFSET(J67,3,-2)=1</formula>
    </cfRule>
  </conditionalFormatting>
  <conditionalFormatting sqref="J68:AE68">
    <cfRule type="expression" dxfId="239" priority="686" stopIfTrue="1">
      <formula>OFFSET(J68,2,-2)=1</formula>
    </cfRule>
  </conditionalFormatting>
  <conditionalFormatting sqref="J69:AE69">
    <cfRule type="expression" dxfId="238" priority="685" stopIfTrue="1">
      <formula>OFFSET(J69,1,-2)=1</formula>
    </cfRule>
  </conditionalFormatting>
  <conditionalFormatting sqref="J70:AE70">
    <cfRule type="expression" dxfId="237" priority="684" stopIfTrue="1">
      <formula>OFFSET(J70,0,-2)=1</formula>
    </cfRule>
  </conditionalFormatting>
  <conditionalFormatting sqref="J71:AE71">
    <cfRule type="expression" dxfId="236" priority="683" stopIfTrue="1">
      <formula>OFFSET(J71,-1,-2)=1</formula>
    </cfRule>
  </conditionalFormatting>
  <conditionalFormatting sqref="B15:C15 E15 G15:AF15">
    <cfRule type="expression" dxfId="235" priority="507">
      <formula>$B$15=0</formula>
    </cfRule>
  </conditionalFormatting>
  <conditionalFormatting sqref="B8:C8">
    <cfRule type="expression" dxfId="234" priority="506">
      <formula>$B$7=""</formula>
    </cfRule>
  </conditionalFormatting>
  <conditionalFormatting sqref="J72:AE72">
    <cfRule type="expression" dxfId="233" priority="505">
      <formula>OFFSET(J72,-2,-2)=1</formula>
    </cfRule>
  </conditionalFormatting>
  <conditionalFormatting sqref="H72:AE72">
    <cfRule type="expression" dxfId="232" priority="504">
      <formula>ROUND(H72,4)&gt;ROUND(H70,4)</formula>
    </cfRule>
  </conditionalFormatting>
  <conditionalFormatting sqref="E16:E24 G16:AE24">
    <cfRule type="expression" dxfId="231" priority="6" stopIfTrue="1">
      <formula>IF(OR(E$12&gt;CÁLCULO.NúmeroDeFrentes,ACOMPANHAMENTO="BM"),TRUE,CRONOPLE.ValorDoEvento=0)</formula>
    </cfRule>
  </conditionalFormatting>
  <conditionalFormatting sqref="E25:E33 G25:AE33">
    <cfRule type="expression" dxfId="230" priority="5" stopIfTrue="1">
      <formula>IF(OR(E$12&gt;CÁLCULO.NúmeroDeFrentes,ACOMPANHAMENTO="BM"),TRUE,CRONOPLE.ValorDoEvento=0)</formula>
    </cfRule>
  </conditionalFormatting>
  <conditionalFormatting sqref="E34:E42 G34:AE42">
    <cfRule type="expression" dxfId="229" priority="4" stopIfTrue="1">
      <formula>IF(OR(E$12&gt;CÁLCULO.NúmeroDeFrentes,ACOMPANHAMENTO="BM"),TRUE,CRONOPLE.ValorDoEvento=0)</formula>
    </cfRule>
  </conditionalFormatting>
  <conditionalFormatting sqref="E43:E51 G43:AE51">
    <cfRule type="expression" dxfId="228" priority="3" stopIfTrue="1">
      <formula>IF(OR(E$12&gt;CÁLCULO.NúmeroDeFrentes,ACOMPANHAMENTO="BM"),TRUE,CRONOPLE.ValorDoEvento=0)</formula>
    </cfRule>
  </conditionalFormatting>
  <conditionalFormatting sqref="E52:E60 G52:AE60">
    <cfRule type="expression" dxfId="227" priority="2" stopIfTrue="1">
      <formula>IF(OR(E$12&gt;CÁLCULO.NúmeroDeFrentes,ACOMPANHAMENTO="BM"),TRUE,CRONOPLE.ValorDoEvento=0)</formula>
    </cfRule>
  </conditionalFormatting>
  <conditionalFormatting sqref="E61:E64 G61:AE64">
    <cfRule type="expression" dxfId="22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pageSetUpPr fitToPage="1"/>
  </sheetPr>
  <dimension ref="A1:AG46"/>
  <sheetViews>
    <sheetView showGridLines="0" view="pageBreakPreview" zoomScaleNormal="100" zoomScaleSheetLayoutView="10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IF($F2=-1,0,IF(N$13&lt;=$M1,IF(ISERROR(MATCH(N$13,OFFSET($M1,1,0,ROW($M$29)-ROW($M1)-1),0)),ROW($M$29)-ROW($M1)-1,MATCH(N$13,OFFSET($M1,1,0,ROW($M$29)-ROW($M1)-1),0)-1),0))</f>
        <v>#REF!</v>
      </c>
      <c r="O1" s="193" t="e">
        <f ca="1">IF($F2=-1,0,IF(O$13&lt;=$M1,IF(ISERROR(MATCH(O$13,OFFSET($M1,1,0,ROW($M$29)-ROW($M1)-1),0)),ROW($M$29)-ROW($M1)-1,MATCH(O$13,OFFSET($M1,1,0,ROW($M$29)-ROW($M1)-1),0)-1),0))</f>
        <v>#REF!</v>
      </c>
      <c r="P1" s="193" t="e">
        <f ca="1">IF($F2=-1,0,IF(P$13&lt;=$M1,IF(ISERROR(MATCH(P$13,OFFSET($M1,1,0,ROW($M$29)-ROW($M1)-1),0)),ROW($M$29)-ROW($M1)-1,MATCH(P$13,OFFSET($M1,1,0,ROW($M$29)-ROW($M1)-1),0)-1),0))</f>
        <v>#REF!</v>
      </c>
      <c r="Q1" s="193" t="e">
        <f ca="1">IF($F2=-1,0,IF(Q$13&lt;=$M1,IF(ISERROR(MATCH(Q$13,OFFSET($M1,1,0,ROW($M$29)-ROW($M1)-1),0)),ROW($M$29)-ROW($M1)-1,MATCH(Q$13,OFFSET($M1,1,0,ROW($M$29)-ROW($M1)-1),0)-1),0))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SUMIF(CÁLCULO!$AM$15:$AW$48,CRONO!E$12,CÁLCULO!$AB$15:$AL$48)/(ORÇAMENTO!$X$15-CÁLCULO.TotalAdmLocal)*CRONO!$F3,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SUMIF(CÁLCULO!$AM$15:$AW$48,CRONO!U$12,CÁLCULO!$AB$15:$AL$48)/(ORÇAMENTO!$X$15-CÁLCULO.TotalAdmLocal)*CRONO!$F3,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SUMIF(CÁLCULO!$AM$15:$AW$48,CRONO!V$12,CÁLCULO!$AB$15:$AL$48)/(ORÇAMENTO!$X$15-CÁLCULO.TotalAdmLocal)*CRONO!$F3,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SUMIF(CÁLCULO!$AM$15:$AW$48,CRONO!W$12,CÁLCULO!$AB$15:$AL$48)/(ORÇAMENTO!$X$15-CÁLCULO.TotalAdmLocal)*CRONO!$F3,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SUMIF(CÁLCULO!$AM$15:$AW$48,CRONO!X$12,CÁLCULO!$AB$15:$AL$48)/(ORÇAMENTO!$X$15-CÁLCULO.TotalAdmLocal)*CRONO!$F3,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SUMIF(CÁLCULO!$AM$15:$AW$48,CRONO!Y$12,CÁLCULO!$AB$15:$AL$48)/(ORÇAMENTO!$X$15-CÁLCULO.TotalAdmLocal)*CRONO!$F3,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SUMIF(CÁLCULO!$AM$15:$AW$48,CRONO!Z$12,CÁLCULO!$AB$15:$AL$48)/(ORÇAMENTO!$X$15-CÁLCULO.TotalAdmLocal)*CRONO!$F3,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SUMIF(CÁLCULO!$AM$15:$AW$48,CRONO!AA$12,CÁLCULO!$AB$15:$AL$48)/(ORÇAMENTO!$X$15-CÁLCULO.TotalAdmLocal)*CRONO!$F3,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SUMIF(CÁLCULO!$AM$15:$AW$48,CRONO!AB$12,CÁLCULO!$AB$15:$AL$48)/(ORÇAMENTO!$X$15-CÁLCULO.TotalAdmLocal)*CRONO!$F3,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SUMIF(CÁLCULO!$AM$15:$AW$48,CRONO!AC$12,CÁLCULO!$AB$15:$AL$48)/(ORÇAMENTO!$X$15-CÁLCULO.TotalAdmLocal)*CRONO!$F3,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SUMIF(CÁLCULO!$AM$15:$AW$48,CRONO!AD$12,CÁLCULO!$AB$15:$AL$48)/(ORÇAMENTO!$X$15-CÁLCULO.TotalAdmLocal)*CRONO!$F3,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SUMIF(CÁLCULO!$AM$15:$AW$48,CRONO!AE$12,CÁLCULO!$AB$15:$AL$48)/(ORÇAMENTO!$X$15-CÁLCULO.TotalAdmLocal)*CRONO!$F3,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SUMIF(CÁLCULO!$AM$15:$AW$48,CRONO!AF$12,CÁLCULO!$AB$15:$AL$48)/(ORÇAMENTO!$X$15-CÁLCULO.TotalAdmLocal)*CRONO!$F3,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4" t="s">
        <v>644</v>
      </c>
      <c r="AF4" s="704"/>
    </row>
    <row r="5" spans="1:33" ht="15" x14ac:dyDescent="0.2">
      <c r="S5" s="83" t="str">
        <f>import.recurso</f>
        <v>(SELECIONAR)</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3" t="s">
        <v>655</v>
      </c>
      <c r="H8" s="774"/>
      <c r="I8" s="765">
        <f>Import.CR</f>
        <v>0</v>
      </c>
      <c r="J8" s="765"/>
      <c r="K8" s="214">
        <f>Import.TransfereGOV</f>
        <v>0</v>
      </c>
      <c r="L8" s="764">
        <f>Import.Proponente</f>
        <v>0</v>
      </c>
      <c r="M8" s="764"/>
      <c r="N8" s="764"/>
      <c r="O8" s="764"/>
      <c r="P8" s="764"/>
      <c r="Q8" s="764"/>
      <c r="R8" s="764"/>
      <c r="S8" s="764"/>
      <c r="T8" s="764"/>
      <c r="U8" s="765" t="str">
        <f>Import.Apelido</f>
        <v xml:space="preserve">Ponte Herminio Gonçalves </v>
      </c>
      <c r="V8" s="765"/>
      <c r="W8" s="765"/>
      <c r="X8" s="765"/>
      <c r="Y8" s="765"/>
      <c r="Z8" s="775" cm="1">
        <f t="array" ref="Z8">IF(TIPOORCAMENTO="Licitado",Import.empresa,Import.DescLote)</f>
        <v>0</v>
      </c>
      <c r="AA8" s="775"/>
      <c r="AB8" s="775"/>
      <c r="AC8" s="775"/>
      <c r="AD8" s="775"/>
      <c r="AE8" s="775"/>
      <c r="AF8" s="203" t="str" cm="1">
        <f t="array" ref="AF8">IF(TIPOORCAMENTO="Licitado",Import.CTEF,"")</f>
        <v/>
      </c>
    </row>
    <row r="9" spans="1:33" x14ac:dyDescent="0.2">
      <c r="A9" s="655">
        <v>2</v>
      </c>
      <c r="F9" s="114"/>
      <c r="G9" s="693"/>
      <c r="H9" s="774"/>
    </row>
    <row r="10" spans="1:33" x14ac:dyDescent="0.2">
      <c r="A10" s="656">
        <v>3</v>
      </c>
      <c r="F10" s="185" cm="1">
        <f t="array" aca="1" ref="F10" ca="1">CRONO.LinhasNecessarias</f>
        <v>5</v>
      </c>
      <c r="G10" s="693"/>
      <c r="H10" s="215">
        <v>2</v>
      </c>
      <c r="K10" s="766" t="str" cm="1">
        <f t="array" aca="1" ref="K10" ca="1">IF(MAX($B$13:$B$29)&lt;CRONO.LinhasNecessarias,"ERRO: NÚMERO DE LINHAS DO CRONOGRAMA INSUFICIENTE. CLIQUE EM ATUALIZAR LINHAS.",IF(AND(ACOMPANHAMENTO="PLE",ROUND(OFFSET($AG$39,0,-1),2)=0),"CRONOGRAMA DEVE SER PREENCHIDO POR EVENTOS",IF(ROUND(OFFSET($AG$39,0,-1),2)&lt;&gt;$R$30,"ERRO: CRONOGRAMA NÃO FECHA 100%","")))</f>
        <v/>
      </c>
      <c r="L10" s="766"/>
      <c r="M10" s="766"/>
      <c r="N10" s="766"/>
      <c r="O10" s="766"/>
      <c r="P10" s="766"/>
      <c r="Q10" s="766"/>
      <c r="R10" s="766"/>
      <c r="S10" s="766"/>
      <c r="T10" s="766"/>
    </row>
    <row r="11" spans="1:33" ht="12.75" customHeight="1" x14ac:dyDescent="0.2">
      <c r="A11" s="657">
        <v>4</v>
      </c>
      <c r="F11" s="185" cm="1">
        <f t="array" aca="1" ref="F11" ca="1">CRONO.ParcelaFinal</f>
        <v>2</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ESTRUTURA</v>
      </c>
      <c r="K14" s="191"/>
      <c r="L14" s="191"/>
      <c r="M14" s="192">
        <f ca="1">IF($F15=0,OFFSET(ORÇAMENTO!C$15,$F14,0),1)</f>
        <v>1</v>
      </c>
      <c r="N14" s="193">
        <f ca="1">IF($F15=-1,0,IF(N$13&lt;=$M14,IF(ISERROR(MATCH(N$13,OFFSET($M14,1,0,ROW($M$29)-ROW($M14)-1),0)),ROW($M$29)-ROW($M14)-1,MATCH(N$13,OFFSET($M14,1,0,ROW($M$29)-ROW($M14)-1),0)-1),0))</f>
        <v>14</v>
      </c>
      <c r="O14" s="193">
        <f ca="1">IF($F15=-1,0,IF(O$13&lt;=$M14,IF(ISERROR(MATCH(O$13,OFFSET($M14,1,0,ROW($M$29)-ROW($M14)-1),0)),ROW($M$29)-ROW($M14)-1,MATCH(O$13,OFFSET($M14,1,0,ROW($M$29)-ROW($M14)-1),0)-1),0))</f>
        <v>0</v>
      </c>
      <c r="P14" s="193">
        <f ca="1">IF($F15=-1,0,IF(P$13&lt;=$M14,IF(ISERROR(MATCH(P$13,OFFSET($M14,1,0,ROW($M$29)-ROW($M14)-1),0)),ROW($M$29)-ROW($M14)-1,MATCH(P$13,OFFSET($M14,1,0,ROW($M$29)-ROW($M14)-1),0)-1),0))</f>
        <v>0</v>
      </c>
      <c r="Q14" s="193">
        <f ca="1">IF($F15=-1,0,IF(Q$13&lt;=$M14,IF(ISERROR(MATCH(Q$13,OFFSET($M14,1,0,ROW($M$29)-ROW($M14)-1),0)),ROW($M$29)-ROW($M14)-1,MATCH(Q$13,OFFSET($M14,1,0,ROW($M$29)-ROW($M14)-1),0)-1),0))</f>
        <v>0</v>
      </c>
      <c r="R14" s="193">
        <f t="shared" ref="R14" ca="1" si="5">MIN(OFFSET(M14,0,1,,M14))</f>
        <v>14</v>
      </c>
      <c r="S14" s="194">
        <f ca="1">IF($F15=0,OFFSET(ORÇAMENTO!X$15,$F14,0),IF($F15&lt;&gt;-1,OFFSET(QCI!$O$13,$F15,0),""))</f>
        <v>14461.26</v>
      </c>
      <c r="T14" s="195" t="s">
        <v>785</v>
      </c>
      <c r="U14" s="188" cm="1">
        <f t="array" aca="1" ref="U14" ca="1">IF(AND($R14=2,ACOMPANHAMENTO="BM"),ROUND(U15,4),U16/$S14)</f>
        <v>0.13083299795453507</v>
      </c>
      <c r="V14" s="188" cm="1">
        <f t="array" aca="1" ref="V14" ca="1">IF(AND($R14=2,ACOMPANHAMENTO="BM"),ROUND(V15,4),V16/$S14)</f>
        <v>0.86916700204546493</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SUMIF(CÁLCULO!$AM$15:$AW$48,CRONO!E$12,CÁLCULO!$AB$15:$AL$48)/(ORÇAMENTO!$X$15-CÁLCULO.TotalAdmLocal)*CRONO!$F16,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SUMIF(CÁLCULO!$AM$15:$AW$48,CRONO!U$12,CÁLCULO!$AB$15:$AL$48)/(ORÇAMENTO!$X$15-CÁLCULO.TotalAdmLocal)*CRONO!$F16,
                        0),
                 U15*$S14),
          SUMIF(OFFSET($S16,1,0,$R14-2),($M14+1)&amp;"$",OFFSET(U16,1,0,$R14-2)))</f>
        <v>1892.0099999999998</v>
      </c>
      <c r="V16" s="202" cm="1">
        <f t="array" aca="1" ref="V16" ca="1">IF($R14=2,
         IF(AND(ACOMPANHAMENTO="PLE",ISNUMBER($F14)),
                SUMIF((OFFSET(CÁLCULO!$AM$15:$AW$15,$F14,0,OFFSET(ORÇAMENTO!$D$15,CRONO!$F14,0))),CRONO!V$12,OFFSET(CÁLCULO!$AB$15:$AL$15,$F14,0,OFFSET(ORÇAMENTO!$D$15,CRONO!$F14,0)))
                +IF(AND($F16&lt;&gt;"",$F16&lt;&gt;0),
                        SUMIF(CÁLCULO!$AM$15:$AW$48,CRONO!V$12,CÁLCULO!$AB$15:$AL$48)/(ORÇAMENTO!$X$15-CÁLCULO.TotalAdmLocal)*CRONO!$F16,
                        0),
                 V15*$S14),
          SUMIF(OFFSET($S16,1,0,$R14-2),($M14+1)&amp;"$",OFFSET(V16,1,0,$R14-2)))</f>
        <v>12569.25</v>
      </c>
      <c r="W16" s="202" cm="1">
        <f t="array" aca="1" ref="W16" ca="1">IF($R14=2,
         IF(AND(ACOMPANHAMENTO="PLE",ISNUMBER($F14)),
                SUMIF((OFFSET(CÁLCULO!$AM$15:$AW$15,$F14,0,OFFSET(ORÇAMENTO!$D$15,CRONO!$F14,0))),CRONO!W$12,OFFSET(CÁLCULO!$AB$15:$AL$15,$F14,0,OFFSET(ORÇAMENTO!$D$15,CRONO!$F14,0)))
                +IF(AND($F16&lt;&gt;"",$F16&lt;&gt;0),
                        SUMIF(CÁLCULO!$AM$15:$AW$48,CRONO!W$12,CÁLCULO!$AB$15:$AL$48)/(ORÇAMENTO!$X$15-CÁLCULO.TotalAdmLocal)*CRONO!$F16,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SUMIF(CÁLCULO!$AM$15:$AW$48,CRONO!X$12,CÁLCULO!$AB$15:$AL$48)/(ORÇAMENTO!$X$15-CÁLCULO.TotalAdmLocal)*CRONO!$F16,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SUMIF(CÁLCULO!$AM$15:$AW$48,CRONO!Y$12,CÁLCULO!$AB$15:$AL$48)/(ORÇAMENTO!$X$15-CÁLCULO.TotalAdmLocal)*CRONO!$F16,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SUMIF(CÁLCULO!$AM$15:$AW$48,CRONO!Z$12,CÁLCULO!$AB$15:$AL$48)/(ORÇAMENTO!$X$15-CÁLCULO.TotalAdmLocal)*CRONO!$F16,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SUMIF(CÁLCULO!$AM$15:$AW$48,CRONO!AA$12,CÁLCULO!$AB$15:$AL$48)/(ORÇAMENTO!$X$15-CÁLCULO.TotalAdmLocal)*CRONO!$F16,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SUMIF(CÁLCULO!$AM$15:$AW$48,CRONO!AB$12,CÁLCULO!$AB$15:$AL$48)/(ORÇAMENTO!$X$15-CÁLCULO.TotalAdmLocal)*CRONO!$F16,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SUMIF(CÁLCULO!$AM$15:$AW$48,CRONO!AC$12,CÁLCULO!$AB$15:$AL$48)/(ORÇAMENTO!$X$15-CÁLCULO.TotalAdmLocal)*CRONO!$F16,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SUMIF(CÁLCULO!$AM$15:$AW$48,CRONO!AD$12,CÁLCULO!$AB$15:$AL$48)/(ORÇAMENTO!$X$15-CÁLCULO.TotalAdmLocal)*CRONO!$F16,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SUMIF(CÁLCULO!$AM$15:$AW$48,CRONO!AE$12,CÁLCULO!$AB$15:$AL$48)/(ORÇAMENTO!$X$15-CÁLCULO.TotalAdmLocal)*CRONO!$F16,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SUMIF(CÁLCULO!$AM$15:$AW$48,CRONO!AF$12,CÁLCULO!$AB$15:$AL$48)/(ORÇAMENTO!$X$15-CÁLCULO.TotalAdmLocal)*CRONO!$F16,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E SERVIÇOS PRELIMINARES</v>
      </c>
      <c r="K17" s="191"/>
      <c r="L17" s="191"/>
      <c r="M17" s="192">
        <f ca="1">IF($F18=0,OFFSET(ORÇAMENTO!C$15,$F17,0),1)</f>
        <v>2</v>
      </c>
      <c r="N17" s="193">
        <f ca="1">IF($F18=-1,0,IF(N$13&lt;=$M17,IF(ISERROR(MATCH(N$13,OFFSET($M17,1,0,ROW($M$29)-ROW($M17)-1),0)),ROW($M$29)-ROW($M17)-1,MATCH(N$13,OFFSET($M17,1,0,ROW($M$29)-ROW($M17)-1),0)-1),0))</f>
        <v>11</v>
      </c>
      <c r="O17" s="193">
        <f ca="1">IF($F18=-1,0,IF(O$13&lt;=$M17,IF(ISERROR(MATCH(O$13,OFFSET($M17,1,0,ROW($M$29)-ROW($M17)-1),0)),ROW($M$29)-ROW($M17)-1,MATCH(O$13,OFFSET($M17,1,0,ROW($M$29)-ROW($M17)-1),0)-1),0))</f>
        <v>2</v>
      </c>
      <c r="P17" s="193">
        <f ca="1">IF($F18=-1,0,IF(P$13&lt;=$M17,IF(ISERROR(MATCH(P$13,OFFSET($M17,1,0,ROW($M$29)-ROW($M17)-1),0)),ROW($M$29)-ROW($M17)-1,MATCH(P$13,OFFSET($M17,1,0,ROW($M$29)-ROW($M17)-1),0)-1),0))</f>
        <v>0</v>
      </c>
      <c r="Q17" s="193">
        <f ca="1">IF($F18=-1,0,IF(Q$13&lt;=$M17,IF(ISERROR(MATCH(Q$13,OFFSET($M17,1,0,ROW($M$29)-ROW($M17)-1),0)),ROW($M$29)-ROW($M17)-1,MATCH(Q$13,OFFSET($M17,1,0,ROW($M$29)-ROW($M17)-1),0)-1),0))</f>
        <v>0</v>
      </c>
      <c r="R17" s="193">
        <f t="shared" ref="R17" ca="1" si="11">MIN(OFFSET(M17,0,1,,M17))</f>
        <v>2</v>
      </c>
      <c r="S17" s="194">
        <f ca="1">IF($F18=0,OFFSET(ORÇAMENTO!X$15,$F17,0),IF($F18&lt;&gt;-1,OFFSET(QCI!$O$13,$F18,0),""))</f>
        <v>0</v>
      </c>
      <c r="T17" s="195" t="s">
        <v>785</v>
      </c>
      <c r="U17" s="188" cm="1">
        <f t="array" aca="1" ref="U17" ca="1">IF(AND($R17=2,ACOMPANHAMENTO="BM"),ROUND(U18,4),U19/$S17)</f>
        <v>0.6</v>
      </c>
      <c r="V17" s="188" cm="1">
        <f t="array" aca="1" ref="V17" ca="1">IF(AND($R17=2,ACOMPANHAMENTO="BM"),ROUND(V18,4),V19/$S17)</f>
        <v>0.4</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0.6</v>
      </c>
      <c r="V18" s="587">
        <v>0.4</v>
      </c>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SUMIF(CÁLCULO!$AM$15:$AW$48,CRONO!E$12,CÁLCULO!$AB$15:$AL$48)/(ORÇAMENTO!$X$15-CÁLCULO.TotalAdmLocal)*CRONO!$F19,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SUMIF(CÁLCULO!$AM$15:$AW$48,CRONO!U$12,CÁLCULO!$AB$15:$AL$48)/(ORÇAMENTO!$X$15-CÁLCULO.TotalAdmLocal)*CRONO!$F19,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SUMIF(CÁLCULO!$AM$15:$AW$48,CRONO!V$12,CÁLCULO!$AB$15:$AL$48)/(ORÇAMENTO!$X$15-CÁLCULO.TotalAdmLocal)*CRONO!$F19,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SUMIF(CÁLCULO!$AM$15:$AW$48,CRONO!W$12,CÁLCULO!$AB$15:$AL$48)/(ORÇAMENTO!$X$15-CÁLCULO.TotalAdmLocal)*CRONO!$F19,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SUMIF(CÁLCULO!$AM$15:$AW$48,CRONO!X$12,CÁLCULO!$AB$15:$AL$48)/(ORÇAMENTO!$X$15-CÁLCULO.TotalAdmLocal)*CRONO!$F19,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SUMIF(CÁLCULO!$AM$15:$AW$48,CRONO!Y$12,CÁLCULO!$AB$15:$AL$48)/(ORÇAMENTO!$X$15-CÁLCULO.TotalAdmLocal)*CRONO!$F19,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SUMIF(CÁLCULO!$AM$15:$AW$48,CRONO!Z$12,CÁLCULO!$AB$15:$AL$48)/(ORÇAMENTO!$X$15-CÁLCULO.TotalAdmLocal)*CRONO!$F19,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SUMIF(CÁLCULO!$AM$15:$AW$48,CRONO!AA$12,CÁLCULO!$AB$15:$AL$48)/(ORÇAMENTO!$X$15-CÁLCULO.TotalAdmLocal)*CRONO!$F19,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SUMIF(CÁLCULO!$AM$15:$AW$48,CRONO!AB$12,CÁLCULO!$AB$15:$AL$48)/(ORÇAMENTO!$X$15-CÁLCULO.TotalAdmLocal)*CRONO!$F19,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SUMIF(CÁLCULO!$AM$15:$AW$48,CRONO!AC$12,CÁLCULO!$AB$15:$AL$48)/(ORÇAMENTO!$X$15-CÁLCULO.TotalAdmLocal)*CRONO!$F19,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SUMIF(CÁLCULO!$AM$15:$AW$48,CRONO!AD$12,CÁLCULO!$AB$15:$AL$48)/(ORÇAMENTO!$X$15-CÁLCULO.TotalAdmLocal)*CRONO!$F19,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SUMIF(CÁLCULO!$AM$15:$AW$48,CRONO!AE$12,CÁLCULO!$AB$15:$AL$48)/(ORÇAMENTO!$X$15-CÁLCULO.TotalAdmLocal)*CRONO!$F19,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SUMIF(CÁLCULO!$AM$15:$AW$48,CRONO!AF$12,CÁLCULO!$AB$15:$AL$48)/(ORÇAMENTO!$X$15-CÁLCULO.TotalAdmLocal)*CRONO!$F19,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6</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ALAS E CONTENÇÃO</v>
      </c>
      <c r="K20" s="191"/>
      <c r="L20" s="191"/>
      <c r="M20" s="192">
        <f ca="1">IF($F21=0,OFFSET(ORÇAMENTO!C$15,$F20,0),1)</f>
        <v>2</v>
      </c>
      <c r="N20" s="193">
        <f ca="1">IF($F21=-1,0,IF(N$13&lt;=$M20,IF(ISERROR(MATCH(N$13,OFFSET($M20,1,0,ROW($M$29)-ROW($M20)-1),0)),ROW($M$29)-ROW($M20)-1,MATCH(N$13,OFFSET($M20,1,0,ROW($M$29)-ROW($M20)-1),0)-1),0))</f>
        <v>8</v>
      </c>
      <c r="O20" s="193">
        <f ca="1">IF($F21=-1,0,IF(O$13&lt;=$M20,IF(ISERROR(MATCH(O$13,OFFSET($M20,1,0,ROW($M$29)-ROW($M20)-1),0)),ROW($M$29)-ROW($M20)-1,MATCH(O$13,OFFSET($M20,1,0,ROW($M$29)-ROW($M20)-1),0)-1),0))</f>
        <v>2</v>
      </c>
      <c r="P20" s="193">
        <f ca="1">IF($F21=-1,0,IF(P$13&lt;=$M20,IF(ISERROR(MATCH(P$13,OFFSET($M20,1,0,ROW($M$29)-ROW($M20)-1),0)),ROW($M$29)-ROW($M20)-1,MATCH(P$13,OFFSET($M20,1,0,ROW($M$29)-ROW($M20)-1),0)-1),0))</f>
        <v>0</v>
      </c>
      <c r="Q20" s="193">
        <f ca="1">IF($F21=-1,0,IF(Q$13&lt;=$M20,IF(ISERROR(MATCH(Q$13,OFFSET($M20,1,0,ROW($M$29)-ROW($M20)-1),0)),ROW($M$29)-ROW($M20)-1,MATCH(Q$13,OFFSET($M20,1,0,ROW($M$29)-ROW($M20)-1),0)-1),0))</f>
        <v>0</v>
      </c>
      <c r="R20" s="193">
        <f t="shared" ref="R20" ca="1" si="17">MIN(OFFSET(M20,0,1,,M20))</f>
        <v>2</v>
      </c>
      <c r="S20" s="194">
        <f ca="1">IF($F21=0,OFFSET(ORÇAMENTO!X$15,$F20,0),IF($F21&lt;&gt;-1,OFFSET(QCI!$O$13,$F21,0),""))</f>
        <v>3153.35</v>
      </c>
      <c r="T20" s="195" t="s">
        <v>785</v>
      </c>
      <c r="U20" s="188" cm="1">
        <f t="array" aca="1" ref="U20" ca="1">IF(AND($R20=2,ACOMPANHAMENTO="BM"),ROUND(U21,4),U22/$S20)</f>
        <v>0.6</v>
      </c>
      <c r="V20" s="188" cm="1">
        <f t="array" aca="1" ref="V20" ca="1">IF(AND($R20=2,ACOMPANHAMENTO="BM"),ROUND(V21,4),V22/$S20)</f>
        <v>0.4</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0.6</v>
      </c>
      <c r="V21" s="587">
        <v>0.4</v>
      </c>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SUMIF(CÁLCULO!$AM$15:$AW$48,CRONO!E$12,CÁLCULO!$AB$15:$AL$48)/(ORÇAMENTO!$X$15-CÁLCULO.TotalAdmLocal)*CRONO!$F22,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SUMIF(CÁLCULO!$AM$15:$AW$48,CRONO!U$12,CÁLCULO!$AB$15:$AL$48)/(ORÇAMENTO!$X$15-CÁLCULO.TotalAdmLocal)*CRONO!$F22,
                        0),
                 U21*$S20),
          SUMIF(OFFSET($S22,1,0,$R20-2),($M20+1)&amp;"$",OFFSET(U22,1,0,$R20-2)))</f>
        <v>1892.0099999999998</v>
      </c>
      <c r="V22" s="202" cm="1">
        <f t="array" aca="1" ref="V22" ca="1">IF($R20=2,
         IF(AND(ACOMPANHAMENTO="PLE",ISNUMBER($F20)),
                SUMIF((OFFSET(CÁLCULO!$AM$15:$AW$15,$F20,0,OFFSET(ORÇAMENTO!$D$15,CRONO!$F20,0))),CRONO!V$12,OFFSET(CÁLCULO!$AB$15:$AL$15,$F20,0,OFFSET(ORÇAMENTO!$D$15,CRONO!$F20,0)))
                +IF(AND($F22&lt;&gt;"",$F22&lt;&gt;0),
                        SUMIF(CÁLCULO!$AM$15:$AW$48,CRONO!V$12,CÁLCULO!$AB$15:$AL$48)/(ORÇAMENTO!$X$15-CÁLCULO.TotalAdmLocal)*CRONO!$F22,
                        0),
                 V21*$S20),
          SUMIF(OFFSET($S22,1,0,$R20-2),($M20+1)&amp;"$",OFFSET(V22,1,0,$R20-2)))</f>
        <v>1261.3400000000001</v>
      </c>
      <c r="W22" s="202" cm="1">
        <f t="array" aca="1" ref="W22" ca="1">IF($R20=2,
         IF(AND(ACOMPANHAMENTO="PLE",ISNUMBER($F20)),
                SUMIF((OFFSET(CÁLCULO!$AM$15:$AW$15,$F20,0,OFFSET(ORÇAMENTO!$D$15,CRONO!$F20,0))),CRONO!W$12,OFFSET(CÁLCULO!$AB$15:$AL$15,$F20,0,OFFSET(ORÇAMENTO!$D$15,CRONO!$F20,0)))
                +IF(AND($F22&lt;&gt;"",$F22&lt;&gt;0),
                        SUMIF(CÁLCULO!$AM$15:$AW$48,CRONO!W$12,CÁLCULO!$AB$15:$AL$48)/(ORÇAMENTO!$X$15-CÁLCULO.TotalAdmLocal)*CRONO!$F22,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SUMIF(CÁLCULO!$AM$15:$AW$48,CRONO!X$12,CÁLCULO!$AB$15:$AL$48)/(ORÇAMENTO!$X$15-CÁLCULO.TotalAdmLocal)*CRONO!$F22,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SUMIF(CÁLCULO!$AM$15:$AW$48,CRONO!Y$12,CÁLCULO!$AB$15:$AL$48)/(ORÇAMENTO!$X$15-CÁLCULO.TotalAdmLocal)*CRONO!$F22,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SUMIF(CÁLCULO!$AM$15:$AW$48,CRONO!Z$12,CÁLCULO!$AB$15:$AL$48)/(ORÇAMENTO!$X$15-CÁLCULO.TotalAdmLocal)*CRONO!$F22,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SUMIF(CÁLCULO!$AM$15:$AW$48,CRONO!AA$12,CÁLCULO!$AB$15:$AL$48)/(ORÇAMENTO!$X$15-CÁLCULO.TotalAdmLocal)*CRONO!$F22,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SUMIF(CÁLCULO!$AM$15:$AW$48,CRONO!AB$12,CÁLCULO!$AB$15:$AL$48)/(ORÇAMENTO!$X$15-CÁLCULO.TotalAdmLocal)*CRONO!$F22,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SUMIF(CÁLCULO!$AM$15:$AW$48,CRONO!AC$12,CÁLCULO!$AB$15:$AL$48)/(ORÇAMENTO!$X$15-CÁLCULO.TotalAdmLocal)*CRONO!$F22,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SUMIF(CÁLCULO!$AM$15:$AW$48,CRONO!AD$12,CÁLCULO!$AB$15:$AL$48)/(ORÇAMENTO!$X$15-CÁLCULO.TotalAdmLocal)*CRONO!$F22,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SUMIF(CÁLCULO!$AM$15:$AW$48,CRONO!AE$12,CÁLCULO!$AB$15:$AL$48)/(ORÇAMENTO!$X$15-CÁLCULO.TotalAdmLocal)*CRONO!$F22,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SUMIF(CÁLCULO!$AM$15:$AW$48,CRONO!AF$12,CÁLCULO!$AB$15:$AL$48)/(ORÇAMENTO!$X$15-CÁLCULO.TotalAdmLocal)*CRONO!$F22,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0.99999999999999989</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19</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VIGAS CABECEIRAS</v>
      </c>
      <c r="K23" s="191"/>
      <c r="L23" s="191"/>
      <c r="M23" s="192">
        <f ca="1">IF($F24=0,OFFSET(ORÇAMENTO!C$15,$F23,0),1)</f>
        <v>2</v>
      </c>
      <c r="N23" s="193">
        <f ca="1">IF($F24=-1,0,IF(N$13&lt;=$M23,IF(ISERROR(MATCH(N$13,OFFSET($M23,1,0,ROW($M$29)-ROW($M23)-1),0)),ROW($M$29)-ROW($M23)-1,MATCH(N$13,OFFSET($M23,1,0,ROW($M$29)-ROW($M23)-1),0)-1),0))</f>
        <v>5</v>
      </c>
      <c r="O23" s="193">
        <f ca="1">IF($F24=-1,0,IF(O$13&lt;=$M23,IF(ISERROR(MATCH(O$13,OFFSET($M23,1,0,ROW($M$29)-ROW($M23)-1),0)),ROW($M$29)-ROW($M23)-1,MATCH(O$13,OFFSET($M23,1,0,ROW($M$29)-ROW($M23)-1),0)-1),0))</f>
        <v>2</v>
      </c>
      <c r="P23" s="193">
        <f ca="1">IF($F24=-1,0,IF(P$13&lt;=$M23,IF(ISERROR(MATCH(P$13,OFFSET($M23,1,0,ROW($M$29)-ROW($M23)-1),0)),ROW($M$29)-ROW($M23)-1,MATCH(P$13,OFFSET($M23,1,0,ROW($M$29)-ROW($M23)-1),0)-1),0))</f>
        <v>0</v>
      </c>
      <c r="Q23" s="193">
        <f ca="1">IF($F24=-1,0,IF(Q$13&lt;=$M23,IF(ISERROR(MATCH(Q$13,OFFSET($M23,1,0,ROW($M$29)-ROW($M23)-1),0)),ROW($M$29)-ROW($M23)-1,MATCH(Q$13,OFFSET($M23,1,0,ROW($M$29)-ROW($M23)-1),0)-1),0))</f>
        <v>0</v>
      </c>
      <c r="R23" s="193">
        <f t="shared" ref="R23" ca="1" si="23">MIN(OFFSET(M23,0,1,,M23))</f>
        <v>2</v>
      </c>
      <c r="S23" s="194">
        <f ca="1">IF($F24=0,OFFSET(ORÇAMENTO!X$15,$F23,0),IF($F24&lt;&gt;-1,OFFSET(QCI!$O$13,$F24,0),""))</f>
        <v>6115.31</v>
      </c>
      <c r="T23" s="195" t="s">
        <v>785</v>
      </c>
      <c r="U23" s="188" cm="1">
        <f t="array" aca="1" ref="U23" ca="1">IF(AND($R23=2,ACOMPANHAMENTO="BM"),ROUND(U24,4),U25/$S23)</f>
        <v>0</v>
      </c>
      <c r="V23" s="188" cm="1">
        <f t="array" aca="1" ref="V23" ca="1">IF(AND($R23=2,ACOMPANHAMENTO="BM"),ROUND(V24,4),V25/$S23)</f>
        <v>1</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c r="V24" s="587">
        <v>1</v>
      </c>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SUMIF(CÁLCULO!$AM$15:$AW$48,CRONO!E$12,CÁLCULO!$AB$15:$AL$48)/(ORÇAMENTO!$X$15-CÁLCULO.TotalAdmLocal)*CRONO!$F25,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SUMIF(CÁLCULO!$AM$15:$AW$48,CRONO!U$12,CÁLCULO!$AB$15:$AL$48)/(ORÇAMENTO!$X$15-CÁLCULO.TotalAdmLocal)*CRONO!$F25,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SUMIF(CÁLCULO!$AM$15:$AW$48,CRONO!V$12,CÁLCULO!$AB$15:$AL$48)/(ORÇAMENTO!$X$15-CÁLCULO.TotalAdmLocal)*CRONO!$F25,
                        0),
                 V24*$S23),
          SUMIF(OFFSET($S25,1,0,$R23-2),($M23+1)&amp;"$",OFFSET(V25,1,0,$R23-2)))</f>
        <v>6115.31</v>
      </c>
      <c r="W25" s="202" cm="1">
        <f t="array" aca="1" ref="W25" ca="1">IF($R23=2,
         IF(AND(ACOMPANHAMENTO="PLE",ISNUMBER($F23)),
                SUMIF((OFFSET(CÁLCULO!$AM$15:$AW$15,$F23,0,OFFSET(ORÇAMENTO!$D$15,CRONO!$F23,0))),CRONO!W$12,OFFSET(CÁLCULO!$AB$15:$AL$15,$F23,0,OFFSET(ORÇAMENTO!$D$15,CRONO!$F23,0)))
                +IF(AND($F25&lt;&gt;"",$F25&lt;&gt;0),
                        SUMIF(CÁLCULO!$AM$15:$AW$48,CRONO!W$12,CÁLCULO!$AB$15:$AL$48)/(ORÇAMENTO!$X$15-CÁLCULO.TotalAdmLocal)*CRONO!$F25,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SUMIF(CÁLCULO!$AM$15:$AW$48,CRONO!X$12,CÁLCULO!$AB$15:$AL$48)/(ORÇAMENTO!$X$15-CÁLCULO.TotalAdmLocal)*CRONO!$F25,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SUMIF(CÁLCULO!$AM$15:$AW$48,CRONO!Y$12,CÁLCULO!$AB$15:$AL$48)/(ORÇAMENTO!$X$15-CÁLCULO.TotalAdmLocal)*CRONO!$F25,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SUMIF(CÁLCULO!$AM$15:$AW$48,CRONO!Z$12,CÁLCULO!$AB$15:$AL$48)/(ORÇAMENTO!$X$15-CÁLCULO.TotalAdmLocal)*CRONO!$F25,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SUMIF(CÁLCULO!$AM$15:$AW$48,CRONO!AA$12,CÁLCULO!$AB$15:$AL$48)/(ORÇAMENTO!$X$15-CÁLCULO.TotalAdmLocal)*CRONO!$F25,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SUMIF(CÁLCULO!$AM$15:$AW$48,CRONO!AB$12,CÁLCULO!$AB$15:$AL$48)/(ORÇAMENTO!$X$15-CÁLCULO.TotalAdmLocal)*CRONO!$F25,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SUMIF(CÁLCULO!$AM$15:$AW$48,CRONO!AC$12,CÁLCULO!$AB$15:$AL$48)/(ORÇAMENTO!$X$15-CÁLCULO.TotalAdmLocal)*CRONO!$F25,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SUMIF(CÁLCULO!$AM$15:$AW$48,CRONO!AD$12,CÁLCULO!$AB$15:$AL$48)/(ORÇAMENTO!$X$15-CÁLCULO.TotalAdmLocal)*CRONO!$F25,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SUMIF(CÁLCULO!$AM$15:$AW$48,CRONO!AE$12,CÁLCULO!$AB$15:$AL$48)/(ORÇAMENTO!$X$15-CÁLCULO.TotalAdmLocal)*CRONO!$F25,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SUMIF(CÁLCULO!$AM$15:$AW$48,CRONO!AF$12,CÁLCULO!$AB$15:$AL$48)/(ORÇAMENTO!$X$15-CÁLCULO.TotalAdmLocal)*CRONO!$F25,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30</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SINALIZAÇÃO</v>
      </c>
      <c r="K26" s="191"/>
      <c r="L26" s="191"/>
      <c r="M26" s="192">
        <f ca="1">IF($F27=0,OFFSET(ORÇAMENTO!C$15,$F26,0),1)</f>
        <v>2</v>
      </c>
      <c r="N26" s="193">
        <f ca="1">IF($F27=-1,0,IF(N$13&lt;=$M26,IF(ISERROR(MATCH(N$13,OFFSET($M26,1,0,ROW($M$29)-ROW($M26)-1),0)),ROW($M$29)-ROW($M26)-1,MATCH(N$13,OFFSET($M26,1,0,ROW($M$29)-ROW($M26)-1),0)-1),0))</f>
        <v>2</v>
      </c>
      <c r="O26" s="193">
        <f ca="1">IF($F27=-1,0,IF(O$13&lt;=$M26,IF(ISERROR(MATCH(O$13,OFFSET($M26,1,0,ROW($M$29)-ROW($M26)-1),0)),ROW($M$29)-ROW($M26)-1,MATCH(O$13,OFFSET($M26,1,0,ROW($M$29)-ROW($M26)-1),0)-1),0))</f>
        <v>2</v>
      </c>
      <c r="P26" s="193">
        <f ca="1">IF($F27=-1,0,IF(P$13&lt;=$M26,IF(ISERROR(MATCH(P$13,OFFSET($M26,1,0,ROW($M$29)-ROW($M26)-1),0)),ROW($M$29)-ROW($M26)-1,MATCH(P$13,OFFSET($M26,1,0,ROW($M$29)-ROW($M26)-1),0)-1),0))</f>
        <v>0</v>
      </c>
      <c r="Q26" s="193">
        <f ca="1">IF($F27=-1,0,IF(Q$13&lt;=$M26,IF(ISERROR(MATCH(Q$13,OFFSET($M26,1,0,ROW($M$29)-ROW($M26)-1),0)),ROW($M$29)-ROW($M26)-1,MATCH(Q$13,OFFSET($M26,1,0,ROW($M$29)-ROW($M26)-1),0)-1),0))</f>
        <v>0</v>
      </c>
      <c r="R26" s="193">
        <f t="shared" ref="R26" ca="1" si="29">MIN(OFFSET(M26,0,1,,M26))</f>
        <v>2</v>
      </c>
      <c r="S26" s="194">
        <f ca="1">IF($F27=0,OFFSET(ORÇAMENTO!X$15,$F26,0),IF($F27&lt;&gt;-1,OFFSET(QCI!$O$13,$F27,0),""))</f>
        <v>5192.6000000000004</v>
      </c>
      <c r="T26" s="195" t="s">
        <v>785</v>
      </c>
      <c r="U26" s="188" cm="1">
        <f t="array" aca="1" ref="U26" ca="1">IF(AND($R26=2,ACOMPANHAMENTO="BM"),ROUND(U27,4),U28/$S26)</f>
        <v>0</v>
      </c>
      <c r="V26" s="188" cm="1">
        <f t="array" aca="1" ref="V26" ca="1">IF(AND($R26=2,ACOMPANHAMENTO="BM"),ROUND(V27,4),V28/$S26)</f>
        <v>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c r="V27" s="587">
        <v>1</v>
      </c>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SUMIF(CÁLCULO!$AM$15:$AW$48,CRONO!E$12,CÁLCULO!$AB$15:$AL$48)/(ORÇAMENTO!$X$15-CÁLCULO.TotalAdmLocal)*CRONO!$F28,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SUMIF(CÁLCULO!$AM$15:$AW$48,CRONO!U$12,CÁLCULO!$AB$15:$AL$48)/(ORÇAMENTO!$X$15-CÁLCULO.TotalAdmLocal)*CRONO!$F28,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SUMIF(CÁLCULO!$AM$15:$AW$48,CRONO!V$12,CÁLCULO!$AB$15:$AL$48)/(ORÇAMENTO!$X$15-CÁLCULO.TotalAdmLocal)*CRONO!$F28,
                        0),
                 V27*$S26),
          SUMIF(OFFSET($S28,1,0,$R26-2),($M26+1)&amp;"$",OFFSET(V28,1,0,$R26-2)))</f>
        <v>5192.6000000000004</v>
      </c>
      <c r="W28" s="202" cm="1">
        <f t="array" aca="1" ref="W28" ca="1">IF($R26=2,
         IF(AND(ACOMPANHAMENTO="PLE",ISNUMBER($F26)),
                SUMIF((OFFSET(CÁLCULO!$AM$15:$AW$15,$F26,0,OFFSET(ORÇAMENTO!$D$15,CRONO!$F26,0))),CRONO!W$12,OFFSET(CÁLCULO!$AB$15:$AL$15,$F26,0,OFFSET(ORÇAMENTO!$D$15,CRONO!$F26,0)))
                +IF(AND($F28&lt;&gt;"",$F28&lt;&gt;0),
                        SUMIF(CÁLCULO!$AM$15:$AW$48,CRONO!W$12,CÁLCULO!$AB$15:$AL$48)/(ORÇAMENTO!$X$15-CÁLCULO.TotalAdmLocal)*CRONO!$F28,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SUMIF(CÁLCULO!$AM$15:$AW$48,CRONO!X$12,CÁLCULO!$AB$15:$AL$48)/(ORÇAMENTO!$X$15-CÁLCULO.TotalAdmLocal)*CRONO!$F28,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SUMIF(CÁLCULO!$AM$15:$AW$48,CRONO!Y$12,CÁLCULO!$AB$15:$AL$48)/(ORÇAMENTO!$X$15-CÁLCULO.TotalAdmLocal)*CRONO!$F28,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SUMIF(CÁLCULO!$AM$15:$AW$48,CRONO!Z$12,CÁLCULO!$AB$15:$AL$48)/(ORÇAMENTO!$X$15-CÁLCULO.TotalAdmLocal)*CRONO!$F28,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SUMIF(CÁLCULO!$AM$15:$AW$48,CRONO!AA$12,CÁLCULO!$AB$15:$AL$48)/(ORÇAMENTO!$X$15-CÁLCULO.TotalAdmLocal)*CRONO!$F28,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SUMIF(CÁLCULO!$AM$15:$AW$48,CRONO!AB$12,CÁLCULO!$AB$15:$AL$48)/(ORÇAMENTO!$X$15-CÁLCULO.TotalAdmLocal)*CRONO!$F28,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SUMIF(CÁLCULO!$AM$15:$AW$48,CRONO!AC$12,CÁLCULO!$AB$15:$AL$48)/(ORÇAMENTO!$X$15-CÁLCULO.TotalAdmLocal)*CRONO!$F28,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SUMIF(CÁLCULO!$AM$15:$AW$48,CRONO!AD$12,CÁLCULO!$AB$15:$AL$48)/(ORÇAMENTO!$X$15-CÁLCULO.TotalAdmLocal)*CRONO!$F28,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SUMIF(CÁLCULO!$AM$15:$AW$48,CRONO!AE$12,CÁLCULO!$AB$15:$AL$48)/(ORÇAMENTO!$X$15-CÁLCULO.TotalAdmLocal)*CRONO!$F28,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SUMIF(CÁLCULO!$AM$15:$AW$48,CRONO!AF$12,CÁLCULO!$AB$15:$AL$48)/(ORÇAMENTO!$X$15-CÁLCULO.TotalAdmLocal)*CRONO!$F28,
                        0),
                 AF27*$S26),
          SUMIF(OFFSET($S28,1,0,$R26-2),($M26+1)&amp;"$",OFFSET(AF28,1,0,$R26-2)))</f>
        <v>0</v>
      </c>
      <c r="AG28" s="534"/>
    </row>
    <row r="29" spans="1:33" ht="5.0999999999999996" customHeight="1" x14ac:dyDescent="0.2">
      <c r="E29" s="640"/>
      <c r="G29" s="185" t="s">
        <v>536</v>
      </c>
      <c r="H29" s="432"/>
      <c r="I29" s="641"/>
      <c r="J29" s="642"/>
      <c r="K29" s="642"/>
      <c r="L29" s="642"/>
      <c r="M29" s="643" t="s">
        <v>797</v>
      </c>
      <c r="N29" s="643"/>
      <c r="O29" s="643"/>
      <c r="P29" s="643"/>
      <c r="Q29" s="643"/>
      <c r="R29" s="643"/>
      <c r="S29" s="644"/>
      <c r="T29" s="644"/>
      <c r="U29" s="642"/>
      <c r="V29" s="642"/>
      <c r="W29" s="642"/>
      <c r="X29" s="642"/>
      <c r="Y29" s="642"/>
      <c r="Z29" s="642"/>
      <c r="AA29" s="642"/>
      <c r="AB29" s="642"/>
      <c r="AC29" s="642"/>
      <c r="AD29" s="642"/>
      <c r="AE29" s="642"/>
      <c r="AF29" s="642"/>
      <c r="AG29" s="534"/>
    </row>
    <row r="30" spans="1:33" ht="12.75" customHeight="1" x14ac:dyDescent="0.2">
      <c r="E30" s="528">
        <f ca="1">E34/$R$30</f>
        <v>0</v>
      </c>
      <c r="G30" s="185" t="s">
        <v>536</v>
      </c>
      <c r="I30" s="767" t="str">
        <f ca="1">"Total:    R$ "&amp;TEXT(R30,"#.##0,00")</f>
        <v>Total:    R$ 14.461,26</v>
      </c>
      <c r="J30" s="767"/>
      <c r="K30" s="767"/>
      <c r="L30" s="227"/>
      <c r="R30" s="228">
        <f ca="1">SUMIF(M12:M29,1,S12:S29)</f>
        <v>14461.26</v>
      </c>
      <c r="S30" s="229"/>
      <c r="T30" s="230" t="s">
        <v>798</v>
      </c>
      <c r="U30" s="528">
        <f t="shared" ref="U30:AF30" ca="1" si="32">ROUND(U34,2)/$R$30</f>
        <v>0.13083299795453507</v>
      </c>
      <c r="V30" s="528">
        <f t="shared" ca="1" si="32"/>
        <v>0.86916700204546493</v>
      </c>
      <c r="W30" s="528">
        <f t="shared" ca="1" si="32"/>
        <v>0</v>
      </c>
      <c r="X30" s="528">
        <f t="shared" ca="1" si="32"/>
        <v>0</v>
      </c>
      <c r="Y30" s="528">
        <f t="shared" ca="1" si="32"/>
        <v>0</v>
      </c>
      <c r="Z30" s="528">
        <f t="shared" ca="1" si="32"/>
        <v>0</v>
      </c>
      <c r="AA30" s="528">
        <f t="shared" ca="1" si="32"/>
        <v>0</v>
      </c>
      <c r="AB30" s="528">
        <f t="shared" ca="1" si="32"/>
        <v>0</v>
      </c>
      <c r="AC30" s="528">
        <f t="shared" ca="1" si="32"/>
        <v>0</v>
      </c>
      <c r="AD30" s="528">
        <f t="shared" ca="1" si="32"/>
        <v>0</v>
      </c>
      <c r="AE30" s="528">
        <f t="shared" ca="1" si="32"/>
        <v>0</v>
      </c>
      <c r="AF30" s="539">
        <f t="shared" ca="1" si="32"/>
        <v>0</v>
      </c>
      <c r="AG30" s="534"/>
    </row>
    <row r="31" spans="1:33" ht="15" customHeight="1" x14ac:dyDescent="0.2">
      <c r="E31" s="231">
        <f ca="1">IF(E$12=1,ROUND(E36,2),ROUND(E36,2)-ROUND(D36,2))</f>
        <v>0</v>
      </c>
      <c r="G31" s="185" t="s">
        <v>536</v>
      </c>
      <c r="I31" s="767"/>
      <c r="J31" s="767"/>
      <c r="K31" s="767"/>
      <c r="L31" s="232"/>
      <c r="R31" s="228"/>
      <c r="S31" s="233"/>
      <c r="T31" s="234" t="str">
        <f>IF(import.recurso="FGTS","Financiamento:","Repasse:")</f>
        <v>Repasse:</v>
      </c>
      <c r="U31" s="231">
        <f t="shared" ref="U31:AF31" ca="1" si="33">IF(U$12=1,ROUND(U36,2),ROUND(U36,2)-ROUND(T36,2))</f>
        <v>0</v>
      </c>
      <c r="V31" s="231">
        <f t="shared" ca="1" si="33"/>
        <v>0</v>
      </c>
      <c r="W31" s="231">
        <f t="shared" ca="1" si="33"/>
        <v>0</v>
      </c>
      <c r="X31" s="231">
        <f t="shared" ca="1" si="33"/>
        <v>0</v>
      </c>
      <c r="Y31" s="231">
        <f t="shared" ca="1" si="33"/>
        <v>0</v>
      </c>
      <c r="Z31" s="231">
        <f t="shared" ca="1" si="33"/>
        <v>0</v>
      </c>
      <c r="AA31" s="231">
        <f t="shared" ca="1" si="33"/>
        <v>0</v>
      </c>
      <c r="AB31" s="231">
        <f t="shared" ca="1" si="33"/>
        <v>0</v>
      </c>
      <c r="AC31" s="231">
        <f t="shared" ca="1" si="33"/>
        <v>0</v>
      </c>
      <c r="AD31" s="231">
        <f t="shared" ca="1" si="33"/>
        <v>0</v>
      </c>
      <c r="AE31" s="231">
        <f t="shared" ca="1" si="33"/>
        <v>0</v>
      </c>
      <c r="AF31" s="231">
        <f t="shared" ca="1" si="33"/>
        <v>0</v>
      </c>
      <c r="AG31" s="534"/>
    </row>
    <row r="32" spans="1:33" ht="12.75" customHeight="1" x14ac:dyDescent="0.2">
      <c r="E32" s="529">
        <f ca="1">IF(E$12=1,ROUND(E37,2),ROUND(E37,2)-ROUND(D37,2))</f>
        <v>0</v>
      </c>
      <c r="G32" s="185" t="s">
        <v>536</v>
      </c>
      <c r="I32" s="235"/>
      <c r="L32" s="236" t="s">
        <v>799</v>
      </c>
      <c r="R32" s="228"/>
      <c r="S32" s="237"/>
      <c r="T32" s="238" t="s">
        <v>800</v>
      </c>
      <c r="U32" s="529">
        <f t="shared" ref="U32:AF32" ca="1" si="34">IF(U$12=1,ROUND(U37,2),ROUND(U37,2)-ROUND(T37,2))</f>
        <v>1892.01</v>
      </c>
      <c r="V32" s="529">
        <f t="shared" ca="1" si="34"/>
        <v>12569.25</v>
      </c>
      <c r="W32" s="529">
        <f t="shared" ca="1" si="34"/>
        <v>0</v>
      </c>
      <c r="X32" s="529">
        <f t="shared" ca="1" si="34"/>
        <v>0</v>
      </c>
      <c r="Y32" s="529">
        <f t="shared" ca="1" si="34"/>
        <v>0</v>
      </c>
      <c r="Z32" s="529">
        <f t="shared" ca="1" si="34"/>
        <v>0</v>
      </c>
      <c r="AA32" s="529">
        <f t="shared" ca="1" si="34"/>
        <v>0</v>
      </c>
      <c r="AB32" s="529">
        <f t="shared" ca="1" si="34"/>
        <v>0</v>
      </c>
      <c r="AC32" s="529">
        <f t="shared" ca="1" si="34"/>
        <v>0</v>
      </c>
      <c r="AD32" s="529">
        <f t="shared" ca="1" si="34"/>
        <v>0</v>
      </c>
      <c r="AE32" s="529">
        <f t="shared" ca="1" si="34"/>
        <v>0</v>
      </c>
      <c r="AF32" s="529">
        <f t="shared" ca="1" si="34"/>
        <v>0</v>
      </c>
      <c r="AG32" s="534"/>
    </row>
    <row r="33" spans="4:33" x14ac:dyDescent="0.2">
      <c r="E33" s="239">
        <f ca="1">IF(E$12=1,ROUND(E38,2),ROUND(E38,2)-ROUND(D38,2))</f>
        <v>0</v>
      </c>
      <c r="G33" s="185" t="s">
        <v>536</v>
      </c>
      <c r="I33" s="235"/>
      <c r="L33" s="236"/>
      <c r="R33" s="228"/>
      <c r="S33" s="240"/>
      <c r="T33" s="241" t="s">
        <v>801</v>
      </c>
      <c r="U33" s="239">
        <f t="shared" ref="U33:AF33" ca="1" si="35">IF(U$12=1,ROUND(U38,2),ROUND(U38,2)-ROUND(T38,2))</f>
        <v>0</v>
      </c>
      <c r="V33" s="239">
        <f t="shared" ca="1" si="35"/>
        <v>0</v>
      </c>
      <c r="W33" s="239">
        <f t="shared" ca="1" si="35"/>
        <v>0</v>
      </c>
      <c r="X33" s="239">
        <f t="shared" ca="1" si="35"/>
        <v>0</v>
      </c>
      <c r="Y33" s="239">
        <f t="shared" ca="1" si="35"/>
        <v>0</v>
      </c>
      <c r="Z33" s="239">
        <f t="shared" ca="1" si="35"/>
        <v>0</v>
      </c>
      <c r="AA33" s="239">
        <f t="shared" ca="1" si="35"/>
        <v>0</v>
      </c>
      <c r="AB33" s="239">
        <f t="shared" ca="1" si="35"/>
        <v>0</v>
      </c>
      <c r="AC33" s="239">
        <f t="shared" ca="1" si="35"/>
        <v>0</v>
      </c>
      <c r="AD33" s="239">
        <f t="shared" ca="1" si="35"/>
        <v>0</v>
      </c>
      <c r="AE33" s="239">
        <f t="shared" ca="1" si="35"/>
        <v>0</v>
      </c>
      <c r="AF33" s="239">
        <f t="shared" ca="1" si="35"/>
        <v>0</v>
      </c>
      <c r="AG33" s="534"/>
    </row>
    <row r="34" spans="4:33" x14ac:dyDescent="0.2">
      <c r="E34" s="530">
        <f ca="1">IF(E$12=1,ROUND(E39,2),ROUND(E39,2)-ROUND(D39,2))</f>
        <v>0</v>
      </c>
      <c r="G34" s="185" t="s">
        <v>536</v>
      </c>
      <c r="H34" s="536"/>
      <c r="L34" s="242"/>
      <c r="S34" s="243"/>
      <c r="T34" s="244" t="s">
        <v>802</v>
      </c>
      <c r="U34" s="530">
        <f t="shared" ref="U34:AF34" ca="1" si="36">IF(U$12=1,ROUND(U39,2),ROUND(U39,2)-ROUND(T39,2))</f>
        <v>1892.01</v>
      </c>
      <c r="V34" s="530">
        <f t="shared" ca="1" si="36"/>
        <v>12569.25</v>
      </c>
      <c r="W34" s="530">
        <f t="shared" ca="1" si="36"/>
        <v>0</v>
      </c>
      <c r="X34" s="530">
        <f t="shared" ca="1" si="36"/>
        <v>0</v>
      </c>
      <c r="Y34" s="530">
        <f t="shared" ca="1" si="36"/>
        <v>0</v>
      </c>
      <c r="Z34" s="530">
        <f t="shared" ca="1" si="36"/>
        <v>0</v>
      </c>
      <c r="AA34" s="530">
        <f t="shared" ca="1" si="36"/>
        <v>0</v>
      </c>
      <c r="AB34" s="530">
        <f t="shared" ca="1" si="36"/>
        <v>0</v>
      </c>
      <c r="AC34" s="530">
        <f t="shared" ca="1" si="36"/>
        <v>0</v>
      </c>
      <c r="AD34" s="530">
        <f t="shared" ca="1" si="36"/>
        <v>0</v>
      </c>
      <c r="AE34" s="530">
        <f t="shared" ca="1" si="36"/>
        <v>0</v>
      </c>
      <c r="AF34" s="530">
        <f t="shared" ca="1" si="36"/>
        <v>0</v>
      </c>
      <c r="AG34" s="534"/>
    </row>
    <row r="35" spans="4:33" x14ac:dyDescent="0.2">
      <c r="E35" s="528">
        <f ca="1">ROUND(ROUND(E39,2)/$R$30,4)</f>
        <v>0</v>
      </c>
      <c r="G35" s="185" t="s">
        <v>536</v>
      </c>
      <c r="L35" s="227"/>
      <c r="S35" s="229"/>
      <c r="T35" s="230" t="s">
        <v>798</v>
      </c>
      <c r="U35" s="528">
        <f t="shared" ref="U35:AF35" ca="1" si="37">ROUND(ROUND(U39,2)/$R$30,4)</f>
        <v>0.1308</v>
      </c>
      <c r="V35" s="528">
        <f t="shared" ca="1" si="37"/>
        <v>1</v>
      </c>
      <c r="W35" s="528">
        <f t="shared" ca="1" si="37"/>
        <v>1</v>
      </c>
      <c r="X35" s="528">
        <f t="shared" ca="1" si="37"/>
        <v>1</v>
      </c>
      <c r="Y35" s="528">
        <f t="shared" ca="1" si="37"/>
        <v>1</v>
      </c>
      <c r="Z35" s="528">
        <f t="shared" ca="1" si="37"/>
        <v>1</v>
      </c>
      <c r="AA35" s="528">
        <f t="shared" ca="1" si="37"/>
        <v>1</v>
      </c>
      <c r="AB35" s="528">
        <f t="shared" ca="1" si="37"/>
        <v>1</v>
      </c>
      <c r="AC35" s="528">
        <f t="shared" ca="1" si="37"/>
        <v>1</v>
      </c>
      <c r="AD35" s="528">
        <f t="shared" ca="1" si="37"/>
        <v>1</v>
      </c>
      <c r="AE35" s="528">
        <f t="shared" ca="1" si="37"/>
        <v>1</v>
      </c>
      <c r="AF35" s="528">
        <f t="shared" ca="1" si="37"/>
        <v>1</v>
      </c>
      <c r="AG35" s="534"/>
    </row>
    <row r="36" spans="4:33" x14ac:dyDescent="0.2">
      <c r="E36" s="231">
        <f ca="1">ROUND(E39-E38-E37,2)</f>
        <v>0</v>
      </c>
      <c r="G36" s="185" t="s">
        <v>536</v>
      </c>
      <c r="L36" s="232"/>
      <c r="S36" s="233"/>
      <c r="T36" s="234" t="str">
        <f>IF(import.recurso="FGTS","Financiamento:","Repasse:")</f>
        <v>Repasse:</v>
      </c>
      <c r="U36" s="231">
        <f t="shared" ref="U36:AF36" ca="1" si="38">ROUND(U39-U38-U37,2)</f>
        <v>0</v>
      </c>
      <c r="V36" s="231">
        <f t="shared" ca="1" si="38"/>
        <v>0</v>
      </c>
      <c r="W36" s="231">
        <f t="shared" ca="1" si="38"/>
        <v>0</v>
      </c>
      <c r="X36" s="231">
        <f t="shared" ca="1" si="38"/>
        <v>0</v>
      </c>
      <c r="Y36" s="231">
        <f t="shared" ca="1" si="38"/>
        <v>0</v>
      </c>
      <c r="Z36" s="231">
        <f t="shared" ca="1" si="38"/>
        <v>0</v>
      </c>
      <c r="AA36" s="231">
        <f t="shared" ca="1" si="38"/>
        <v>0</v>
      </c>
      <c r="AB36" s="231">
        <f t="shared" ca="1" si="38"/>
        <v>0</v>
      </c>
      <c r="AC36" s="231">
        <f t="shared" ca="1" si="38"/>
        <v>0</v>
      </c>
      <c r="AD36" s="231">
        <f t="shared" ca="1" si="38"/>
        <v>0</v>
      </c>
      <c r="AE36" s="231">
        <f t="shared" ca="1" si="38"/>
        <v>0</v>
      </c>
      <c r="AF36" s="231">
        <f t="shared" ca="1" si="38"/>
        <v>0</v>
      </c>
      <c r="AG36" s="534"/>
    </row>
    <row r="37" spans="4:33" x14ac:dyDescent="0.2">
      <c r="E37" s="529" cm="1">
        <f t="array" aca="1" ref="E37" ca="1">IF(E$12=1,0,OFFSET(E37,0,-1))+SUM((OFFSET($C$13,1,0):OFFSET($C$29,-3,0))*IF(ISNUMBER(OFFSET(E$11,5,0):OFFSET(E$29,-1,0)),OFFSET(E$11,5,0):OFFSET(E$29,-1,0),0))</f>
        <v>0</v>
      </c>
      <c r="G37" s="185" t="s">
        <v>536</v>
      </c>
      <c r="L37" s="236" t="s">
        <v>803</v>
      </c>
      <c r="S37" s="237"/>
      <c r="T37" s="238" t="s">
        <v>800</v>
      </c>
      <c r="U37" s="529" cm="1">
        <f t="array" aca="1" ref="U37" ca="1">IF(U$12=1,0,OFFSET(U37,0,-1))+SUM((OFFSET($C$13,1,0):OFFSET($C$29,-3,0))*IF(ISNUMBER(OFFSET(U$11,5,0):OFFSET(U$29,-1,0)),OFFSET(U$11,5,0):OFFSET(U$29,-1,0),0))</f>
        <v>1892.0099999999998</v>
      </c>
      <c r="V37" s="529" cm="1">
        <f t="array" aca="1" ref="V37" ca="1">IF(V$12=1,0,OFFSET(V37,0,-1))+SUM((OFFSET($C$13,1,0):OFFSET($C$29,-3,0))*IF(ISNUMBER(OFFSET(V$11,5,0):OFFSET(V$29,-1,0)),OFFSET(V$11,5,0):OFFSET(V$29,-1,0),0))</f>
        <v>14461.26</v>
      </c>
      <c r="W37" s="529" cm="1">
        <f t="array" aca="1" ref="W37" ca="1">IF(W$12=1,0,OFFSET(W37,0,-1))+SUM((OFFSET($C$13,1,0):OFFSET($C$29,-3,0))*IF(ISNUMBER(OFFSET(W$11,5,0):OFFSET(W$29,-1,0)),OFFSET(W$11,5,0):OFFSET(W$29,-1,0),0))</f>
        <v>14461.26</v>
      </c>
      <c r="X37" s="529" cm="1">
        <f t="array" aca="1" ref="X37" ca="1">IF(X$12=1,0,OFFSET(X37,0,-1))+SUM((OFFSET($C$13,1,0):OFFSET($C$29,-3,0))*IF(ISNUMBER(OFFSET(X$11,5,0):OFFSET(X$29,-1,0)),OFFSET(X$11,5,0):OFFSET(X$29,-1,0),0))</f>
        <v>14461.26</v>
      </c>
      <c r="Y37" s="529" cm="1">
        <f t="array" aca="1" ref="Y37" ca="1">IF(Y$12=1,0,OFFSET(Y37,0,-1))+SUM((OFFSET($C$13,1,0):OFFSET($C$29,-3,0))*IF(ISNUMBER(OFFSET(Y$11,5,0):OFFSET(Y$29,-1,0)),OFFSET(Y$11,5,0):OFFSET(Y$29,-1,0),0))</f>
        <v>14461.26</v>
      </c>
      <c r="Z37" s="529" cm="1">
        <f t="array" aca="1" ref="Z37" ca="1">IF(Z$12=1,0,OFFSET(Z37,0,-1))+SUM((OFFSET($C$13,1,0):OFFSET($C$29,-3,0))*IF(ISNUMBER(OFFSET(Z$11,5,0):OFFSET(Z$29,-1,0)),OFFSET(Z$11,5,0):OFFSET(Z$29,-1,0),0))</f>
        <v>14461.26</v>
      </c>
      <c r="AA37" s="529" cm="1">
        <f t="array" aca="1" ref="AA37" ca="1">IF(AA$12=1,0,OFFSET(AA37,0,-1))+SUM((OFFSET($C$13,1,0):OFFSET($C$29,-3,0))*IF(ISNUMBER(OFFSET(AA$11,5,0):OFFSET(AA$29,-1,0)),OFFSET(AA$11,5,0):OFFSET(AA$29,-1,0),0))</f>
        <v>14461.26</v>
      </c>
      <c r="AB37" s="529" cm="1">
        <f t="array" aca="1" ref="AB37" ca="1">IF(AB$12=1,0,OFFSET(AB37,0,-1))+SUM((OFFSET($C$13,1,0):OFFSET($C$29,-3,0))*IF(ISNUMBER(OFFSET(AB$11,5,0):OFFSET(AB$29,-1,0)),OFFSET(AB$11,5,0):OFFSET(AB$29,-1,0),0))</f>
        <v>14461.26</v>
      </c>
      <c r="AC37" s="529" cm="1">
        <f t="array" aca="1" ref="AC37" ca="1">IF(AC$12=1,0,OFFSET(AC37,0,-1))+SUM((OFFSET($C$13,1,0):OFFSET($C$29,-3,0))*IF(ISNUMBER(OFFSET(AC$11,5,0):OFFSET(AC$29,-1,0)),OFFSET(AC$11,5,0):OFFSET(AC$29,-1,0),0))</f>
        <v>14461.26</v>
      </c>
      <c r="AD37" s="529" cm="1">
        <f t="array" aca="1" ref="AD37" ca="1">IF(AD$12=1,0,OFFSET(AD37,0,-1))+SUM((OFFSET($C$13,1,0):OFFSET($C$29,-3,0))*IF(ISNUMBER(OFFSET(AD$11,5,0):OFFSET(AD$29,-1,0)),OFFSET(AD$11,5,0):OFFSET(AD$29,-1,0),0))</f>
        <v>14461.26</v>
      </c>
      <c r="AE37" s="529" cm="1">
        <f t="array" aca="1" ref="AE37" ca="1">IF(AE$12=1,0,OFFSET(AE37,0,-1))+SUM((OFFSET($C$13,1,0):OFFSET($C$29,-3,0))*IF(ISNUMBER(OFFSET(AE$11,5,0):OFFSET(AE$29,-1,0)),OFFSET(AE$11,5,0):OFFSET(AE$29,-1,0),0))</f>
        <v>14461.26</v>
      </c>
      <c r="AF37" s="529" cm="1">
        <f t="array" aca="1" ref="AF37" ca="1">IF(AF$12=1,0,OFFSET(AF37,0,-1))+SUM((OFFSET($C$13,1,0):OFFSET($C$29,-3,0))*IF(ISNUMBER(OFFSET(AF$11,5,0):OFFSET(AF$29,-1,0)),OFFSET(AF$11,5,0):OFFSET(AF$29,-1,0),0))</f>
        <v>14461.26</v>
      </c>
      <c r="AG37" s="534"/>
    </row>
    <row r="38" spans="4:33" x14ac:dyDescent="0.2">
      <c r="E38" s="239" cm="1">
        <f t="array" aca="1" ref="E38" ca="1">IF(E$12=1,0,OFFSET(E38,0,-1))+SUM((OFFSET($D$13,1,0):OFFSET($D$29,-3,0))*IF(ISNUMBER(OFFSET(E$11,5,0):OFFSET(E$29,-1,0)),OFFSET(E$11,5,0):OFFSET(E$29,-1,0),0))</f>
        <v>0</v>
      </c>
      <c r="G38" s="185" t="s">
        <v>536</v>
      </c>
      <c r="L38" s="236"/>
      <c r="S38" s="240"/>
      <c r="T38" s="241" t="s">
        <v>801</v>
      </c>
      <c r="U38" s="239" cm="1">
        <f t="array" aca="1" ref="U38" ca="1">IF(U$12=1,0,OFFSET(U38,0,-1))+SUM((OFFSET($D$13,1,0):OFFSET($D$29,-3,0))*IF(ISNUMBER(OFFSET(U$11,5,0):OFFSET(U$29,-1,0)),OFFSET(U$11,5,0):OFFSET(U$29,-1,0),0))</f>
        <v>0</v>
      </c>
      <c r="V38" s="239" cm="1">
        <f t="array" aca="1" ref="V38" ca="1">IF(V$12=1,0,OFFSET(V38,0,-1))+SUM((OFFSET($D$13,1,0):OFFSET($D$29,-3,0))*IF(ISNUMBER(OFFSET(V$11,5,0):OFFSET(V$29,-1,0)),OFFSET(V$11,5,0):OFFSET(V$29,-1,0),0))</f>
        <v>0</v>
      </c>
      <c r="W38" s="239" cm="1">
        <f t="array" aca="1" ref="W38" ca="1">IF(W$12=1,0,OFFSET(W38,0,-1))+SUM((OFFSET($D$13,1,0):OFFSET($D$29,-3,0))*IF(ISNUMBER(OFFSET(W$11,5,0):OFFSET(W$29,-1,0)),OFFSET(W$11,5,0):OFFSET(W$29,-1,0),0))</f>
        <v>0</v>
      </c>
      <c r="X38" s="239" cm="1">
        <f t="array" aca="1" ref="X38" ca="1">IF(X$12=1,0,OFFSET(X38,0,-1))+SUM((OFFSET($D$13,1,0):OFFSET($D$29,-3,0))*IF(ISNUMBER(OFFSET(X$11,5,0):OFFSET(X$29,-1,0)),OFFSET(X$11,5,0):OFFSET(X$29,-1,0),0))</f>
        <v>0</v>
      </c>
      <c r="Y38" s="239" cm="1">
        <f t="array" aca="1" ref="Y38" ca="1">IF(Y$12=1,0,OFFSET(Y38,0,-1))+SUM((OFFSET($D$13,1,0):OFFSET($D$29,-3,0))*IF(ISNUMBER(OFFSET(Y$11,5,0):OFFSET(Y$29,-1,0)),OFFSET(Y$11,5,0):OFFSET(Y$29,-1,0),0))</f>
        <v>0</v>
      </c>
      <c r="Z38" s="239" cm="1">
        <f t="array" aca="1" ref="Z38" ca="1">IF(Z$12=1,0,OFFSET(Z38,0,-1))+SUM((OFFSET($D$13,1,0):OFFSET($D$29,-3,0))*IF(ISNUMBER(OFFSET(Z$11,5,0):OFFSET(Z$29,-1,0)),OFFSET(Z$11,5,0):OFFSET(Z$29,-1,0),0))</f>
        <v>0</v>
      </c>
      <c r="AA38" s="239" cm="1">
        <f t="array" aca="1" ref="AA38" ca="1">IF(AA$12=1,0,OFFSET(AA38,0,-1))+SUM((OFFSET($D$13,1,0):OFFSET($D$29,-3,0))*IF(ISNUMBER(OFFSET(AA$11,5,0):OFFSET(AA$29,-1,0)),OFFSET(AA$11,5,0):OFFSET(AA$29,-1,0),0))</f>
        <v>0</v>
      </c>
      <c r="AB38" s="239" cm="1">
        <f t="array" aca="1" ref="AB38" ca="1">IF(AB$12=1,0,OFFSET(AB38,0,-1))+SUM((OFFSET($D$13,1,0):OFFSET($D$29,-3,0))*IF(ISNUMBER(OFFSET(AB$11,5,0):OFFSET(AB$29,-1,0)),OFFSET(AB$11,5,0):OFFSET(AB$29,-1,0),0))</f>
        <v>0</v>
      </c>
      <c r="AC38" s="239" cm="1">
        <f t="array" aca="1" ref="AC38" ca="1">IF(AC$12=1,0,OFFSET(AC38,0,-1))+SUM((OFFSET($D$13,1,0):OFFSET($D$29,-3,0))*IF(ISNUMBER(OFFSET(AC$11,5,0):OFFSET(AC$29,-1,0)),OFFSET(AC$11,5,0):OFFSET(AC$29,-1,0),0))</f>
        <v>0</v>
      </c>
      <c r="AD38" s="239" cm="1">
        <f t="array" aca="1" ref="AD38" ca="1">IF(AD$12=1,0,OFFSET(AD38,0,-1))+SUM((OFFSET($D$13,1,0):OFFSET($D$29,-3,0))*IF(ISNUMBER(OFFSET(AD$11,5,0):OFFSET(AD$29,-1,0)),OFFSET(AD$11,5,0):OFFSET(AD$29,-1,0),0))</f>
        <v>0</v>
      </c>
      <c r="AE38" s="239" cm="1">
        <f t="array" aca="1" ref="AE38" ca="1">IF(AE$12=1,0,OFFSET(AE38,0,-1))+SUM((OFFSET($D$13,1,0):OFFSET($D$29,-3,0))*IF(ISNUMBER(OFFSET(AE$11,5,0):OFFSET(AE$29,-1,0)),OFFSET(AE$11,5,0):OFFSET(AE$29,-1,0),0))</f>
        <v>0</v>
      </c>
      <c r="AF38" s="239" cm="1">
        <f t="array" aca="1" ref="AF38" ca="1">IF(AF$12=1,0,OFFSET(AF38,0,-1))+SUM((OFFSET($D$13,1,0):OFFSET($D$29,-3,0))*IF(ISNUMBER(OFFSET(AF$11,5,0):OFFSET(AF$29,-1,0)),OFFSET(AF$11,5,0):OFFSET(AF$29,-1,0),0))</f>
        <v>0</v>
      </c>
      <c r="AG38" s="534"/>
    </row>
    <row r="39" spans="4:33" ht="13.5" thickBot="1" x14ac:dyDescent="0.25">
      <c r="D39" s="533"/>
      <c r="E39" s="531">
        <f ca="1">SUMIF($S$12:$S$29,"1$",E12:E29)+IF(E$12&gt;1,OFFSET(E39,0,-1),0)</f>
        <v>0</v>
      </c>
      <c r="G39" s="185" t="s">
        <v>536</v>
      </c>
      <c r="H39" s="522" t="str" cm="1">
        <f t="array" ref="H39">IF(ACOMPANHAMENTO="BM","Selecione o Macrosserviço da Administração Local:","")</f>
        <v>Selecione o Macrosserviço da Administração Local:</v>
      </c>
      <c r="I39"/>
      <c r="L39" s="236"/>
      <c r="S39" s="237"/>
      <c r="T39" s="526" t="s">
        <v>802</v>
      </c>
      <c r="U39" s="531">
        <f t="shared" ref="U39:AF39" ca="1" si="39">SUMIF($S$12:$S$29,"1$",U12:U29)+IF(U$12&gt;1,OFFSET(U39,0,-1),0)</f>
        <v>1892.0099999999998</v>
      </c>
      <c r="V39" s="531">
        <f t="shared" ca="1" si="39"/>
        <v>14461.26</v>
      </c>
      <c r="W39" s="531">
        <f t="shared" ca="1" si="39"/>
        <v>14461.26</v>
      </c>
      <c r="X39" s="531">
        <f t="shared" ca="1" si="39"/>
        <v>14461.26</v>
      </c>
      <c r="Y39" s="531">
        <f t="shared" ca="1" si="39"/>
        <v>14461.26</v>
      </c>
      <c r="Z39" s="531">
        <f t="shared" ca="1" si="39"/>
        <v>14461.26</v>
      </c>
      <c r="AA39" s="531">
        <f t="shared" ca="1" si="39"/>
        <v>14461.26</v>
      </c>
      <c r="AB39" s="531">
        <f t="shared" ca="1" si="39"/>
        <v>14461.26</v>
      </c>
      <c r="AC39" s="531">
        <f t="shared" ca="1" si="39"/>
        <v>14461.26</v>
      </c>
      <c r="AD39" s="531">
        <f t="shared" ca="1" si="39"/>
        <v>14461.26</v>
      </c>
      <c r="AE39" s="531">
        <f t="shared" ca="1" si="39"/>
        <v>14461.26</v>
      </c>
      <c r="AF39" s="540">
        <f t="shared" ca="1" si="39"/>
        <v>14461.26</v>
      </c>
      <c r="AG39" s="534"/>
    </row>
    <row r="40" spans="4:33" ht="13.5" thickBot="1" x14ac:dyDescent="0.25">
      <c r="D40" s="533"/>
      <c r="E40" s="532" t="str">
        <f ca="1">IF($F$40="","",
  IF(ACOMPANHAMENTO="PLE",
     IF(AUTOEVENTO="Manual",
         IF(AdmLocal="Automática",
              E35,
              SUMIF(OFFSET(CRONOPLE!$F$14,CRONOPLE!$A$8+1,1,1,OFFSET(CRONOPLE!$AF$12,0,-1)),"&lt;="&amp;E$12,OFFSET(EVENTOS!$G$14,CRONOPLE!$A$8+1,1,1,OFFSET(CRONOPLE!$AF$12,0,-1)))/OFFSET(EVENTOS!$G$14,CRONOPLE!$A$8+1,-1)),
         SUMIFS(OFFSET(CÁLCULO!$AA$15,$F$40,1,OFFSET(ORÇAMENTO!$D$15,$F$40,0),CÁLCULO.FrentesPreenchidas),OFFSET(CÁLCULO!$AL$15,$F$40,1,OFFSET(ORÇAMENTO!$D$15,$F$40,0),CÁLCULO.FrentesPreenchidas),"&lt;="&amp;E$12)/OFFSET(ORÇAMENTO!$X$15,$F$40,0)),
     IF(ACOMPANHAMENTO="BM",SUM(OFFSET($T$13,$F$40+2,1,1,E$12))/OFFSET($S$13,$F$40,0),"")))</f>
        <v/>
      </c>
      <c r="F40" s="185" t="str">
        <f>IF(ACOMPANHAMENTO="PLE",
    IF(AUTOEVENTO="Manual",
        IF(AdmLocal="Automática",1,IF(CRONOPLE!$D$8&lt;&gt;"","",MATCH(Import.EventoAdmLocal,EVENTOS!$B$15:$B$65,0))),
        IF(CRONOPLE!$D$8&lt;&gt;"","",CRONOPLE!$A$10)),
    IF($H$41&lt;&gt;"","",MATCH(Import.MacrosserviçoAdmLocal,$A$13:$A$29,0)-1))</f>
        <v/>
      </c>
      <c r="G40" s="185" t="s">
        <v>536</v>
      </c>
      <c r="H40" s="732" t="s">
        <v>250</v>
      </c>
      <c r="I40" s="772"/>
      <c r="J40" s="733"/>
      <c r="L40" s="242"/>
      <c r="S40" s="525"/>
      <c r="T40" s="527" t="s">
        <v>804</v>
      </c>
      <c r="U40" s="532" t="str">
        <f ca="1">IF($F$40="","",
  IF(ACOMPANHAMENTO="PLE",
     IF(AUTOEVENTO="Manual",
         IF(AdmLocal="Automática",
              U35,
              SUMIF(OFFSET(CRONOPLE!$F$14,CRONOPLE!$A$8+1,1,1,OFFSET(CRONOPLE!$AF$12,0,-1)),"&lt;="&amp;U$12,OFFSET(EVENTOS!$G$14,CRONOPLE!$A$8+1,1,1,OFFSET(CRONOPLE!$AF$12,0,-1)))/OFFSET(EVENTOS!$G$14,CRONOPLE!$A$8+1,-1)),
         SUMIFS(OFFSET(CÁLCULO!$AA$15,$F$40,1,OFFSET(ORÇAMENTO!$D$15,$F$40,0),CÁLCULO.FrentesPreenchidas),OFFSET(CÁLCULO!$AL$15,$F$40,1,OFFSET(ORÇAMENTO!$D$15,$F$40,0),CÁLCULO.FrentesPreenchidas),"&lt;="&amp;U$12)/OFFSET(ORÇAMENTO!$X$15,$F$40,0)),
     IF(ACOMPANHAMENTO="BM",SUM(OFFSET($T$13,$F$40+2,1,1,U$12))/OFFSET($S$13,$F$40,0),"")))</f>
        <v/>
      </c>
      <c r="V40" s="532" t="str">
        <f ca="1">IF($F$40="","",
  IF(ACOMPANHAMENTO="PLE",
     IF(AUTOEVENTO="Manual",
         IF(AdmLocal="Automática",
              V35,
              SUMIF(OFFSET(CRONOPLE!$F$14,CRONOPLE!$A$8+1,1,1,OFFSET(CRONOPLE!$AF$12,0,-1)),"&lt;="&amp;V$12,OFFSET(EVENTOS!$G$14,CRONOPLE!$A$8+1,1,1,OFFSET(CRONOPLE!$AF$12,0,-1)))/OFFSET(EVENTOS!$G$14,CRONOPLE!$A$8+1,-1)),
         SUMIFS(OFFSET(CÁLCULO!$AA$15,$F$40,1,OFFSET(ORÇAMENTO!$D$15,$F$40,0),CÁLCULO.FrentesPreenchidas),OFFSET(CÁLCULO!$AL$15,$F$40,1,OFFSET(ORÇAMENTO!$D$15,$F$40,0),CÁLCULO.FrentesPreenchidas),"&lt;="&amp;V$12)/OFFSET(ORÇAMENTO!$X$15,$F$40,0)),
     IF(ACOMPANHAMENTO="BM",SUM(OFFSET($T$13,$F$40+2,1,1,V$12))/OFFSET($S$13,$F$40,0),"")))</f>
        <v/>
      </c>
      <c r="W40" s="532" t="str">
        <f ca="1">IF($F$40="","",
  IF(ACOMPANHAMENTO="PLE",
     IF(AUTOEVENTO="Manual",
         IF(AdmLocal="Automática",
              W35,
              SUMIF(OFFSET(CRONOPLE!$F$14,CRONOPLE!$A$8+1,1,1,OFFSET(CRONOPLE!$AF$12,0,-1)),"&lt;="&amp;W$12,OFFSET(EVENTOS!$G$14,CRONOPLE!$A$8+1,1,1,OFFSET(CRONOPLE!$AF$12,0,-1)))/OFFSET(EVENTOS!$G$14,CRONOPLE!$A$8+1,-1)),
         SUMIFS(OFFSET(CÁLCULO!$AA$15,$F$40,1,OFFSET(ORÇAMENTO!$D$15,$F$40,0),CÁLCULO.FrentesPreenchidas),OFFSET(CÁLCULO!$AL$15,$F$40,1,OFFSET(ORÇAMENTO!$D$15,$F$40,0),CÁLCULO.FrentesPreenchidas),"&lt;="&amp;W$12)/OFFSET(ORÇAMENTO!$X$15,$F$40,0)),
     IF(ACOMPANHAMENTO="BM",SUM(OFFSET($T$13,$F$40+2,1,1,W$12))/OFFSET($S$13,$F$40,0),"")))</f>
        <v/>
      </c>
      <c r="X40" s="532" t="str">
        <f ca="1">IF($F$40="","",
  IF(ACOMPANHAMENTO="PLE",
     IF(AUTOEVENTO="Manual",
         IF(AdmLocal="Automática",
              X35,
              SUMIF(OFFSET(CRONOPLE!$F$14,CRONOPLE!$A$8+1,1,1,OFFSET(CRONOPLE!$AF$12,0,-1)),"&lt;="&amp;X$12,OFFSET(EVENTOS!$G$14,CRONOPLE!$A$8+1,1,1,OFFSET(CRONOPLE!$AF$12,0,-1)))/OFFSET(EVENTOS!$G$14,CRONOPLE!$A$8+1,-1)),
         SUMIFS(OFFSET(CÁLCULO!$AA$15,$F$40,1,OFFSET(ORÇAMENTO!$D$15,$F$40,0),CÁLCULO.FrentesPreenchidas),OFFSET(CÁLCULO!$AL$15,$F$40,1,OFFSET(ORÇAMENTO!$D$15,$F$40,0),CÁLCULO.FrentesPreenchidas),"&lt;="&amp;X$12)/OFFSET(ORÇAMENTO!$X$15,$F$40,0)),
     IF(ACOMPANHAMENTO="BM",SUM(OFFSET($T$13,$F$40+2,1,1,X$12))/OFFSET($S$13,$F$40,0),"")))</f>
        <v/>
      </c>
      <c r="Y40" s="532" t="str">
        <f ca="1">IF($F$40="","",
  IF(ACOMPANHAMENTO="PLE",
     IF(AUTOEVENTO="Manual",
         IF(AdmLocal="Automática",
              Y35,
              SUMIF(OFFSET(CRONOPLE!$F$14,CRONOPLE!$A$8+1,1,1,OFFSET(CRONOPLE!$AF$12,0,-1)),"&lt;="&amp;Y$12,OFFSET(EVENTOS!$G$14,CRONOPLE!$A$8+1,1,1,OFFSET(CRONOPLE!$AF$12,0,-1)))/OFFSET(EVENTOS!$G$14,CRONOPLE!$A$8+1,-1)),
         SUMIFS(OFFSET(CÁLCULO!$AA$15,$F$40,1,OFFSET(ORÇAMENTO!$D$15,$F$40,0),CÁLCULO.FrentesPreenchidas),OFFSET(CÁLCULO!$AL$15,$F$40,1,OFFSET(ORÇAMENTO!$D$15,$F$40,0),CÁLCULO.FrentesPreenchidas),"&lt;="&amp;Y$12)/OFFSET(ORÇAMENTO!$X$15,$F$40,0)),
     IF(ACOMPANHAMENTO="BM",SUM(OFFSET($T$13,$F$40+2,1,1,Y$12))/OFFSET($S$13,$F$40,0),"")))</f>
        <v/>
      </c>
      <c r="Z40" s="532" t="str">
        <f ca="1">IF($F$40="","",
  IF(ACOMPANHAMENTO="PLE",
     IF(AUTOEVENTO="Manual",
         IF(AdmLocal="Automática",
              Z35,
              SUMIF(OFFSET(CRONOPLE!$F$14,CRONOPLE!$A$8+1,1,1,OFFSET(CRONOPLE!$AF$12,0,-1)),"&lt;="&amp;Z$12,OFFSET(EVENTOS!$G$14,CRONOPLE!$A$8+1,1,1,OFFSET(CRONOPLE!$AF$12,0,-1)))/OFFSET(EVENTOS!$G$14,CRONOPLE!$A$8+1,-1)),
         SUMIFS(OFFSET(CÁLCULO!$AA$15,$F$40,1,OFFSET(ORÇAMENTO!$D$15,$F$40,0),CÁLCULO.FrentesPreenchidas),OFFSET(CÁLCULO!$AL$15,$F$40,1,OFFSET(ORÇAMENTO!$D$15,$F$40,0),CÁLCULO.FrentesPreenchidas),"&lt;="&amp;Z$12)/OFFSET(ORÇAMENTO!$X$15,$F$40,0)),
     IF(ACOMPANHAMENTO="BM",SUM(OFFSET($T$13,$F$40+2,1,1,Z$12))/OFFSET($S$13,$F$40,0),"")))</f>
        <v/>
      </c>
      <c r="AA40" s="532" t="str">
        <f ca="1">IF($F$40="","",
  IF(ACOMPANHAMENTO="PLE",
     IF(AUTOEVENTO="Manual",
         IF(AdmLocal="Automática",
              AA35,
              SUMIF(OFFSET(CRONOPLE!$F$14,CRONOPLE!$A$8+1,1,1,OFFSET(CRONOPLE!$AF$12,0,-1)),"&lt;="&amp;AA$12,OFFSET(EVENTOS!$G$14,CRONOPLE!$A$8+1,1,1,OFFSET(CRONOPLE!$AF$12,0,-1)))/OFFSET(EVENTOS!$G$14,CRONOPLE!$A$8+1,-1)),
         SUMIFS(OFFSET(CÁLCULO!$AA$15,$F$40,1,OFFSET(ORÇAMENTO!$D$15,$F$40,0),CÁLCULO.FrentesPreenchidas),OFFSET(CÁLCULO!$AL$15,$F$40,1,OFFSET(ORÇAMENTO!$D$15,$F$40,0),CÁLCULO.FrentesPreenchidas),"&lt;="&amp;AA$12)/OFFSET(ORÇAMENTO!$X$15,$F$40,0)),
     IF(ACOMPANHAMENTO="BM",SUM(OFFSET($T$13,$F$40+2,1,1,AA$12))/OFFSET($S$13,$F$40,0),"")))</f>
        <v/>
      </c>
      <c r="AB40" s="532" t="str">
        <f ca="1">IF($F$40="","",
  IF(ACOMPANHAMENTO="PLE",
     IF(AUTOEVENTO="Manual",
         IF(AdmLocal="Automática",
              AB35,
              SUMIF(OFFSET(CRONOPLE!$F$14,CRONOPLE!$A$8+1,1,1,OFFSET(CRONOPLE!$AF$12,0,-1)),"&lt;="&amp;AB$12,OFFSET(EVENTOS!$G$14,CRONOPLE!$A$8+1,1,1,OFFSET(CRONOPLE!$AF$12,0,-1)))/OFFSET(EVENTOS!$G$14,CRONOPLE!$A$8+1,-1)),
         SUMIFS(OFFSET(CÁLCULO!$AA$15,$F$40,1,OFFSET(ORÇAMENTO!$D$15,$F$40,0),CÁLCULO.FrentesPreenchidas),OFFSET(CÁLCULO!$AL$15,$F$40,1,OFFSET(ORÇAMENTO!$D$15,$F$40,0),CÁLCULO.FrentesPreenchidas),"&lt;="&amp;AB$12)/OFFSET(ORÇAMENTO!$X$15,$F$40,0)),
     IF(ACOMPANHAMENTO="BM",SUM(OFFSET($T$13,$F$40+2,1,1,AB$12))/OFFSET($S$13,$F$40,0),"")))</f>
        <v/>
      </c>
      <c r="AC40" s="532" t="str">
        <f ca="1">IF($F$40="","",
  IF(ACOMPANHAMENTO="PLE",
     IF(AUTOEVENTO="Manual",
         IF(AdmLocal="Automática",
              AC35,
              SUMIF(OFFSET(CRONOPLE!$F$14,CRONOPLE!$A$8+1,1,1,OFFSET(CRONOPLE!$AF$12,0,-1)),"&lt;="&amp;AC$12,OFFSET(EVENTOS!$G$14,CRONOPLE!$A$8+1,1,1,OFFSET(CRONOPLE!$AF$12,0,-1)))/OFFSET(EVENTOS!$G$14,CRONOPLE!$A$8+1,-1)),
         SUMIFS(OFFSET(CÁLCULO!$AA$15,$F$40,1,OFFSET(ORÇAMENTO!$D$15,$F$40,0),CÁLCULO.FrentesPreenchidas),OFFSET(CÁLCULO!$AL$15,$F$40,1,OFFSET(ORÇAMENTO!$D$15,$F$40,0),CÁLCULO.FrentesPreenchidas),"&lt;="&amp;AC$12)/OFFSET(ORÇAMENTO!$X$15,$F$40,0)),
     IF(ACOMPANHAMENTO="BM",SUM(OFFSET($T$13,$F$40+2,1,1,AC$12))/OFFSET($S$13,$F$40,0),"")))</f>
        <v/>
      </c>
      <c r="AD40" s="532" t="str">
        <f ca="1">IF($F$40="","",
  IF(ACOMPANHAMENTO="PLE",
     IF(AUTOEVENTO="Manual",
         IF(AdmLocal="Automática",
              AD35,
              SUMIF(OFFSET(CRONOPLE!$F$14,CRONOPLE!$A$8+1,1,1,OFFSET(CRONOPLE!$AF$12,0,-1)),"&lt;="&amp;AD$12,OFFSET(EVENTOS!$G$14,CRONOPLE!$A$8+1,1,1,OFFSET(CRONOPLE!$AF$12,0,-1)))/OFFSET(EVENTOS!$G$14,CRONOPLE!$A$8+1,-1)),
         SUMIFS(OFFSET(CÁLCULO!$AA$15,$F$40,1,OFFSET(ORÇAMENTO!$D$15,$F$40,0),CÁLCULO.FrentesPreenchidas),OFFSET(CÁLCULO!$AL$15,$F$40,1,OFFSET(ORÇAMENTO!$D$15,$F$40,0),CÁLCULO.FrentesPreenchidas),"&lt;="&amp;AD$12)/OFFSET(ORÇAMENTO!$X$15,$F$40,0)),
     IF(ACOMPANHAMENTO="BM",SUM(OFFSET($T$13,$F$40+2,1,1,AD$12))/OFFSET($S$13,$F$40,0),"")))</f>
        <v/>
      </c>
      <c r="AE40" s="532" t="str">
        <f ca="1">IF($F$40="","",
  IF(ACOMPANHAMENTO="PLE",
     IF(AUTOEVENTO="Manual",
         IF(AdmLocal="Automática",
              AE35,
              SUMIF(OFFSET(CRONOPLE!$F$14,CRONOPLE!$A$8+1,1,1,OFFSET(CRONOPLE!$AF$12,0,-1)),"&lt;="&amp;AE$12,OFFSET(EVENTOS!$G$14,CRONOPLE!$A$8+1,1,1,OFFSET(CRONOPLE!$AF$12,0,-1)))/OFFSET(EVENTOS!$G$14,CRONOPLE!$A$8+1,-1)),
         SUMIFS(OFFSET(CÁLCULO!$AA$15,$F$40,1,OFFSET(ORÇAMENTO!$D$15,$F$40,0),CÁLCULO.FrentesPreenchidas),OFFSET(CÁLCULO!$AL$15,$F$40,1,OFFSET(ORÇAMENTO!$D$15,$F$40,0),CÁLCULO.FrentesPreenchidas),"&lt;="&amp;AE$12)/OFFSET(ORÇAMENTO!$X$15,$F$40,0)),
     IF(ACOMPANHAMENTO="BM",SUM(OFFSET($T$13,$F$40+2,1,1,AE$12))/OFFSET($S$13,$F$40,0),"")))</f>
        <v/>
      </c>
      <c r="AF40" s="532" t="str">
        <f ca="1">IF($F$40="","",
  IF(ACOMPANHAMENTO="PLE",
     IF(AUTOEVENTO="Manual",
         IF(AdmLocal="Automática",
              AF35,
              SUMIF(OFFSET(CRONOPLE!$F$14,CRONOPLE!$A$8+1,1,1,OFFSET(CRONOPLE!$AF$12,0,-1)),"&lt;="&amp;AF$12,OFFSET(EVENTOS!$G$14,CRONOPLE!$A$8+1,1,1,OFFSET(CRONOPLE!$AF$12,0,-1)))/OFFSET(EVENTOS!$G$14,CRONOPLE!$A$8+1,-1)),
         SUMIFS(OFFSET(CÁLCULO!$AA$15,$F$40,1,OFFSET(ORÇAMENTO!$D$15,$F$40,0),CÁLCULO.FrentesPreenchidas),OFFSET(CÁLCULO!$AL$15,$F$40,1,OFFSET(ORÇAMENTO!$D$15,$F$40,0),CÁLCULO.FrentesPreenchidas),"&lt;="&amp;AF$12)/OFFSET(ORÇAMENTO!$X$15,$F$40,0)),
     IF(ACOMPANHAMENTO="BM",SUM(OFFSET($T$13,$F$40+2,1,1,AF$12))/OFFSET($S$13,$F$40,0),"")))</f>
        <v/>
      </c>
      <c r="AG40" s="534"/>
    </row>
    <row r="41" spans="4:33" ht="17.100000000000001" customHeight="1" x14ac:dyDescent="0.25">
      <c r="G41" s="185" t="s">
        <v>536</v>
      </c>
      <c r="H41" s="571" t="str" cm="1">
        <f t="array" ref="H41">IF(AND(ACOMPANHAMENTO="BM",$H$40=""),"↑ Não foi indicado o Macrosserviço de Administração Local","")</f>
        <v>↑ Não foi indicado o Macrosserviço de Administração Local</v>
      </c>
      <c r="T41" s="583" t="str">
        <f ca="1">IF(COUNTIF(U41:AG41,"%Adm&gt;%Global")&gt;0,"Verificar proporcionalidade da Administração Local","")</f>
        <v/>
      </c>
      <c r="U41" s="535" t="str">
        <f ca="1">IF(U40="","",IF(ROUND(U40,4)&gt;ROUND(U35,4),"%Adm&gt;%Global",""))</f>
        <v/>
      </c>
      <c r="V41" s="535" t="str">
        <f t="shared" ref="V41:AG41" ca="1" si="40">IF(V40="","",IF(ROUND(V40,4)&gt;ROUND(V35,4),"%Adm&gt;%Global",""))</f>
        <v/>
      </c>
      <c r="W41" s="535" t="str">
        <f t="shared" ca="1" si="40"/>
        <v/>
      </c>
      <c r="X41" s="535" t="str">
        <f t="shared" ca="1" si="40"/>
        <v/>
      </c>
      <c r="Y41" s="535" t="str">
        <f t="shared" ca="1" si="40"/>
        <v/>
      </c>
      <c r="Z41" s="535" t="str">
        <f t="shared" ca="1" si="40"/>
        <v/>
      </c>
      <c r="AA41" s="535" t="str">
        <f t="shared" ca="1" si="40"/>
        <v/>
      </c>
      <c r="AB41" s="535" t="str">
        <f t="shared" ca="1" si="40"/>
        <v/>
      </c>
      <c r="AC41" s="535" t="str">
        <f t="shared" ca="1" si="40"/>
        <v/>
      </c>
      <c r="AD41" s="535" t="str">
        <f t="shared" ca="1" si="40"/>
        <v/>
      </c>
      <c r="AE41" s="535" t="str">
        <f t="shared" ca="1" si="40"/>
        <v/>
      </c>
      <c r="AF41" s="535" t="str">
        <f t="shared" ca="1" si="40"/>
        <v/>
      </c>
      <c r="AG41" s="535" t="str">
        <f t="shared" si="40"/>
        <v/>
      </c>
    </row>
    <row r="42" spans="4:33" ht="32.25" customHeight="1" x14ac:dyDescent="0.2">
      <c r="G42" s="185" t="s">
        <v>536</v>
      </c>
      <c r="I42" s="723" t="str">
        <f>Import.Município</f>
        <v>CAÇADOR</v>
      </c>
      <c r="J42" s="723"/>
      <c r="K42" s="723"/>
      <c r="L42" s="723"/>
      <c r="M42" s="723"/>
      <c r="N42" s="723"/>
      <c r="O42" s="723"/>
      <c r="P42" s="723"/>
      <c r="Q42" s="723"/>
      <c r="R42" s="723"/>
      <c r="S42" s="723"/>
      <c r="AA42" s="460"/>
      <c r="AB42" s="460"/>
      <c r="AC42" s="460"/>
      <c r="AD42" s="460"/>
      <c r="AE42" s="462"/>
      <c r="AF42" s="462"/>
    </row>
    <row r="43" spans="4:33" x14ac:dyDescent="0.2">
      <c r="G43" s="185" t="s">
        <v>536</v>
      </c>
      <c r="I43" s="9" t="s">
        <v>693</v>
      </c>
      <c r="J43"/>
      <c r="K43"/>
      <c r="L43"/>
      <c r="AA43" s="181" t="s">
        <v>696</v>
      </c>
      <c r="AB43" s="181"/>
      <c r="AC43" s="181"/>
      <c r="AD43" s="181"/>
      <c r="AE43" s="185"/>
      <c r="AF43" s="185"/>
    </row>
    <row r="44" spans="4:33" x14ac:dyDescent="0.2">
      <c r="G44" s="185" t="s">
        <v>536</v>
      </c>
      <c r="I44"/>
      <c r="J44"/>
      <c r="K44"/>
      <c r="L44"/>
      <c r="AA44" s="398" t="str">
        <f t="array" aca="1" ref="AA44:AA46" ca="1">OFFSET(Import.RespOrçamento,0,-1) &amp; " " &amp; Import.RespOrçamento</f>
        <v>Nome: Diego Dutra do Nascimento</v>
      </c>
      <c r="AC44"/>
      <c r="AD44" s="79"/>
      <c r="AE44" s="185"/>
      <c r="AF44" s="185"/>
    </row>
    <row r="45" spans="4:33" x14ac:dyDescent="0.2">
      <c r="G45" s="185" t="s">
        <v>536</v>
      </c>
      <c r="I45" s="771">
        <f>DADOS!$C$25</f>
        <v>46150</v>
      </c>
      <c r="J45" s="771"/>
      <c r="K45" s="771"/>
      <c r="L45" s="180"/>
      <c r="M45" s="245"/>
      <c r="N45" s="245"/>
      <c r="O45" s="245"/>
      <c r="P45" s="245"/>
      <c r="Q45" s="245"/>
      <c r="R45" s="245"/>
      <c r="S45" s="246"/>
      <c r="AA45" s="398" t="str">
        <f ca="1"/>
        <v>CREA/CAU: CREA-SC 225647-1</v>
      </c>
      <c r="AC45" s="79"/>
      <c r="AD45" s="79"/>
      <c r="AE45" s="185"/>
      <c r="AF45" s="185"/>
    </row>
    <row r="46" spans="4:33" x14ac:dyDescent="0.2">
      <c r="G46" s="185" t="s">
        <v>536</v>
      </c>
      <c r="I46" s="9" t="s">
        <v>694</v>
      </c>
      <c r="J46"/>
      <c r="K46"/>
      <c r="L46"/>
      <c r="AA46" s="398" t="str">
        <f ca="1"/>
        <v>ART/RRT: 10468622-6</v>
      </c>
      <c r="AC46" s="79"/>
      <c r="AD46" s="79"/>
      <c r="AE46" s="185"/>
      <c r="AF46" s="185"/>
    </row>
  </sheetData>
  <sheetProtection algorithmName="SHA-512" hashValue="FnXljU7QmKCe/c6dzedN47AjYIGeAsCzPofV/aL7eUiWxzYuKodC0PsJckjEyffm7/JmbAM10fgOZDyzqG9uvA==" saltValue="P9Q34amg9glD3gB+jRFD5Q==" spinCount="100000" sheet="1" objects="1" scenarios="1" autoFilter="0"/>
  <autoFilter ref="G13:G46"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45:K45"/>
    <mergeCell ref="I42:S42"/>
    <mergeCell ref="H40:J40"/>
    <mergeCell ref="S12:S13"/>
    <mergeCell ref="T12:T13"/>
    <mergeCell ref="L8:T8"/>
    <mergeCell ref="U8:Y8"/>
    <mergeCell ref="K10:T11"/>
    <mergeCell ref="I30:K31"/>
  </mergeCells>
  <phoneticPr fontId="38" type="noConversion"/>
  <conditionalFormatting sqref="U12:U13">
    <cfRule type="expression" dxfId="225" priority="16575" stopIfTrue="1">
      <formula>NOT(ISNUMBER(T$12))</formula>
    </cfRule>
  </conditionalFormatting>
  <conditionalFormatting sqref="E2 U2:AF2">
    <cfRule type="expression" dxfId="224" priority="16576" stopIfTrue="1">
      <formula>AND(ISNUMBER($H1),$H1&lt;&gt;0)</formula>
    </cfRule>
  </conditionalFormatting>
  <conditionalFormatting sqref="I2:S2">
    <cfRule type="expression" dxfId="223" priority="16577" stopIfTrue="1">
      <formula>$M1=2</formula>
    </cfRule>
    <cfRule type="expression" dxfId="222" priority="16578" stopIfTrue="1">
      <formula>AND($M1=1,$S1&lt;&gt;"")</formula>
    </cfRule>
  </conditionalFormatting>
  <conditionalFormatting sqref="I1:S1">
    <cfRule type="expression" dxfId="221" priority="16579" stopIfTrue="1">
      <formula>$M1=2</formula>
    </cfRule>
    <cfRule type="expression" dxfId="220" priority="16580" stopIfTrue="1">
      <formula>AND($M1=1,$S1&lt;&gt;"")</formula>
    </cfRule>
  </conditionalFormatting>
  <conditionalFormatting sqref="E30 E32 E34:E35 E37 E39 U39:AF39 U30:AF30 U32:AF32 U34:AF35 U37:AF37">
    <cfRule type="expression" dxfId="219" priority="16581" stopIfTrue="1">
      <formula>D$35=1</formula>
    </cfRule>
  </conditionalFormatting>
  <conditionalFormatting sqref="E31 E33 E36 E38 E40 U31:AF31 U33:AF33 U36:AF36 U38:AF38 U40:AF40">
    <cfRule type="expression" dxfId="218" priority="16582" stopIfTrue="1">
      <formula>D$35=1</formula>
    </cfRule>
  </conditionalFormatting>
  <conditionalFormatting sqref="AF7:AF8">
    <cfRule type="expression" dxfId="217" priority="16586" stopIfTrue="1">
      <formula>OR(TIPOORCAMENTO&lt;&gt;"Licitado",QCI.ExisteManual)</formula>
    </cfRule>
  </conditionalFormatting>
  <conditionalFormatting sqref="Z7:AE8">
    <cfRule type="expression" dxfId="216" priority="16574" stopIfTrue="1">
      <formula>QCI.ExisteManual</formula>
    </cfRule>
  </conditionalFormatting>
  <conditionalFormatting sqref="H2">
    <cfRule type="expression" dxfId="215" priority="12720">
      <formula>AND(H1&lt;&gt;0,ISNUMBER(H1))</formula>
    </cfRule>
  </conditionalFormatting>
  <conditionalFormatting sqref="E40 U40:AF40">
    <cfRule type="expression" dxfId="214" priority="12711">
      <formula>ROUND(E40,4)&gt;ROUND(E35,4)</formula>
    </cfRule>
  </conditionalFormatting>
  <conditionalFormatting sqref="H1">
    <cfRule type="expression" dxfId="213" priority="12710">
      <formula>AND(H1&lt;&gt;0,ISNUMBER(H1))</formula>
    </cfRule>
  </conditionalFormatting>
  <conditionalFormatting sqref="H40:J40">
    <cfRule type="expression" dxfId="212" priority="12709">
      <formula>$H$39=""</formula>
    </cfRule>
  </conditionalFormatting>
  <conditionalFormatting sqref="E40">
    <cfRule type="expression" dxfId="211" priority="12702" stopIfTrue="1">
      <formula>D$35=1</formula>
    </cfRule>
  </conditionalFormatting>
  <conditionalFormatting sqref="E1">
    <cfRule type="expression" dxfId="210" priority="12699" stopIfTrue="1">
      <formula>E1&lt;&gt;0</formula>
    </cfRule>
  </conditionalFormatting>
  <conditionalFormatting sqref="E2">
    <cfRule type="expression" dxfId="209" priority="12698">
      <formula>AND(_xlfn.SINGLE(ACOMPANHAMENTO)="BM",E2&gt;ROUND(E2,4))</formula>
    </cfRule>
  </conditionalFormatting>
  <conditionalFormatting sqref="E40">
    <cfRule type="expression" dxfId="208" priority="12697" stopIfTrue="1">
      <formula>D$35=1</formula>
    </cfRule>
  </conditionalFormatting>
  <conditionalFormatting sqref="U1:AF1">
    <cfRule type="expression" dxfId="207" priority="2653" stopIfTrue="1">
      <formula>U1&lt;&gt;0</formula>
    </cfRule>
  </conditionalFormatting>
  <conditionalFormatting sqref="U2:AF2">
    <cfRule type="expression" dxfId="206" priority="2652">
      <formula>AND(_xlfn.SINGLE(ACOMPANHAMENTO)="BM",U2&gt;ROUND(U2,4))</formula>
    </cfRule>
  </conditionalFormatting>
  <conditionalFormatting sqref="E15 E18 E21 U15:AF15 U18:AF18 U21:AF21">
    <cfRule type="expression" dxfId="205" priority="183" stopIfTrue="1">
      <formula>AND(ISNUMBER($H14),$H14&lt;&gt;0)</formula>
    </cfRule>
  </conditionalFormatting>
  <conditionalFormatting sqref="I15:S15 I18:S18 I21:S21">
    <cfRule type="expression" dxfId="204" priority="184" stopIfTrue="1">
      <formula>$M14=2</formula>
    </cfRule>
    <cfRule type="expression" dxfId="203" priority="185" stopIfTrue="1">
      <formula>AND($M14=1,$S14&lt;&gt;"")</formula>
    </cfRule>
  </conditionalFormatting>
  <conditionalFormatting sqref="I14:S14 I17:S17 I20:S20">
    <cfRule type="expression" dxfId="202" priority="186" stopIfTrue="1">
      <formula>$M14=2</formula>
    </cfRule>
    <cfRule type="expression" dxfId="201" priority="187" stopIfTrue="1">
      <formula>AND($M14=1,$S14&lt;&gt;"")</formula>
    </cfRule>
  </conditionalFormatting>
  <conditionalFormatting sqref="H15 H18 H21">
    <cfRule type="expression" dxfId="200" priority="182">
      <formula>AND(H14&lt;&gt;0,ISNUMBER(H14))</formula>
    </cfRule>
  </conditionalFormatting>
  <conditionalFormatting sqref="H14 H17 H20">
    <cfRule type="expression" dxfId="199" priority="181">
      <formula>AND(H14&lt;&gt;0,ISNUMBER(H14))</formula>
    </cfRule>
  </conditionalFormatting>
  <conditionalFormatting sqref="E14 E17 E20">
    <cfRule type="expression" dxfId="198" priority="180" stopIfTrue="1">
      <formula>E14&lt;&gt;0</formula>
    </cfRule>
  </conditionalFormatting>
  <conditionalFormatting sqref="E15 E18 E21">
    <cfRule type="expression" dxfId="197" priority="179">
      <formula>AND(_xlfn.SINGLE(ACOMPANHAMENTO)="BM",E15&gt;ROUND(E15,4))</formula>
    </cfRule>
  </conditionalFormatting>
  <conditionalFormatting sqref="U14:AF14 U17:AF17 U20:AF20">
    <cfRule type="expression" dxfId="196" priority="178" stopIfTrue="1">
      <formula>U14&lt;&gt;0</formula>
    </cfRule>
  </conditionalFormatting>
  <conditionalFormatting sqref="U15:AF15 U18:AF18 U21:AF21">
    <cfRule type="expression" dxfId="195" priority="177">
      <formula>AND(_xlfn.SINGLE(ACOMPANHAMENTO)="BM",U15&gt;ROUND(U15,4))</formula>
    </cfRule>
  </conditionalFormatting>
  <conditionalFormatting sqref="E24 E27 U24:AF24 U27:AF27">
    <cfRule type="expression" dxfId="194" priority="172" stopIfTrue="1">
      <formula>AND(ISNUMBER($H23),$H23&lt;&gt;0)</formula>
    </cfRule>
  </conditionalFormatting>
  <conditionalFormatting sqref="I24:S24 I27:S27">
    <cfRule type="expression" dxfId="193" priority="173" stopIfTrue="1">
      <formula>$M23=2</formula>
    </cfRule>
    <cfRule type="expression" dxfId="192" priority="174" stopIfTrue="1">
      <formula>AND($M23=1,$S23&lt;&gt;"")</formula>
    </cfRule>
  </conditionalFormatting>
  <conditionalFormatting sqref="I23:S23 I26:S26">
    <cfRule type="expression" dxfId="191" priority="175" stopIfTrue="1">
      <formula>$M23=2</formula>
    </cfRule>
    <cfRule type="expression" dxfId="190" priority="176" stopIfTrue="1">
      <formula>AND($M23=1,$S23&lt;&gt;"")</formula>
    </cfRule>
  </conditionalFormatting>
  <conditionalFormatting sqref="H24 H27">
    <cfRule type="expression" dxfId="189" priority="171">
      <formula>AND(H23&lt;&gt;0,ISNUMBER(H23))</formula>
    </cfRule>
  </conditionalFormatting>
  <conditionalFormatting sqref="H23 H26">
    <cfRule type="expression" dxfId="188" priority="170">
      <formula>AND(H23&lt;&gt;0,ISNUMBER(H23))</formula>
    </cfRule>
  </conditionalFormatting>
  <conditionalFormatting sqref="E23 E26">
    <cfRule type="expression" dxfId="187" priority="169" stopIfTrue="1">
      <formula>E23&lt;&gt;0</formula>
    </cfRule>
  </conditionalFormatting>
  <conditionalFormatting sqref="E24 E27">
    <cfRule type="expression" dxfId="186" priority="168">
      <formula>AND(_xlfn.SINGLE(ACOMPANHAMENTO)="BM",E24&gt;ROUND(E24,4))</formula>
    </cfRule>
  </conditionalFormatting>
  <conditionalFormatting sqref="U23:AF23 U26:AF26">
    <cfRule type="expression" dxfId="185" priority="167" stopIfTrue="1">
      <formula>U23&lt;&gt;0</formula>
    </cfRule>
  </conditionalFormatting>
  <conditionalFormatting sqref="U24:AF24 U27:AF27">
    <cfRule type="expression" dxfId="184" priority="166">
      <formula>AND(_xlfn.SINGLE(ACOMPANHAMENTO)="BM",U24&gt;ROUND(U24,4))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U23:AF23 U26:AF2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U24:AG24 U27:AG2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0:J4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77" firstPageNumber="0" fitToHeight="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03">
        <f>Import.CR</f>
        <v>0</v>
      </c>
      <c r="E4" s="703"/>
      <c r="F4" s="56">
        <f>Import.TransfereGOV</f>
        <v>0</v>
      </c>
      <c r="G4" s="703">
        <f>Import.Proponente</f>
        <v>0</v>
      </c>
      <c r="H4" s="703"/>
      <c r="I4" s="703"/>
      <c r="J4" s="783" t="str">
        <f>Import.Município</f>
        <v>CAÇADOR</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 xml:space="preserve">Ponte Herminio Gonçalves </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IF(OFFSET($A$24,-1,0)&lt;OFFSET(ORÇAMENTO!$E$48,-1,0),"ERRO: NÚMERO DE LINHAS DO QCI INSUFICIENTE. CLIQUE NO BOTÃO ADICIONAR LINHAS",
  "")))))))</f>
        <v>PREENCHIMENTO INCOMPLETO DA TABELA PRINCIPAL DO QCI</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-14461.26</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IF(NOT(ISBLANK(QCI.DescManual)),IF(QCI.Divisao="Calculado","Manual","SemiAuto"),IF(ISERROR(MATCH($A12,ORÇAMENTO!$E$15:$E$48,0)),"Branco","Automático"))</f>
        <v>Branco</v>
      </c>
      <c r="C12" t="str">
        <f ca="1">IF(O12&gt;0,"F","")</f>
        <v/>
      </c>
      <c r="D12" s="281">
        <f>ROW()-ROW($D$13)</f>
        <v>-1</v>
      </c>
      <c r="E12" s="118"/>
      <c r="F12" s="118"/>
      <c r="G12" s="163" t="str">
        <f ca="1">IF(OR($B12="Manual",$B12="SemiAuto"),QCI.DescManual,IF($B12="Automático",INDEX(ORÇAMENTO!$R$15:$R$48,MATCH($A12,ORÇAMENTO!$E$15:$E$48,0)),""))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IF($B12="Branco",0,IF(OR($B12="Manual",$B12="SemiAuto"),QCI.InvManual,INDEX(ORÇAMENTO!X$15:X$48,MATCH($A12,ORÇAMENTO!$E$15:$E$48,0))))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IF($B12="Branco",0,IF($B12="Manual",QCI.CPManual,IF($B12="SemiAuto",ROUND(QCI!$AA$3*QCI.InvManual,2),INDEX(ORÇAMENTO!$AA$15:$AA$48,MATCH($A12,ORÇAMENTO!$E$15:$E$48,0)))))</f>
        <v>0</v>
      </c>
      <c r="AB12" cm="1">
        <f t="array" aca="1" ref="AB12" ca="1">IF($B12="Branco",0,IF($B12="Manual",QCI.OutrosManual,IF($B12="SemiAuto",0,INDEX(ORÇAMENTO!$AB$15:$AB$48,MATCH($A12,ORÇAMENTO!$E$15:$E$48,0)))))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IF(NOT(ISBLANK(QCI.DescManual)),IF(QCI.Divisao="Calculado","Manual","SemiAuto"),IF(ISERROR(MATCH($A14,ORÇAMENTO!$E$15:$E$48,0)),"Branco","Automático"))</f>
        <v>Automático</v>
      </c>
      <c r="C14" t="str">
        <f t="shared" ref="C14:C22" ca="1" si="1">IF(O14&gt;0,"F","")</f>
        <v>F</v>
      </c>
      <c r="D14" s="281">
        <f t="shared" ref="D14:D22" si="2">ROW()-ROW($D$13)</f>
        <v>1</v>
      </c>
      <c r="E14" s="118"/>
      <c r="F14" s="118"/>
      <c r="G14" s="163" t="str">
        <f ca="1">IF(OR($B14="Manual",$B14="SemiAuto"),QCI.DescManual,IF($B14="Automático",INDEX(ORÇAMENTO!$R$15:$R$48,MATCH($A14,ORÇAMENTO!$E$15:$E$48,0)),""))</f>
        <v>ESTRUTURA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14461.26</v>
      </c>
      <c r="N14" s="285">
        <f t="shared" ref="N14:N22" ca="1" si="5">ROUND($AB14,2)</f>
        <v>0</v>
      </c>
      <c r="O14" s="286" cm="1">
        <f t="array" aca="1" ref="O14" ca="1">IF($B14="Branco",0,IF(OR($B14="Manual",$B14="SemiAuto"),QCI.InvManual,INDEX(ORÇAMENTO!X$15:X$48,MATCH($A14,ORÇAMENTO!$E$15:$E$48,0))))</f>
        <v>14461.26</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IF($B14="Branco",0,IF($B14="Manual",QCI.CPManual,IF($B14="SemiAuto",ROUND(QCI!$AA$3*QCI.InvManual,2),INDEX(ORÇAMENTO!$AA$15:$AA$48,MATCH($A14,ORÇAMENTO!$E$15:$E$48,0)))))</f>
        <v>14461.26</v>
      </c>
      <c r="AB14" cm="1">
        <f t="array" aca="1" ref="AB14" ca="1">IF($B14="Branco",0,IF($B14="Manual",QCI.OutrosManual,IF($B14="SemiAuto",0,INDEX(ORÇAMENTO!$AB$15:$AB$48,MATCH($A14,ORÇAMENTO!$E$15:$E$48,0)))))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IF(NOT(ISBLANK(QCI.DescManual)),IF(QCI.Divisao="Calculado","Manual","SemiAuto"),IF(ISERROR(MATCH($A15,ORÇAMENTO!$E$15:$E$48,0)),"Branco","Automático"))</f>
        <v>Branco</v>
      </c>
      <c r="C15" t="str">
        <f t="shared" ca="1" si="1"/>
        <v/>
      </c>
      <c r="D15" s="281">
        <f t="shared" si="2"/>
        <v>2</v>
      </c>
      <c r="E15" s="118"/>
      <c r="F15" s="118"/>
      <c r="G15" s="163" t="str">
        <f ca="1">IF(OR($B15="Manual",$B15="SemiAuto"),QCI.DescManual,IF($B15="Automático",INDEX(ORÇAMENTO!$R$15:$R$48,MATCH($A15,ORÇAMENTO!$E$15:$E$48,0)),""))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IF($B15="Branco",0,IF(OR($B15="Manual",$B15="SemiAuto"),QCI.InvManual,INDEX(ORÇAMENTO!X$15:X$48,MATCH($A15,ORÇAMENTO!$E$15:$E$48,0))))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IF($B15="Branco",0,IF($B15="Manual",QCI.CPManual,IF($B15="SemiAuto",ROUND(QCI!$AA$3*QCI.InvManual,2),INDEX(ORÇAMENTO!$AA$15:$AA$48,MATCH($A15,ORÇAMENTO!$E$15:$E$48,0)))))</f>
        <v>0</v>
      </c>
      <c r="AB15" cm="1">
        <f t="array" aca="1" ref="AB15" ca="1">IF($B15="Branco",0,IF($B15="Manual",QCI.OutrosManual,IF($B15="SemiAuto",0,INDEX(ORÇAMENTO!$AB$15:$AB$48,MATCH($A15,ORÇAMENTO!$E$15:$E$48,0)))))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IF(NOT(ISBLANK(QCI.DescManual)),IF(QCI.Divisao="Calculado","Manual","SemiAuto"),IF(ISERROR(MATCH($A16,ORÇAMENTO!$E$15:$E$48,0)),"Branco","Automático"))</f>
        <v>Branco</v>
      </c>
      <c r="C16" t="str">
        <f t="shared" ca="1" si="1"/>
        <v/>
      </c>
      <c r="D16" s="281">
        <f t="shared" si="2"/>
        <v>3</v>
      </c>
      <c r="E16" s="118"/>
      <c r="F16" s="118"/>
      <c r="G16" s="163" t="str">
        <f ca="1">IF(OR($B16="Manual",$B16="SemiAuto"),QCI.DescManual,IF($B16="Automático",INDEX(ORÇAMENTO!$R$15:$R$48,MATCH($A16,ORÇAMENTO!$E$15:$E$48,0)),""))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IF($B16="Branco",0,IF(OR($B16="Manual",$B16="SemiAuto"),QCI.InvManual,INDEX(ORÇAMENTO!X$15:X$48,MATCH($A16,ORÇAMENTO!$E$15:$E$48,0))))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IF($B16="Branco",0,IF($B16="Manual",QCI.CPManual,IF($B16="SemiAuto",ROUND(QCI!$AA$3*QCI.InvManual,2),INDEX(ORÇAMENTO!$AA$15:$AA$48,MATCH($A16,ORÇAMENTO!$E$15:$E$48,0)))))</f>
        <v>0</v>
      </c>
      <c r="AB16" cm="1">
        <f t="array" aca="1" ref="AB16" ca="1">IF($B16="Branco",0,IF($B16="Manual",QCI.OutrosManual,IF($B16="SemiAuto",0,INDEX(ORÇAMENTO!$AB$15:$AB$48,MATCH($A16,ORÇAMENTO!$E$15:$E$48,0)))))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IF(NOT(ISBLANK(QCI.DescManual)),IF(QCI.Divisao="Calculado","Manual","SemiAuto"),IF(ISERROR(MATCH($A17,ORÇAMENTO!$E$15:$E$48,0)),"Branco","Automático"))</f>
        <v>Branco</v>
      </c>
      <c r="C17" t="str">
        <f t="shared" ca="1" si="1"/>
        <v/>
      </c>
      <c r="D17" s="281">
        <f t="shared" si="2"/>
        <v>4</v>
      </c>
      <c r="E17" s="118"/>
      <c r="F17" s="118"/>
      <c r="G17" s="163" t="str">
        <f ca="1">IF(OR($B17="Manual",$B17="SemiAuto"),QCI.DescManual,IF($B17="Automático",INDEX(ORÇAMENTO!$R$15:$R$48,MATCH($A17,ORÇAMENTO!$E$15:$E$48,0)),""))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IF($B17="Branco",0,IF(OR($B17="Manual",$B17="SemiAuto"),QCI.InvManual,INDEX(ORÇAMENTO!X$15:X$48,MATCH($A17,ORÇAMENTO!$E$15:$E$48,0))))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IF($B17="Branco",0,IF($B17="Manual",QCI.CPManual,IF($B17="SemiAuto",ROUND(QCI!$AA$3*QCI.InvManual,2),INDEX(ORÇAMENTO!$AA$15:$AA$48,MATCH($A17,ORÇAMENTO!$E$15:$E$48,0)))))</f>
        <v>0</v>
      </c>
      <c r="AB17" cm="1">
        <f t="array" aca="1" ref="AB17" ca="1">IF($B17="Branco",0,IF($B17="Manual",QCI.OutrosManual,IF($B17="SemiAuto",0,INDEX(ORÇAMENTO!$AB$15:$AB$48,MATCH($A17,ORÇAMENTO!$E$15:$E$48,0)))))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IF(NOT(ISBLANK(QCI.DescManual)),IF(QCI.Divisao="Calculado","Manual","SemiAuto"),IF(ISERROR(MATCH($A18,ORÇAMENTO!$E$15:$E$48,0)),"Branco","Automático"))</f>
        <v>Branco</v>
      </c>
      <c r="C18" t="str">
        <f t="shared" ca="1" si="1"/>
        <v/>
      </c>
      <c r="D18" s="281">
        <f t="shared" si="2"/>
        <v>5</v>
      </c>
      <c r="E18" s="118"/>
      <c r="F18" s="118"/>
      <c r="G18" s="163" t="str">
        <f ca="1">IF(OR($B18="Manual",$B18="SemiAuto"),QCI.DescManual,IF($B18="Automático",INDEX(ORÇAMENTO!$R$15:$R$48,MATCH($A18,ORÇAMENTO!$E$15:$E$48,0)),""))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IF($B18="Branco",0,IF(OR($B18="Manual",$B18="SemiAuto"),QCI.InvManual,INDEX(ORÇAMENTO!X$15:X$48,MATCH($A18,ORÇAMENTO!$E$15:$E$48,0))))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IF($B18="Branco",0,IF($B18="Manual",QCI.CPManual,IF($B18="SemiAuto",ROUND(QCI!$AA$3*QCI.InvManual,2),INDEX(ORÇAMENTO!$AA$15:$AA$48,MATCH($A18,ORÇAMENTO!$E$15:$E$48,0)))))</f>
        <v>0</v>
      </c>
      <c r="AB18" cm="1">
        <f t="array" aca="1" ref="AB18" ca="1">IF($B18="Branco",0,IF($B18="Manual",QCI.OutrosManual,IF($B18="SemiAuto",0,INDEX(ORÇAMENTO!$AB$15:$AB$48,MATCH($A18,ORÇAMENTO!$E$15:$E$48,0)))))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IF(NOT(ISBLANK(QCI.DescManual)),IF(QCI.Divisao="Calculado","Manual","SemiAuto"),IF(ISERROR(MATCH($A19,ORÇAMENTO!$E$15:$E$48,0)),"Branco","Automático"))</f>
        <v>Branco</v>
      </c>
      <c r="C19" t="str">
        <f t="shared" ca="1" si="1"/>
        <v/>
      </c>
      <c r="D19" s="281">
        <f t="shared" si="2"/>
        <v>6</v>
      </c>
      <c r="E19" s="118"/>
      <c r="F19" s="118"/>
      <c r="G19" s="163" t="str">
        <f ca="1">IF(OR($B19="Manual",$B19="SemiAuto"),QCI.DescManual,IF($B19="Automático",INDEX(ORÇAMENTO!$R$15:$R$48,MATCH($A19,ORÇAMENTO!$E$15:$E$48,0)),""))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IF($B19="Branco",0,IF(OR($B19="Manual",$B19="SemiAuto"),QCI.InvManual,INDEX(ORÇAMENTO!X$15:X$48,MATCH($A19,ORÇAMENTO!$E$15:$E$48,0))))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IF($B19="Branco",0,IF($B19="Manual",QCI.CPManual,IF($B19="SemiAuto",ROUND(QCI!$AA$3*QCI.InvManual,2),INDEX(ORÇAMENTO!$AA$15:$AA$48,MATCH($A19,ORÇAMENTO!$E$15:$E$48,0)))))</f>
        <v>0</v>
      </c>
      <c r="AB19" cm="1">
        <f t="array" aca="1" ref="AB19" ca="1">IF($B19="Branco",0,IF($B19="Manual",QCI.OutrosManual,IF($B19="SemiAuto",0,INDEX(ORÇAMENTO!$AB$15:$AB$48,MATCH($A19,ORÇAMENTO!$E$15:$E$48,0)))))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IF(NOT(ISBLANK(QCI.DescManual)),IF(QCI.Divisao="Calculado","Manual","SemiAuto"),IF(ISERROR(MATCH($A20,ORÇAMENTO!$E$15:$E$48,0)),"Branco","Automático"))</f>
        <v>Branco</v>
      </c>
      <c r="C20" t="str">
        <f t="shared" ca="1" si="1"/>
        <v/>
      </c>
      <c r="D20" s="281">
        <f t="shared" si="2"/>
        <v>7</v>
      </c>
      <c r="E20" s="118"/>
      <c r="F20" s="118"/>
      <c r="G20" s="163" t="str">
        <f ca="1">IF(OR($B20="Manual",$B20="SemiAuto"),QCI.DescManual,IF($B20="Automático",INDEX(ORÇAMENTO!$R$15:$R$48,MATCH($A20,ORÇAMENTO!$E$15:$E$48,0)),""))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IF($B20="Branco",0,IF(OR($B20="Manual",$B20="SemiAuto"),QCI.InvManual,INDEX(ORÇAMENTO!X$15:X$48,MATCH($A20,ORÇAMENTO!$E$15:$E$48,0))))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IF($B20="Branco",0,IF($B20="Manual",QCI.CPManual,IF($B20="SemiAuto",ROUND(QCI!$AA$3*QCI.InvManual,2),INDEX(ORÇAMENTO!$AA$15:$AA$48,MATCH($A20,ORÇAMENTO!$E$15:$E$48,0)))))</f>
        <v>0</v>
      </c>
      <c r="AB20" cm="1">
        <f t="array" aca="1" ref="AB20" ca="1">IF($B20="Branco",0,IF($B20="Manual",QCI.OutrosManual,IF($B20="SemiAuto",0,INDEX(ORÇAMENTO!$AB$15:$AB$48,MATCH($A20,ORÇAMENTO!$E$15:$E$48,0)))))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IF(NOT(ISBLANK(QCI.DescManual)),IF(QCI.Divisao="Calculado","Manual","SemiAuto"),IF(ISERROR(MATCH($A21,ORÇAMENTO!$E$15:$E$48,0)),"Branco","Automático"))</f>
        <v>Branco</v>
      </c>
      <c r="C21" t="str">
        <f t="shared" ca="1" si="1"/>
        <v/>
      </c>
      <c r="D21" s="281">
        <f t="shared" si="2"/>
        <v>8</v>
      </c>
      <c r="E21" s="118"/>
      <c r="F21" s="118"/>
      <c r="G21" s="163" t="str">
        <f ca="1">IF(OR($B21="Manual",$B21="SemiAuto"),QCI.DescManual,IF($B21="Automático",INDEX(ORÇAMENTO!$R$15:$R$48,MATCH($A21,ORÇAMENTO!$E$15:$E$48,0)),""))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IF($B21="Branco",0,IF(OR($B21="Manual",$B21="SemiAuto"),QCI.InvManual,INDEX(ORÇAMENTO!X$15:X$48,MATCH($A21,ORÇAMENTO!$E$15:$E$48,0))))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IF($B21="Branco",0,IF($B21="Manual",QCI.CPManual,IF($B21="SemiAuto",ROUND(QCI!$AA$3*QCI.InvManual,2),INDEX(ORÇAMENTO!$AA$15:$AA$48,MATCH($A21,ORÇAMENTO!$E$15:$E$48,0)))))</f>
        <v>0</v>
      </c>
      <c r="AB21" cm="1">
        <f t="array" aca="1" ref="AB21" ca="1">IF($B21="Branco",0,IF($B21="Manual",QCI.OutrosManual,IF($B21="SemiAuto",0,INDEX(ORÇAMENTO!$AB$15:$AB$48,MATCH($A21,ORÇAMENTO!$E$15:$E$48,0)))))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IF(NOT(ISBLANK(QCI.DescManual)),IF(QCI.Divisao="Calculado","Manual","SemiAuto"),IF(ISERROR(MATCH($A22,ORÇAMENTO!$E$15:$E$48,0)),"Branco","Automático"))</f>
        <v>Branco</v>
      </c>
      <c r="C22" t="str">
        <f t="shared" ca="1" si="1"/>
        <v/>
      </c>
      <c r="D22" s="281">
        <f t="shared" si="2"/>
        <v>9</v>
      </c>
      <c r="E22" s="118"/>
      <c r="F22" s="118"/>
      <c r="G22" s="163" t="str">
        <f ca="1">IF(OR($B22="Manual",$B22="SemiAuto"),QCI.DescManual,IF($B22="Automático",INDEX(ORÇAMENTO!$R$15:$R$48,MATCH($A22,ORÇAMENTO!$E$15:$E$48,0)),""))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IF($B22="Branco",0,IF(OR($B22="Manual",$B22="SemiAuto"),QCI.InvManual,INDEX(ORÇAMENTO!X$15:X$48,MATCH($A22,ORÇAMENTO!$E$15:$E$48,0))))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IF($B22="Branco",0,IF($B22="Manual",QCI.CPManual,IF($B22="SemiAuto",ROUND(QCI!$AA$3*QCI.InvManual,2),INDEX(ORÇAMENTO!$AA$15:$AA$48,MATCH($A22,ORÇAMENTO!$E$15:$E$48,0)))))</f>
        <v>0</v>
      </c>
      <c r="AB22" cm="1">
        <f t="array" aca="1" ref="AB22" ca="1">IF($B22="Branco",0,IF($B22="Manual",QCI.OutrosManual,IF($B22="SemiAuto",0,INDEX(ORÇAMENTO!$AB$15:$AB$48,MATCH($A22,ORÇAMENTO!$E$15:$E$48,0)))))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IF(NOT(ISBLANK(QCI.DescManual)),IF(QCI.Divisao="Calculado","Manual","SemiAuto"),IF(ISERROR(MATCH($A23,ORÇAMENTO!$E$15:$E$48,0)),"Branco","Automático"))</f>
        <v>Branco</v>
      </c>
      <c r="C23" t="str">
        <f ca="1">IF(O23&gt;0,"F","")</f>
        <v/>
      </c>
      <c r="D23" s="281">
        <f>ROW()-ROW($D$13)</f>
        <v>10</v>
      </c>
      <c r="E23" s="118"/>
      <c r="F23" s="118"/>
      <c r="G23" s="163" t="str">
        <f ca="1">IF(OR($B23="Manual",$B23="SemiAuto"),QCI.DescManual,IF($B23="Automático",INDEX(ORÇAMENTO!$R$15:$R$48,MATCH($A23,ORÇAMENTO!$E$15:$E$48,0)),""))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IF($B23="Branco",0,IF(OR($B23="Manual",$B23="SemiAuto"),QCI.InvManual,INDEX(ORÇAMENTO!X$15:X$48,MATCH($A23,ORÇAMENTO!$E$15:$E$48,0))))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IF($B23="Branco",0,IF($B23="Manual",QCI.CPManual,IF($B23="SemiAuto",ROUND(QCI!$AA$3*QCI.InvManual,2),INDEX(ORÇAMENTO!$AA$15:$AA$48,MATCH($A23,ORÇAMENTO!$E$15:$E$48,0)))))</f>
        <v>0</v>
      </c>
      <c r="AB23" cm="1">
        <f t="array" aca="1" ref="AB23" ca="1">IF($B23="Branco",0,IF($B23="Manual",QCI.OutrosManual,IF($B23="SemiAuto",0,INDEX(ORÇAMENTO!$AB$15:$AB$48,MATCH($A23,ORÇAMENTO!$E$15:$E$48,0)))))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14461.26</v>
      </c>
      <c r="N24" s="298">
        <f ca="1">SUM(N13:OFFSET(N24,-1,0))</f>
        <v>0</v>
      </c>
      <c r="O24" s="299">
        <f ca="1">SUM(O13:OFFSET(O24,-1,0))</f>
        <v>14461.26</v>
      </c>
      <c r="R24" s="300"/>
      <c r="T24" s="301"/>
      <c r="U24" s="302"/>
      <c r="V24" s="303"/>
      <c r="W24" s="304"/>
      <c r="X24" s="305"/>
      <c r="Z24" s="88">
        <f ca="1">SUMPRODUCT(ROUND(Z13:OFFSET(Z24,-1,0),2))</f>
        <v>0</v>
      </c>
      <c r="AA24" s="88">
        <f ca="1">SUMPRODUCT(ROUND(AA13:OFFSET(AA24,-1,0),2))</f>
        <v>14461.26</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CAÇADOR</v>
      </c>
      <c r="E33" s="723"/>
      <c r="F33" s="723"/>
      <c r="I33" s="139"/>
      <c r="J33" s="139"/>
      <c r="K33" s="180"/>
      <c r="L33" s="180"/>
    </row>
    <row r="34" spans="4:12" x14ac:dyDescent="0.2">
      <c r="D34" s="9" t="s">
        <v>693</v>
      </c>
      <c r="I34" s="181" t="s">
        <v>832</v>
      </c>
      <c r="J34" s="181"/>
    </row>
    <row r="35" spans="4:12" x14ac:dyDescent="0.2">
      <c r="I35" s="77" t="str">
        <f>"Nome:" &amp;  " " &amp; DADOS!C28</f>
        <v>Nome: Alencar Mendes</v>
      </c>
    </row>
    <row r="36" spans="4:12" x14ac:dyDescent="0.2">
      <c r="D36" s="717">
        <f>DADOS!$C$25</f>
        <v>46150</v>
      </c>
      <c r="E36" s="717"/>
      <c r="F36" s="717"/>
      <c r="I36" s="77" t="str">
        <f>"Cargo:"  &amp; " " &amp; DADOS!C29</f>
        <v>Cargo: Prefeito</v>
      </c>
    </row>
    <row r="37" spans="4:12" x14ac:dyDescent="0.2">
      <c r="D37" s="140" t="s">
        <v>694</v>
      </c>
      <c r="E37" s="1"/>
      <c r="F37" s="1"/>
      <c r="K37" s="77"/>
      <c r="L37" s="78"/>
    </row>
  </sheetData>
  <sheetProtection algorithmName="SHA-512" hashValue="SVSIBMPUWcPdne+ZMseM71jdfibrvaf7a2wI0jxZNS6NDhZu3RF/GfscFlez6+U2AXP73nJAk/oCun5s5Twxkg==" saltValue="Wd3cSLdtpDQWPMffN6l0Vg=="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83" priority="961" stopIfTrue="1">
      <formula>OR($B12="Automático",$B12="Branco")</formula>
    </cfRule>
  </conditionalFormatting>
  <conditionalFormatting sqref="L12">
    <cfRule type="expression" dxfId="18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81" priority="963" stopIfTrue="1">
      <formula>OR($B12="Automático",$B12="Branco",$V12&lt;&gt;"Calculado")</formula>
    </cfRule>
  </conditionalFormatting>
  <conditionalFormatting sqref="M25">
    <cfRule type="expression" dxfId="180" priority="965" stopIfTrue="1">
      <formula>AND($G$9&lt;&gt;"",OR($M$25&lt;Import.CPMinPerc,$M$25&gt;Import.CPMaxPerc))</formula>
    </cfRule>
  </conditionalFormatting>
  <conditionalFormatting sqref="M24">
    <cfRule type="expression" dxfId="179" priority="966" stopIfTrue="1">
      <formula>AND($G$9&lt;&gt;"",$M$24&lt;Import.CPMinAbsoluta)</formula>
    </cfRule>
  </conditionalFormatting>
  <conditionalFormatting sqref="L10:M10">
    <cfRule type="cellIs" dxfId="178" priority="967" stopIfTrue="1" operator="lessThan">
      <formula>0</formula>
    </cfRule>
  </conditionalFormatting>
  <conditionalFormatting sqref="G12">
    <cfRule type="cellIs" dxfId="177" priority="968" stopIfTrue="1" operator="equal">
      <formula>"(digite a descrição aqui)"</formula>
    </cfRule>
  </conditionalFormatting>
  <conditionalFormatting sqref="T14:V22">
    <cfRule type="expression" dxfId="176" priority="5" stopIfTrue="1">
      <formula>OR($B14="Automático",$B14="Branco")</formula>
    </cfRule>
  </conditionalFormatting>
  <conditionalFormatting sqref="L14:L22">
    <cfRule type="expression" dxfId="17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74" priority="7" stopIfTrue="1">
      <formula>OR($B14="Automático",$B14="Branco",$V14&lt;&gt;"Calculado")</formula>
    </cfRule>
  </conditionalFormatting>
  <conditionalFormatting sqref="G14:G22">
    <cfRule type="cellIs" dxfId="173" priority="8" stopIfTrue="1" operator="equal">
      <formula>"(digite a descrição aqui)"</formula>
    </cfRule>
  </conditionalFormatting>
  <conditionalFormatting sqref="T23:V23">
    <cfRule type="expression" dxfId="172" priority="1" stopIfTrue="1">
      <formula>OR($B23="Automático",$B23="Branco")</formula>
    </cfRule>
  </conditionalFormatting>
  <conditionalFormatting sqref="L23">
    <cfRule type="expression" dxfId="17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70" priority="3" stopIfTrue="1">
      <formula>OR($B23="Automático",$B23="Branco",$V23&lt;&gt;"Calculado")</formula>
    </cfRule>
  </conditionalFormatting>
  <conditionalFormatting sqref="G23">
    <cfRule type="cellIs" dxfId="16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IF(AUTOEVENTO="Manual",OFFSET(EVENTOS!$D$15,$B1-$B$15,0),IF(B1&lt;=MAX(CÁLCULO!$M$15:$M$48),VLOOKUP($B1,CÁLCULO!$M$15:$N$48,2,FALSE),0))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(SELECIONAR)</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65">
        <f>Import.CR</f>
        <v>0</v>
      </c>
      <c r="C7" s="765"/>
      <c r="D7" s="214">
        <f>Import.TransfereGOV</f>
        <v>0</v>
      </c>
      <c r="E7" s="42"/>
      <c r="H7" s="764">
        <f>Import.Proponente</f>
        <v>0</v>
      </c>
      <c r="I7" s="764"/>
      <c r="J7" s="764"/>
      <c r="K7" s="764"/>
      <c r="L7" s="764"/>
      <c r="M7" s="764"/>
      <c r="N7" s="764"/>
      <c r="O7" s="765" t="str">
        <f>Import.Apelido</f>
        <v xml:space="preserve">Ponte Herminio Gonçalves </v>
      </c>
      <c r="P7" s="765"/>
      <c r="Q7" s="765"/>
      <c r="R7" s="765"/>
      <c r="S7" s="765"/>
      <c r="T7" s="765"/>
      <c r="U7" s="765"/>
      <c r="V7" s="765" cm="1">
        <f t="array" ref="V7">IF(TIPOORCAMENTO="Licitado",Import.empresa,Import.DescLote)</f>
        <v>0</v>
      </c>
      <c r="W7" s="765"/>
      <c r="X7" s="765"/>
      <c r="Y7" s="765"/>
      <c r="Z7" s="765"/>
      <c r="AA7" s="765"/>
      <c r="AB7" s="765"/>
      <c r="AC7" s="765"/>
      <c r="AD7" s="765"/>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00/01/1900 a 00/01/1900</v>
      </c>
      <c r="O9" s="800"/>
      <c r="P9" s="800"/>
      <c r="Q9" s="800"/>
      <c r="R9" s="800"/>
      <c r="S9" s="800"/>
      <c r="T9" s="800"/>
      <c r="U9" s="268"/>
      <c r="X9" s="267" t="s">
        <v>835</v>
      </c>
      <c r="Y9" s="798">
        <f ca="1">OFFSET($I$69,1+8*(ROUNDUP(($J$9-0)/((COLUMN($AG$14)-COLUMN($G$14)-1)/25*12),0)-1),ROUNDDOWN((($J$9-0)-OFFSET($I$69,8*(ROUNDUP(($J$9-0)/((COLUMN($AG$14)-COLUMN($G$14)-1)/25*12),0)-1),0))*(2+1/12),0))</f>
        <v>0</v>
      </c>
      <c r="Z9" s="798"/>
      <c r="AD9" s="267" t="s">
        <v>836</v>
      </c>
      <c r="AE9" s="798">
        <f ca="1">OFFSET($I$69,3+8*(ROUNDUP(($J$9-0)/((COLUMN($AG$14)-COLUMN($G$14)-1)/25*12),0)-1),ROUNDDOWN((($J$9-0)-OFFSET($I$69,8*(ROUNDUP(($J$9-0)/((COLUMN($AG$14)-COLUMN($G$14)-1)/25*12),0)-1),0))*(2+1/12),0))</f>
        <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1" t="str">
        <f ca="1">IF(AUTOEVENTO="Manual",OFFSET(EVENTOS!$D$15,$B16-$B$15,0),IF(B16&lt;=MAX(CÁLCULO!$M$15:$M$48),VLOOKUP($B16,CÁLCULO!$M$15:$N$48,2,FALSE),0))</f>
        <v>ADMINISTRAÇÃO E SERVIÇOS PRELIMINARES</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IF(AUTOEVENTO="Manual",OFFSET(EVENTOS!$D$15,$B17-$B$15,0),IF(B17&lt;=MAX(CÁLCULO!$M$15:$M$48),VLOOKUP($B17,CÁLCULO!$M$15:$N$48,2,FALSE),0))</f>
        <v>ALAS E CONTENÇÃO</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IF(AUTOEVENTO="Manual",OFFSET(EVENTOS!$D$15,$B18-$B$15,0),IF(B18&lt;=MAX(CÁLCULO!$M$15:$M$48),VLOOKUP($B18,CÁLCULO!$M$15:$N$48,2,FALSE),0))</f>
        <v>VIGAS CABECEIRAS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IF(AUTOEVENTO="Manual",OFFSET(EVENTOS!$D$15,$B19-$B$15,0),IF(B19&lt;=MAX(CÁLCULO!$M$15:$M$48),VLOOKUP($B19,CÁLCULO!$M$15:$N$48,2,FALSE),0))</f>
        <v>SINALIZAÇÃO</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
      </c>
      <c r="B20" s="247">
        <f t="shared" ca="1" si="2"/>
        <v>5</v>
      </c>
      <c r="C20" s="791">
        <f ca="1">IF(AUTOEVENTO="Manual",OFFSET(EVENTOS!$D$15,$B20-$B$15,0),IF(B20&lt;=MAX(CÁLCULO!$M$15:$M$48),VLOOKUP($B20,CÁLCULO!$M$15:$N$48,2,FALSE),0))</f>
        <v>0</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
      </c>
      <c r="B21" s="247">
        <f t="shared" ca="1" si="2"/>
        <v>6</v>
      </c>
      <c r="C21" s="791">
        <f ca="1">IF(AUTOEVENTO="Manual",OFFSET(EVENTOS!$D$15,$B21-$B$15,0),IF(B21&lt;=MAX(CÁLCULO!$M$15:$M$48),VLOOKUP($B21,CÁLCULO!$M$15:$N$48,2,FALSE),0))</f>
        <v>0</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91">
        <f ca="1">IF(AUTOEVENTO="Manual",OFFSET(EVENTOS!$D$15,$B22-$B$15,0),IF(B22&lt;=MAX(CÁLCULO!$M$15:$M$48),VLOOKUP($B22,CÁLCULO!$M$15:$N$48,2,FALSE),0))</f>
        <v>0</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91">
        <f ca="1">IF(AUTOEVENTO="Manual",OFFSET(EVENTOS!$D$15,$B23-$B$15,0),IF(B23&lt;=MAX(CÁLCULO!$M$15:$M$48),VLOOKUP($B23,CÁLCULO!$M$15:$N$48,2,FALSE),0))</f>
        <v>0</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91">
        <f ca="1">IF(AUTOEVENTO="Manual",OFFSET(EVENTOS!$D$15,$B24-$B$15,0),IF(B24&lt;=MAX(CÁLCULO!$M$15:$M$48),VLOOKUP($B24,CÁLCULO!$M$15:$N$48,2,FALSE),0))</f>
        <v>0</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91">
        <f ca="1">IF(AUTOEVENTO="Manual",OFFSET(EVENTOS!$D$15,$B25-$B$15,0),IF(B25&lt;=MAX(CÁLCULO!$M$15:$M$48),VLOOKUP($B25,CÁLCULO!$M$15:$N$48,2,FALSE),0))</f>
        <v>0</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91">
        <f ca="1">IF(AUTOEVENTO="Manual",OFFSET(EVENTOS!$D$15,$B26-$B$15,0),IF(B26&lt;=MAX(CÁLCULO!$M$15:$M$48),VLOOKUP($B26,CÁLCULO!$M$15:$N$48,2,FALSE),0))</f>
        <v>0</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91">
        <f ca="1">IF(AUTOEVENTO="Manual",OFFSET(EVENTOS!$D$15,$B27-$B$15,0),IF(B27&lt;=MAX(CÁLCULO!$M$15:$M$48),VLOOKUP($B27,CÁLCULO!$M$15:$N$48,2,FALSE),0))</f>
        <v>0</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91">
        <f ca="1">IF(AUTOEVENTO="Manual",OFFSET(EVENTOS!$D$15,$B28-$B$15,0),IF(B28&lt;=MAX(CÁLCULO!$M$15:$M$48),VLOOKUP($B28,CÁLCULO!$M$15:$N$48,2,FALSE),0))</f>
        <v>0</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91">
        <f ca="1">IF(AUTOEVENTO="Manual",OFFSET(EVENTOS!$D$15,$B29-$B$15,0),IF(B29&lt;=MAX(CÁLCULO!$M$15:$M$48),VLOOKUP($B29,CÁLCULO!$M$15:$N$48,2,FALSE),0))</f>
        <v>0</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91">
        <f ca="1">IF(AUTOEVENTO="Manual",OFFSET(EVENTOS!$D$15,$B30-$B$15,0),IF(B30&lt;=MAX(CÁLCULO!$M$15:$M$48),VLOOKUP($B30,CÁLCULO!$M$15:$N$48,2,FALSE),0))</f>
        <v>0</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91">
        <f ca="1">IF(AUTOEVENTO="Manual",OFFSET(EVENTOS!$D$15,$B31-$B$15,0),IF(B31&lt;=MAX(CÁLCULO!$M$15:$M$48),VLOOKUP($B31,CÁLCULO!$M$15:$N$48,2,FALSE),0))</f>
        <v>0</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91">
        <f ca="1">IF(AUTOEVENTO="Manual",OFFSET(EVENTOS!$D$15,$B32-$B$15,0),IF(B32&lt;=MAX(CÁLCULO!$M$15:$M$48),VLOOKUP($B32,CÁLCULO!$M$15:$N$48,2,FALSE),0))</f>
        <v>0</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91">
        <f ca="1">IF(AUTOEVENTO="Manual",OFFSET(EVENTOS!$D$15,$B33-$B$15,0),IF(B33&lt;=MAX(CÁLCULO!$M$15:$M$48),VLOOKUP($B33,CÁLCULO!$M$15:$N$48,2,FALSE),0))</f>
        <v>0</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1">
        <f ca="1">IF(AUTOEVENTO="Manual",OFFSET(EVENTOS!$D$15,$B34-$B$15,0),IF(B34&lt;=MAX(CÁLCULO!$M$15:$M$48),VLOOKUP($B34,CÁLCULO!$M$15:$N$48,2,FALSE),0))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1">
        <f ca="1">IF(AUTOEVENTO="Manual",OFFSET(EVENTOS!$D$15,$B35-$B$15,0),IF(B35&lt;=MAX(CÁLCULO!$M$15:$M$48),VLOOKUP($B35,CÁLCULO!$M$15:$N$48,2,FALSE),0))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1">
        <f ca="1">IF(AUTOEVENTO="Manual",OFFSET(EVENTOS!$D$15,$B36-$B$15,0),IF(B36&lt;=MAX(CÁLCULO!$M$15:$M$48),VLOOKUP($B36,CÁLCULO!$M$15:$N$48,2,FALSE),0))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1">
        <f ca="1">IF(AUTOEVENTO="Manual",OFFSET(EVENTOS!$D$15,$B37-$B$15,0),IF(B37&lt;=MAX(CÁLCULO!$M$15:$M$48),VLOOKUP($B37,CÁLCULO!$M$15:$N$48,2,FALSE),0))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1">
        <f ca="1">IF(AUTOEVENTO="Manual",OFFSET(EVENTOS!$D$15,$B38-$B$15,0),IF(B38&lt;=MAX(CÁLCULO!$M$15:$M$48),VLOOKUP($B38,CÁLCULO!$M$15:$N$48,2,FALSE),0))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1">
        <f ca="1">IF(AUTOEVENTO="Manual",OFFSET(EVENTOS!$D$15,$B39-$B$15,0),IF(B39&lt;=MAX(CÁLCULO!$M$15:$M$48),VLOOKUP($B39,CÁLCULO!$M$15:$N$48,2,FALSE),0))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1">
        <f ca="1">IF(AUTOEVENTO="Manual",OFFSET(EVENTOS!$D$15,$B40-$B$15,0),IF(B40&lt;=MAX(CÁLCULO!$M$15:$M$48),VLOOKUP($B40,CÁLCULO!$M$15:$N$48,2,FALSE),0))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1">
        <f ca="1">IF(AUTOEVENTO="Manual",OFFSET(EVENTOS!$D$15,$B41-$B$15,0),IF(B41&lt;=MAX(CÁLCULO!$M$15:$M$48),VLOOKUP($B41,CÁLCULO!$M$15:$N$48,2,FALSE),0))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1">
        <f ca="1">IF(AUTOEVENTO="Manual",OFFSET(EVENTOS!$D$15,$B42-$B$15,0),IF(B42&lt;=MAX(CÁLCULO!$M$15:$M$48),VLOOKUP($B42,CÁLCULO!$M$15:$N$48,2,FALSE),0))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1">
        <f ca="1">IF(AUTOEVENTO="Manual",OFFSET(EVENTOS!$D$15,$B43-$B$15,0),IF(B43&lt;=MAX(CÁLCULO!$M$15:$M$48),VLOOKUP($B43,CÁLCULO!$M$15:$N$48,2,FALSE),0))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1">
        <f ca="1">IF(AUTOEVENTO="Manual",OFFSET(EVENTOS!$D$15,$B44-$B$15,0),IF(B44&lt;=MAX(CÁLCULO!$M$15:$M$48),VLOOKUP($B44,CÁLCULO!$M$15:$N$48,2,FALSE),0))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1">
        <f ca="1">IF(AUTOEVENTO="Manual",OFFSET(EVENTOS!$D$15,$B45-$B$15,0),IF(B45&lt;=MAX(CÁLCULO!$M$15:$M$48),VLOOKUP($B45,CÁLCULO!$M$15:$N$48,2,FALSE),0))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1">
        <f ca="1">IF(AUTOEVENTO="Manual",OFFSET(EVENTOS!$D$15,$B46-$B$15,0),IF(B46&lt;=MAX(CÁLCULO!$M$15:$M$48),VLOOKUP($B46,CÁLCULO!$M$15:$N$48,2,FALSE),0))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1">
        <f ca="1">IF(AUTOEVENTO="Manual",OFFSET(EVENTOS!$D$15,$B47-$B$15,0),IF(B47&lt;=MAX(CÁLCULO!$M$15:$M$48),VLOOKUP($B47,CÁLCULO!$M$15:$N$48,2,FALSE),0))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1">
        <f ca="1">IF(AUTOEVENTO="Manual",OFFSET(EVENTOS!$D$15,$B48-$B$15,0),IF(B48&lt;=MAX(CÁLCULO!$M$15:$M$48),VLOOKUP($B48,CÁLCULO!$M$15:$N$48,2,FALSE),0))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1">
        <f ca="1">IF(AUTOEVENTO="Manual",OFFSET(EVENTOS!$D$15,$B49-$B$15,0),IF(B49&lt;=MAX(CÁLCULO!$M$15:$M$48),VLOOKUP($B49,CÁLCULO!$M$15:$N$48,2,FALSE),0))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1">
        <f ca="1">IF(AUTOEVENTO="Manual",OFFSET(EVENTOS!$D$15,$B50-$B$15,0),IF(B50&lt;=MAX(CÁLCULO!$M$15:$M$48),VLOOKUP($B50,CÁLCULO!$M$15:$N$48,2,FALSE),0))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1">
        <f ca="1">IF(AUTOEVENTO="Manual",OFFSET(EVENTOS!$D$15,$B51-$B$15,0),IF(B51&lt;=MAX(CÁLCULO!$M$15:$M$48),VLOOKUP($B51,CÁLCULO!$M$15:$N$48,2,FALSE),0))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1">
        <f ca="1">IF(AUTOEVENTO="Manual",OFFSET(EVENTOS!$D$15,$B52-$B$15,0),IF(B52&lt;=MAX(CÁLCULO!$M$15:$M$48),VLOOKUP($B52,CÁLCULO!$M$15:$N$48,2,FALSE),0))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1">
        <f ca="1">IF(AUTOEVENTO="Manual",OFFSET(EVENTOS!$D$15,$B53-$B$15,0),IF(B53&lt;=MAX(CÁLCULO!$M$15:$M$48),VLOOKUP($B53,CÁLCULO!$M$15:$N$48,2,FALSE),0))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1">
        <f ca="1">IF(AUTOEVENTO="Manual",OFFSET(EVENTOS!$D$15,$B54-$B$15,0),IF(B54&lt;=MAX(CÁLCULO!$M$15:$M$48),VLOOKUP($B54,CÁLCULO!$M$15:$N$48,2,FALSE),0))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1">
        <f ca="1">IF(AUTOEVENTO="Manual",OFFSET(EVENTOS!$D$15,$B55-$B$15,0),IF(B55&lt;=MAX(CÁLCULO!$M$15:$M$48),VLOOKUP($B55,CÁLCULO!$M$15:$N$48,2,FALSE),0))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1">
        <f ca="1">IF(AUTOEVENTO="Manual",OFFSET(EVENTOS!$D$15,$B56-$B$15,0),IF(B56&lt;=MAX(CÁLCULO!$M$15:$M$48),VLOOKUP($B56,CÁLCULO!$M$15:$N$48,2,FALSE),0))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1">
        <f ca="1">IF(AUTOEVENTO="Manual",OFFSET(EVENTOS!$D$15,$B57-$B$15,0),IF(B57&lt;=MAX(CÁLCULO!$M$15:$M$48),VLOOKUP($B57,CÁLCULO!$M$15:$N$48,2,FALSE),0))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1">
        <f ca="1">IF(AUTOEVENTO="Manual",OFFSET(EVENTOS!$D$15,$B58-$B$15,0),IF(B58&lt;=MAX(CÁLCULO!$M$15:$M$48),VLOOKUP($B58,CÁLCULO!$M$15:$N$48,2,FALSE),0))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1">
        <f ca="1">IF(AUTOEVENTO="Manual",OFFSET(EVENTOS!$D$15,$B59-$B$15,0),IF(B59&lt;=MAX(CÁLCULO!$M$15:$M$48),VLOOKUP($B59,CÁLCULO!$M$15:$N$48,2,FALSE),0))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1">
        <f ca="1">IF(AUTOEVENTO="Manual",OFFSET(EVENTOS!$D$15,$B60-$B$15,0),IF(B60&lt;=MAX(CÁLCULO!$M$15:$M$48),VLOOKUP($B60,CÁLCULO!$M$15:$N$48,2,FALSE),0))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1">
        <f ca="1">IF(AUTOEVENTO="Manual",OFFSET(EVENTOS!$D$15,$B61-$B$15,0),IF(B61&lt;=MAX(CÁLCULO!$M$15:$M$48),VLOOKUP($B61,CÁLCULO!$M$15:$N$48,2,FALSE),0))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1">
        <f ca="1">IF(AUTOEVENTO="Manual",OFFSET(EVENTOS!$D$15,$B62-$B$15,0),IF(B62&lt;=MAX(CÁLCULO!$M$15:$M$48),VLOOKUP($B62,CÁLCULO!$M$15:$N$48,2,FALSE),0))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1">
        <f ca="1">IF(AUTOEVENTO="Manual",OFFSET(EVENTOS!$D$15,$B63-$B$15,0),IF(B63&lt;=MAX(CÁLCULO!$M$15:$M$48),VLOOKUP($B63,CÁLCULO!$M$15:$N$48,2,FALSE),0))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1">
        <f ca="1">IF(AUTOEVENTO="Manual",OFFSET(EVENTOS!$D$15,$B64-$B$15,0),IF(B64&lt;=MAX(CÁLCULO!$M$15:$M$48),VLOOKUP($B64,CÁLCULO!$M$15:$N$48,2,FALSE),0))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
      <c r="A70" s="7" t="s">
        <v>536</v>
      </c>
      <c r="D70" s="784" t="s">
        <v>799</v>
      </c>
      <c r="H70" s="270" t="s">
        <v>781</v>
      </c>
      <c r="I70" s="795">
        <f ca="1">ROUND(I71,2)/ORÇAMENTO!$X$15</f>
        <v>0</v>
      </c>
      <c r="J70" s="795"/>
      <c r="K70" s="801">
        <f ca="1">ROUND(K71,2)/ORÇAMENTO!$X$15</f>
        <v>0</v>
      </c>
      <c r="L70" s="801"/>
      <c r="M70" s="801">
        <f ca="1">ROUND(M71,2)/ORÇAMENTO!$X$15</f>
        <v>0</v>
      </c>
      <c r="N70" s="801"/>
      <c r="O70" s="801">
        <f ca="1">ROUND(O71,2)/ORÇAMENTO!$X$15</f>
        <v>0</v>
      </c>
      <c r="P70" s="801"/>
      <c r="Q70" s="801">
        <f ca="1">ROUND(Q71,2)/ORÇAMENTO!$X$15</f>
        <v>0</v>
      </c>
      <c r="R70" s="801"/>
      <c r="S70" s="801">
        <f ca="1">ROUND(S71,2)/ORÇAMENTO!$X$15</f>
        <v>0</v>
      </c>
      <c r="T70" s="801"/>
      <c r="U70" s="801">
        <f ca="1">ROUND(U71,2)/ORÇAMENTO!$X$15</f>
        <v>0</v>
      </c>
      <c r="V70" s="801"/>
      <c r="W70" s="801">
        <f ca="1">ROUND(W71,2)/ORÇAMENTO!$X$15</f>
        <v>0</v>
      </c>
      <c r="X70" s="801"/>
      <c r="Y70" s="801">
        <f ca="1">ROUND(Y71,2)/ORÇAMENTO!$X$15</f>
        <v>0</v>
      </c>
      <c r="Z70" s="801"/>
      <c r="AA70" s="801">
        <f ca="1">ROUND(AA71,2)/ORÇAMENTO!$X$15</f>
        <v>0</v>
      </c>
      <c r="AB70" s="801"/>
      <c r="AC70" s="801">
        <f ca="1">ROUND(AC71,2)/ORÇAMENTO!$X$15</f>
        <v>0</v>
      </c>
      <c r="AD70" s="801"/>
      <c r="AE70" s="801">
        <f ca="1">ROUND(AE71,2)/ORÇAMENTO!$X$15</f>
        <v>0</v>
      </c>
      <c r="AF70" s="801"/>
    </row>
    <row r="71" spans="1:32" x14ac:dyDescent="0.2">
      <c r="A71" s="7" t="s">
        <v>536</v>
      </c>
      <c r="D71" s="784"/>
      <c r="H71" s="11" t="s">
        <v>782</v>
      </c>
      <c r="I71" s="786" cm="1">
        <f t="array" aca="1" ref="I71" ca="1">IF(I69=1,I73,ROUND(I73,2)-ROUND(SUMIF(CÁLCULO!$AX$15:$BH$48,"&lt;="&amp;PLE!I69-1,CÁLCULO!$AB$15:$AL$48)*IF(AdmLocal="Automática",(1+CÁLCULO.TotalAdmLocal/(ORÇAMENTO!$X$15-CÁLCULO.TotalAdmLocal)),1),2))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84" t="s">
        <v>803</v>
      </c>
      <c r="H72" s="270" t="s">
        <v>781</v>
      </c>
      <c r="I72" s="788">
        <f ca="1">ROUND(I73,2)/ORÇAMENTO!$X$15</f>
        <v>0</v>
      </c>
      <c r="J72" s="788"/>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84"/>
      <c r="H73" s="11" t="s">
        <v>782</v>
      </c>
      <c r="I73" s="787" cm="1">
        <f t="array" aca="1" ref="I73" ca="1">SUMIF(CÁLCULO!$AX$15:$BH$48,"&lt;="&amp;PLE!I69,CÁLCULO!$AB$15:$AL$48)*IF(AdmLocal="Automática",(1+CÁLCULO.TotalAdmLocal/(ORÇAMENTO!$X$15-CÁLCULO.TotalAdmLocal)),1)</f>
        <v>0</v>
      </c>
      <c r="J73" s="787"/>
      <c r="K73" s="786" cm="1">
        <f t="array" aca="1" ref="K73" ca="1">SUMIF(CÁLCULO!$AX$15:$BH$48,"&lt;="&amp;PLE!K69,CÁLCULO!$AB$15:$AL$48)*IF(AdmLocal="Automática",(1+CÁLCULO.TotalAdmLocal/(ORÇAMENTO!$X$15-CÁLCULO.TotalAdmLocal)),1)</f>
        <v>0</v>
      </c>
      <c r="L73" s="786"/>
      <c r="M73" s="786" cm="1">
        <f t="array" aca="1" ref="M73" ca="1">SUMIF(CÁLCULO!$AX$15:$BH$48,"&lt;="&amp;PLE!M69,CÁLCULO!$AB$15:$AL$48)*IF(AdmLocal="Automática",(1+CÁLCULO.TotalAdmLocal/(ORÇAMENTO!$X$15-CÁLCULO.TotalAdmLocal)),1)</f>
        <v>0</v>
      </c>
      <c r="N73" s="786"/>
      <c r="O73" s="786" cm="1">
        <f t="array" aca="1" ref="O73" ca="1">SUMIF(CÁLCULO!$AX$15:$BH$48,"&lt;="&amp;PLE!O69,CÁLCULO!$AB$15:$AL$48)*IF(AdmLocal="Automática",(1+CÁLCULO.TotalAdmLocal/(ORÇAMENTO!$X$15-CÁLCULO.TotalAdmLocal)),1)</f>
        <v>0</v>
      </c>
      <c r="P73" s="786"/>
      <c r="Q73" s="786" cm="1">
        <f t="array" aca="1" ref="Q73" ca="1">SUMIF(CÁLCULO!$AX$15:$BH$48,"&lt;="&amp;PLE!Q69,CÁLCULO!$AB$15:$AL$48)*IF(AdmLocal="Automática",(1+CÁLCULO.TotalAdmLocal/(ORÇAMENTO!$X$15-CÁLCULO.TotalAdmLocal)),1)</f>
        <v>0</v>
      </c>
      <c r="R73" s="786"/>
      <c r="S73" s="786" cm="1">
        <f t="array" aca="1" ref="S73" ca="1">SUMIF(CÁLCULO!$AX$15:$BH$48,"&lt;="&amp;PLE!S69,CÁLCULO!$AB$15:$AL$48)*IF(AdmLocal="Automática",(1+CÁLCULO.TotalAdmLocal/(ORÇAMENTO!$X$15-CÁLCULO.TotalAdmLocal)),1)</f>
        <v>0</v>
      </c>
      <c r="T73" s="786"/>
      <c r="U73" s="786" cm="1">
        <f t="array" aca="1" ref="U73" ca="1">SUMIF(CÁLCULO!$AX$15:$BH$48,"&lt;="&amp;PLE!U69,CÁLCULO!$AB$15:$AL$48)*IF(AdmLocal="Automática",(1+CÁLCULO.TotalAdmLocal/(ORÇAMENTO!$X$15-CÁLCULO.TotalAdmLocal)),1)</f>
        <v>0</v>
      </c>
      <c r="V73" s="786"/>
      <c r="W73" s="786" cm="1">
        <f t="array" aca="1" ref="W73" ca="1">SUMIF(CÁLCULO!$AX$15:$BH$48,"&lt;="&amp;PLE!W69,CÁLCULO!$AB$15:$AL$48)*IF(AdmLocal="Automática",(1+CÁLCULO.TotalAdmLocal/(ORÇAMENTO!$X$15-CÁLCULO.TotalAdmLocal)),1)</f>
        <v>0</v>
      </c>
      <c r="X73" s="786"/>
      <c r="Y73" s="786" cm="1">
        <f t="array" aca="1" ref="Y73" ca="1">SUMIF(CÁLCULO!$AX$15:$BH$48,"&lt;="&amp;PLE!Y69,CÁLCULO!$AB$15:$AL$48)*IF(AdmLocal="Automática",(1+CÁLCULO.TotalAdmLocal/(ORÇAMENTO!$X$15-CÁLCULO.TotalAdmLocal)),1)</f>
        <v>0</v>
      </c>
      <c r="Z73" s="786"/>
      <c r="AA73" s="786" cm="1">
        <f t="array" aca="1" ref="AA73" ca="1">SUMIF(CÁLCULO!$AX$15:$BH$48,"&lt;="&amp;PLE!AA69,CÁLCULO!$AB$15:$AL$48)*IF(AdmLocal="Automática",(1+CÁLCULO.TotalAdmLocal/(ORÇAMENTO!$X$15-CÁLCULO.TotalAdmLocal)),1)</f>
        <v>0</v>
      </c>
      <c r="AB73" s="786"/>
      <c r="AC73" s="786" cm="1">
        <f t="array" aca="1" ref="AC73" ca="1">SUMIF(CÁLCULO!$AX$15:$BH$48,"&lt;="&amp;PLE!AC69,CÁLCULO!$AB$15:$AL$48)*IF(AdmLocal="Automática",(1+CÁLCULO.TotalAdmLocal/(ORÇAMENTO!$X$15-CÁLCULO.TotalAdmLocal)),1)</f>
        <v>0</v>
      </c>
      <c r="AD73" s="786"/>
      <c r="AE73" s="786" cm="1">
        <f t="array" aca="1" ref="AE73" ca="1">SUMIF(CÁLCULO!$AX$15:$BH$48,"&lt;="&amp;PLE!AE69,CÁLCULO!$AB$15:$AL$48)*IF(AdmLocal="Automática",(1+CÁLCULO.TotalAdmLocal/(ORÇAMENTO!$X$15-CÁLCULO.TotalAdmLocal)),1)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789"/>
      <c r="J76" s="789"/>
    </row>
    <row r="77" spans="1:32" ht="15" x14ac:dyDescent="0.25">
      <c r="A77" s="7" t="s">
        <v>536</v>
      </c>
      <c r="B77" s="723" t="str">
        <f>Import.Município</f>
        <v>CAÇADOR</v>
      </c>
      <c r="C77" s="723"/>
      <c r="D77" s="723"/>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7">
        <f>DADOS!$C$48</f>
        <v>0</v>
      </c>
      <c r="C80" s="717"/>
      <c r="D80" s="717"/>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3vVxh+BZyGdqj8FGXN3nDBswHtx0G38XDFIdSARVmgac2MClOyjUPS8T1kxif+XUpx2UmcQOJrQIX4L/ltc56A==" saltValue="0ZmFWE72ZL07/Jtn+bX6GA=="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168" priority="2721" stopIfTrue="1">
      <formula>IF(OR(ACOMPANHAMENTO="BM",F$12&gt;CÁLCULO.NúmeroDeFrentes),TRUE,PLE.ValorDoEvento=0)</formula>
    </cfRule>
    <cfRule type="cellIs" dxfId="167" priority="2722" stopIfTrue="1" operator="equal">
      <formula>$J$9</formula>
    </cfRule>
  </conditionalFormatting>
  <conditionalFormatting sqref="I70:AF70">
    <cfRule type="expression" dxfId="166" priority="2723" stopIfTrue="1">
      <formula>I69=$J$9</formula>
    </cfRule>
  </conditionalFormatting>
  <conditionalFormatting sqref="I71:AF71">
    <cfRule type="expression" dxfId="165" priority="2724" stopIfTrue="1">
      <formula>I69=$J$9</formula>
    </cfRule>
  </conditionalFormatting>
  <conditionalFormatting sqref="I72:AF72">
    <cfRule type="expression" dxfId="164" priority="2725" stopIfTrue="1">
      <formula>I69=$J$9</formula>
    </cfRule>
  </conditionalFormatting>
  <conditionalFormatting sqref="I73:AF73">
    <cfRule type="expression" dxfId="163" priority="2726" stopIfTrue="1">
      <formula>I69=$J$9</formula>
    </cfRule>
  </conditionalFormatting>
  <conditionalFormatting sqref="I69:J69">
    <cfRule type="cellIs" dxfId="162" priority="2720" stopIfTrue="1" operator="notEqual">
      <formula>1</formula>
    </cfRule>
  </conditionalFormatting>
  <conditionalFormatting sqref="H1:AF1">
    <cfRule type="expression" dxfId="161" priority="2738" stopIfTrue="1">
      <formula>IF(OR(ACOMPANHAMENTO="BM",TIPOORCAMENTO="Proposto",H$12&gt;CÁLCULO.NúmeroDeFrentes),TRUE,PLE.ValorDoEvento=0)</formula>
    </cfRule>
    <cfRule type="cellIs" dxfId="160" priority="2739" stopIfTrue="1" operator="equal">
      <formula>$J$9</formula>
    </cfRule>
  </conditionalFormatting>
  <conditionalFormatting sqref="AE6:AE7">
    <cfRule type="expression" dxfId="159" priority="2727" stopIfTrue="1">
      <formula>TIPOORCAMENTO&lt;&gt;"Licitado"</formula>
    </cfRule>
  </conditionalFormatting>
  <conditionalFormatting sqref="N9:T9">
    <cfRule type="expression" dxfId="158" priority="2728" stopIfTrue="1">
      <formula>COLUMN(N9)&gt;COLUMN($AF$12)</formula>
    </cfRule>
    <cfRule type="expression" dxfId="157" priority="2729" stopIfTrue="1">
      <formula>$N$9="DIGITE A DATA DA MEDIÇÃO"</formula>
    </cfRule>
  </conditionalFormatting>
  <conditionalFormatting sqref="I9:M9 U9:AF9">
    <cfRule type="expression" dxfId="156" priority="2730" stopIfTrue="1">
      <formula>COLUMN(I9)&gt;COLUMN($AF$12)</formula>
    </cfRule>
  </conditionalFormatting>
  <conditionalFormatting sqref="K70:AF73">
    <cfRule type="expression" dxfId="155" priority="1736" stopIfTrue="1">
      <formula>I$72=100%</formula>
    </cfRule>
  </conditionalFormatting>
  <conditionalFormatting sqref="J75 L75 N75 P75 R75 T75 V75 X75 Z75 AB75 AD75 AF75">
    <cfRule type="expression" dxfId="154" priority="14447" stopIfTrue="1">
      <formula>J70=$J$9</formula>
    </cfRule>
  </conditionalFormatting>
  <conditionalFormatting sqref="K74:AF74">
    <cfRule type="expression" dxfId="153" priority="1735">
      <formula>OFFSET(K74,-2,-2)=1</formula>
    </cfRule>
  </conditionalFormatting>
  <conditionalFormatting sqref="I74:AF74">
    <cfRule type="expression" dxfId="152" priority="1734">
      <formula>ROUND(I74,4)&gt;ROUND(I72,4)</formula>
    </cfRule>
  </conditionalFormatting>
  <conditionalFormatting sqref="N13">
    <cfRule type="expression" dxfId="151" priority="1733">
      <formula>$Y$9=0</formula>
    </cfRule>
  </conditionalFormatting>
  <conditionalFormatting sqref="F16:F24">
    <cfRule type="expression" dxfId="150" priority="21" stopIfTrue="1">
      <formula>IF(OR(ACOMPANHAMENTO="BM",F$12&gt;CÁLCULO.NúmeroDeFrentes),TRUE,PLE.ValorDoEvento=0)</formula>
    </cfRule>
    <cfRule type="cellIs" dxfId="149" priority="22" stopIfTrue="1" operator="equal">
      <formula>$J$9</formula>
    </cfRule>
  </conditionalFormatting>
  <conditionalFormatting sqref="H16:AF24">
    <cfRule type="expression" dxfId="148" priority="23" stopIfTrue="1">
      <formula>IF(OR(ACOMPANHAMENTO="BM",TIPOORCAMENTO="Proposto",H$12&gt;CÁLCULO.NúmeroDeFrentes),TRUE,PLE.ValorDoEvento=0)</formula>
    </cfRule>
    <cfRule type="cellIs" dxfId="147" priority="24" stopIfTrue="1" operator="equal">
      <formula>$J$9</formula>
    </cfRule>
  </conditionalFormatting>
  <conditionalFormatting sqref="F25:F33">
    <cfRule type="expression" dxfId="146" priority="17" stopIfTrue="1">
      <formula>IF(OR(ACOMPANHAMENTO="BM",F$12&gt;CÁLCULO.NúmeroDeFrentes),TRUE,PLE.ValorDoEvento=0)</formula>
    </cfRule>
    <cfRule type="cellIs" dxfId="145" priority="18" stopIfTrue="1" operator="equal">
      <formula>$J$9</formula>
    </cfRule>
  </conditionalFormatting>
  <conditionalFormatting sqref="H25:AF33">
    <cfRule type="expression" dxfId="144" priority="19" stopIfTrue="1">
      <formula>IF(OR(ACOMPANHAMENTO="BM",TIPOORCAMENTO="Proposto",H$12&gt;CÁLCULO.NúmeroDeFrentes),TRUE,PLE.ValorDoEvento=0)</formula>
    </cfRule>
    <cfRule type="cellIs" dxfId="143" priority="20" stopIfTrue="1" operator="equal">
      <formula>$J$9</formula>
    </cfRule>
  </conditionalFormatting>
  <conditionalFormatting sqref="F34:F42">
    <cfRule type="expression" dxfId="142" priority="13" stopIfTrue="1">
      <formula>IF(OR(ACOMPANHAMENTO="BM",F$12&gt;CÁLCULO.NúmeroDeFrentes),TRUE,PLE.ValorDoEvento=0)</formula>
    </cfRule>
    <cfRule type="cellIs" dxfId="141" priority="14" stopIfTrue="1" operator="equal">
      <formula>$J$9</formula>
    </cfRule>
  </conditionalFormatting>
  <conditionalFormatting sqref="H34:AF42">
    <cfRule type="expression" dxfId="140" priority="15" stopIfTrue="1">
      <formula>IF(OR(ACOMPANHAMENTO="BM",TIPOORCAMENTO="Proposto",H$12&gt;CÁLCULO.NúmeroDeFrentes),TRUE,PLE.ValorDoEvento=0)</formula>
    </cfRule>
    <cfRule type="cellIs" dxfId="139" priority="16" stopIfTrue="1" operator="equal">
      <formula>$J$9</formula>
    </cfRule>
  </conditionalFormatting>
  <conditionalFormatting sqref="F43:F51">
    <cfRule type="expression" dxfId="138" priority="9" stopIfTrue="1">
      <formula>IF(OR(ACOMPANHAMENTO="BM",F$12&gt;CÁLCULO.NúmeroDeFrentes),TRUE,PLE.ValorDoEvento=0)</formula>
    </cfRule>
    <cfRule type="cellIs" dxfId="137" priority="10" stopIfTrue="1" operator="equal">
      <formula>$J$9</formula>
    </cfRule>
  </conditionalFormatting>
  <conditionalFormatting sqref="H43:AF51">
    <cfRule type="expression" dxfId="136" priority="11" stopIfTrue="1">
      <formula>IF(OR(ACOMPANHAMENTO="BM",TIPOORCAMENTO="Proposto",H$12&gt;CÁLCULO.NúmeroDeFrentes),TRUE,PLE.ValorDoEvento=0)</formula>
    </cfRule>
    <cfRule type="cellIs" dxfId="135" priority="12" stopIfTrue="1" operator="equal">
      <formula>$J$9</formula>
    </cfRule>
  </conditionalFormatting>
  <conditionalFormatting sqref="F52:F60">
    <cfRule type="expression" dxfId="134" priority="5" stopIfTrue="1">
      <formula>IF(OR(ACOMPANHAMENTO="BM",F$12&gt;CÁLCULO.NúmeroDeFrentes),TRUE,PLE.ValorDoEvento=0)</formula>
    </cfRule>
    <cfRule type="cellIs" dxfId="133" priority="6" stopIfTrue="1" operator="equal">
      <formula>$J$9</formula>
    </cfRule>
  </conditionalFormatting>
  <conditionalFormatting sqref="H52:AF60">
    <cfRule type="expression" dxfId="132" priority="7" stopIfTrue="1">
      <formula>IF(OR(ACOMPANHAMENTO="BM",TIPOORCAMENTO="Proposto",H$12&gt;CÁLCULO.NúmeroDeFrentes),TRUE,PLE.ValorDoEvento=0)</formula>
    </cfRule>
    <cfRule type="cellIs" dxfId="131" priority="8" stopIfTrue="1" operator="equal">
      <formula>$J$9</formula>
    </cfRule>
  </conditionalFormatting>
  <conditionalFormatting sqref="F61:F64">
    <cfRule type="expression" dxfId="130" priority="1" stopIfTrue="1">
      <formula>IF(OR(ACOMPANHAMENTO="BM",F$12&gt;CÁLCULO.NúmeroDeFrentes),TRUE,PLE.ValorDoEvento=0)</formula>
    </cfRule>
    <cfRule type="cellIs" dxfId="129" priority="2" stopIfTrue="1" operator="equal">
      <formula>$J$9</formula>
    </cfRule>
  </conditionalFormatting>
  <conditionalFormatting sqref="H61:AF64">
    <cfRule type="expression" dxfId="128" priority="3" stopIfTrue="1">
      <formula>IF(OR(ACOMPANHAMENTO="BM",TIPOORCAMENTO="Proposto",H$12&gt;CÁLCULO.NúmeroDeFrentes),TRUE,PLE.ValorDoEvento=0)</formula>
    </cfRule>
    <cfRule type="cellIs" dxfId="12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3"/>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43" sqref="A43"/>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f>Import.Proponente</f>
        <v>0</v>
      </c>
      <c r="E5" s="703"/>
      <c r="F5" s="716">
        <f>Import.CR</f>
        <v>0</v>
      </c>
      <c r="G5" s="716"/>
      <c r="H5" s="716"/>
      <c r="I5" s="322">
        <f>Import.TransfereGOV</f>
        <v>0</v>
      </c>
      <c r="J5" s="703" t="str">
        <f>Import.Apelido</f>
        <v xml:space="preserve">Ponte Herminio Gonçalves </v>
      </c>
      <c r="K5" s="703"/>
      <c r="L5" s="703"/>
      <c r="M5" s="703"/>
      <c r="N5" s="70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ref="I8">IF(TIPOORCAMENTO="Licitado",Import.RegimeExecução,Import.Município)</f>
        <v>CAÇADOR</v>
      </c>
      <c r="J8" s="703"/>
      <c r="K8" s="703"/>
      <c r="L8" s="703"/>
      <c r="M8" s="703" t="str" cm="1">
        <f t="array" aca="1" ref="M8" ca="1">TEXT(IF(BM.medicao=1,Import.DataInicioObra,OFFSET($AB$12,0,BM.medicao-1-$AB$13)+1),"dd/mm/aaaa")&amp;" a "&amp;TEXT(OFFSET($AB$12,0,BM.medicao-$AB$13),"dd/mm/aaaa")</f>
        <v>00/01/1900 a 00/01/1900</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IF($J$58&lt;&gt;"",UPPER($J$58),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OFFSET(CRONO!$F$13,CRONO!$F$40,0)</f>
        <v>#VALUE!</v>
      </c>
      <c r="B11" s="418"/>
      <c r="C11" s="693"/>
      <c r="E11" s="556"/>
      <c r="F11" s="815"/>
      <c r="G11" s="815"/>
      <c r="H11" s="815"/>
      <c r="I11" s="815"/>
      <c r="N11" s="557"/>
      <c r="O11" s="558" t="str">
        <f ca="1">IF(ISERROR(P11),"","Administração Local Acumulada: "&amp;TEXT(P11,"0,00%"))</f>
        <v/>
      </c>
      <c r="P11" s="561" t="e">
        <f ca="1">OFFSET($O$15,$A$11,0)/OFFSET($I$15,$A$11,0)</f>
        <v>#VALUE!</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(Qtde.)</v>
      </c>
      <c r="K12" s="705"/>
      <c r="L12" s="705"/>
      <c r="M12" s="705" t="s">
        <v>856</v>
      </c>
      <c r="N12" s="705"/>
      <c r="O12" s="705"/>
      <c r="Q12" s="705" t="str" cm="1">
        <f t="array" aca="1" ref="Q12" ca="1">"Aferido (CAIXA) "&amp;CHOOSE(MATCH(RegimeExecucao,{"Unitário","Global"},0),"(Qtde.)","(%)")</f>
        <v>Aferido (CAIXA) (Qtde.)</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 xml:space="preserve">Objeto do CTEF: </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IF(OR(ACOMPANHAMENTO="PLE",TIPOORCAMENTO="Proposto"),0,SUMIF(OFFSET($A15,1,0):$A$48,"S",OFFSET(M15,1,0):M$48))</f>
        <v>0</v>
      </c>
      <c r="N15" s="341">
        <f ca="1">O15-M15</f>
        <v>0</v>
      </c>
      <c r="O15" s="341" cm="1">
        <f t="array" aca="1" ref="O15" ca="1">IF(OR(ACOMPANHAMENTO="PLE",TIPOORCAMENTO="Proposto"),0,SUMIF(OFFSET($A15,1,0):$A$48,"S",OFFSET(O15,1,0):O$48))</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32</v>
      </c>
      <c r="C16" s="114" t="str">
        <f t="shared" ref="C16:C46" ca="1" si="1">IF(OR($I16&gt;0,$A16=1,$A16=2,$A16=3,$A16=4),"F","")</f>
        <v>F</v>
      </c>
      <c r="D16" s="117" t="str">
        <f ca="1">ORÇAMENTO!O16</f>
        <v>1.</v>
      </c>
      <c r="E16" s="163" t="str">
        <f t="shared" ref="E16:E46" si="2">ORÇAMENTO.Descricao</f>
        <v>ESTRUTURA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14461.26</v>
      </c>
      <c r="J16" s="333" cm="1">
        <f t="array" aca="1" ref="J16" ca="1">IF($A16="S",IF(CAIXA.Modo,BM.AFAnterior,BM.MEDAnterior),IF(AND(RegimeExecucao="Global",$I16&gt;0,COUNTIF($AB$13:$AM$13,BM.medicao-1)&gt;0),M16/$I16*100,0))</f>
        <v>0</v>
      </c>
      <c r="K16" s="122">
        <f t="shared" ref="K16:K46"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6" ca="1" si="4">O16-M16</f>
        <v>0</v>
      </c>
      <c r="O16" s="125" cm="1">
        <f t="array" aca="1" ref="O16" ca="1">IF($A16="S",VTOTALBM,IF($A16=0,0,ROUND(SomaAgrupBM,15-13*ORÇAMENTO!$AF$11)))</f>
        <v>0</v>
      </c>
      <c r="Q16" s="337"/>
      <c r="R16" s="338"/>
      <c r="T16" s="117" t="str">
        <f t="shared" ref="T16:T46" ca="1" si="5">IF($W16&gt;0,$D16,"")</f>
        <v/>
      </c>
      <c r="U16" s="163" t="str">
        <f t="shared" ref="U16:U46"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6"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ADMINISTRAÇÃO E 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1</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v>
      </c>
      <c r="G19" s="122" cm="1">
        <f t="array" aca="1" ref="G19" ca="1">IF(RegimeExecucao="Global","",ORÇAMENTO!T19)</f>
        <v>4.5</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1.28</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13</v>
      </c>
      <c r="C21" s="114" t="str">
        <f t="shared" ca="1" si="1"/>
        <v>F</v>
      </c>
      <c r="D21" s="117" t="str">
        <f ca="1">ORÇAMENTO!O21</f>
        <v>1.2.</v>
      </c>
      <c r="E21" s="163" t="str">
        <f t="shared" si="2"/>
        <v>ALAS E CONTENÇÃO</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3153.35</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ca="1">IF(OR($I22&gt;0,$A22=1,$A22=2,$A22=3,$A22=4),"F","")</f>
        <v/>
      </c>
      <c r="D22" s="117" t="str">
        <f ca="1">ORÇAMENTO!O22</f>
        <v>-</v>
      </c>
      <c r="E22" s="163" t="str">
        <f ca="1">ORÇAMENTO.Descricao</f>
        <v>(Código não identificado nas referências)</v>
      </c>
      <c r="F22" s="164" t="str" cm="1">
        <f t="array" aca="1" ref="F22" ca="1">IF(RegimeExecucao="Global","",ORÇAMENTO.Unidade)</f>
        <v>-</v>
      </c>
      <c r="G22" s="122" cm="1">
        <f t="array" aca="1" ref="G22" ca="1">IF(RegimeExecucao="Global","",ORÇAMENTO!T22)</f>
        <v>149.09</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ca="1">L22-J22</f>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ca="1">O22-M22</f>
        <v>0</v>
      </c>
      <c r="O22" s="125" cm="1">
        <f t="array" aca="1" ref="O22" ca="1">IF($A22="S",VTOTALBM,IF($A22=0,0,ROUND(SomaAgrupBM,15-13*ORÇAMENTO!$AF$11)))</f>
        <v>0</v>
      </c>
      <c r="Q22" s="337"/>
      <c r="R22" s="338"/>
      <c r="T22" s="117" t="str">
        <f ca="1">IF($W22&gt;0,$D22,"")</f>
        <v/>
      </c>
      <c r="U22" s="163" t="str">
        <f ca="1">IF($W22&gt;0,$E22,"")</f>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ca="1">AO22-O22</f>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178.92</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t="shared" ca="1" si="1"/>
        <v/>
      </c>
      <c r="D24" s="117" t="str">
        <f ca="1">ORÇAMENTO!O24</f>
        <v>-</v>
      </c>
      <c r="E24" s="163" t="str">
        <f t="shared" ca="1" si="2"/>
        <v>(Código não identificado nas referências)</v>
      </c>
      <c r="F24" s="164" t="str" cm="1">
        <f t="array" aca="1" ref="F24" ca="1">IF(RegimeExecucao="Global","",ORÇAMENTO.Unidade)</f>
        <v>-</v>
      </c>
      <c r="G24" s="122" cm="1">
        <f t="array" aca="1" ref="G24" ca="1">IF(RegimeExecucao="Global","",ORÇAMENTO!T24)</f>
        <v>830.87</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4" t="str">
        <f t="shared" ca="1" si="1"/>
        <v/>
      </c>
      <c r="D25" s="117" t="str">
        <f ca="1">ORÇAMENTO!O25</f>
        <v>-</v>
      </c>
      <c r="E25" s="163" t="str">
        <f t="shared" ca="1" si="2"/>
        <v>(Código não identificado nas referências)</v>
      </c>
      <c r="F25" s="164" t="str" cm="1">
        <f t="array" aca="1" ref="F25" ca="1">IF(RegimeExecucao="Global","",ORÇAMENTO.Unidade)</f>
        <v>-</v>
      </c>
      <c r="G25" s="122" cm="1">
        <f t="array" aca="1" ref="G25" ca="1">IF(RegimeExecucao="Global","",ORÇAMENTO!T25)</f>
        <v>182.59</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v>
      </c>
      <c r="G26" s="122" cm="1">
        <f t="array" aca="1" ref="G26" ca="1">IF(RegimeExecucao="Global","",ORÇAMENTO!T26)</f>
        <v>37.78</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4" t="str">
        <f ca="1">IF(OR($I27&gt;0,$A27=1,$A27=2,$A27=3,$A27=4),"F","")</f>
        <v/>
      </c>
      <c r="D27" s="117" t="str">
        <f ca="1">ORÇAMENTO!O27</f>
        <v>-</v>
      </c>
      <c r="E27" s="163" t="str">
        <f t="shared" ref="E27:E33" ca="1" si="8">ORÇAMENTO.Descricao</f>
        <v>(Código não identificado nas referências)</v>
      </c>
      <c r="F27" s="164" t="str" cm="1">
        <f t="array" aca="1" ref="F27" ca="1">IF(RegimeExecucao="Global","",ORÇAMENTO.Unidade)</f>
        <v>-</v>
      </c>
      <c r="G27" s="122" cm="1">
        <f t="array" aca="1" ref="G27" ca="1">IF(RegimeExecucao="Global","",ORÇAMENTO!T27)</f>
        <v>82.92</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ca="1">IF(OR($I28&gt;0,$A28=1,$A28=2,$A28=3,$A28=4),"F","")</f>
        <v>F</v>
      </c>
      <c r="D28" s="117" t="str">
        <f ca="1">ORÇAMENTO!O28</f>
        <v>1.2.1.</v>
      </c>
      <c r="E28" s="163" t="str">
        <f t="shared" si="8"/>
        <v>APARELHO DE APOIO DE NEOPRENE FRETADO PARA ESTRUTURAS PRÉ-MOLDADAS - FORNECIMENTO E INSTALAÇÃO</v>
      </c>
      <c r="F28" s="164" t="str" cm="1">
        <f t="array" aca="1" ref="F28" ca="1">IF(RegimeExecucao="Global","",ORÇAMENTO.Unidade)</f>
        <v>DM3</v>
      </c>
      <c r="G28" s="122" cm="1">
        <f t="array" aca="1" ref="G28" ca="1">IF(RegimeExecucao="Global","",ORÇAMENTO!T28)</f>
        <v>9.2799999999999994</v>
      </c>
      <c r="H28" s="122" cm="1">
        <f t="array" aca="1" ref="H28" ca="1">IF(RegimeExecucao="Global","",ORÇAMENTO!W28)</f>
        <v>161.43</v>
      </c>
      <c r="I28" s="125">
        <f ca="1">ORÇAMENTO!X28</f>
        <v>1498.07</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ca="1">IF(OR($I29&gt;0,$A29=1,$A29=2,$A29=3,$A29=4),"F","")</f>
        <v>F</v>
      </c>
      <c r="D29" s="117" t="str">
        <f ca="1">ORÇAMENTO!O29</f>
        <v>1.2.2.</v>
      </c>
      <c r="E29" s="163" t="str">
        <f t="shared" si="8"/>
        <v>FORNECIMENTO E APLICAÇÃO DE ADESIVO ESTRUTURAL À BASE DE RESINA EPÓXI</v>
      </c>
      <c r="F29" s="164" t="str" cm="1">
        <f t="array" aca="1" ref="F29" ca="1">IF(RegimeExecucao="Global","",ORÇAMENTO.Unidade)</f>
        <v>KG</v>
      </c>
      <c r="G29" s="122" cm="1">
        <f t="array" aca="1" ref="G29" ca="1">IF(RegimeExecucao="Global","",ORÇAMENTO!T29)</f>
        <v>7.7</v>
      </c>
      <c r="H29" s="122" cm="1">
        <f t="array" aca="1" ref="H29" ca="1">IF(RegimeExecucao="Global","",ORÇAMENTO!W29)</f>
        <v>83.29</v>
      </c>
      <c r="I29" s="125">
        <f ca="1">ORÇAMENTO!X29</f>
        <v>641.33000000000004</v>
      </c>
      <c r="J29" s="333" cm="1">
        <f t="array" aca="1" ref="J29" ca="1">IF($A29="S",IF(CAIXA.Modo,BM.AFAnterior,BM.MEDAnterior),IF(AND(RegimeExecucao="Global",$I29&gt;0,COUNTIF($AB$13:$AM$13,BM.medicao-1)&gt;0),M29/$I29*100,0))</f>
        <v>0</v>
      </c>
      <c r="K29" s="122">
        <f ca="1">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ca="1">O29-M29</f>
        <v>0</v>
      </c>
      <c r="O29" s="125" cm="1">
        <f t="array" aca="1" ref="O29" ca="1">IF($A29="S",VTOTALBM,IF($A29=0,0,ROUND(SomaAgrupBM,15-13*ORÇAMENTO!$AF$11)))</f>
        <v>0</v>
      </c>
      <c r="Q29" s="337"/>
      <c r="R29" s="338"/>
      <c r="T29" s="117" t="str">
        <f ca="1">IF($W29&gt;0,$D29,"")</f>
        <v/>
      </c>
      <c r="U29" s="163" t="str">
        <f ca="1">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ca="1">AO29-O29</f>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ca="1">IF(OR($I30&gt;0,$A30=1,$A30=2,$A30=3,$A30=4),"F","")</f>
        <v/>
      </c>
      <c r="D30" s="117" t="str">
        <f ca="1">ORÇAMENTO!O30</f>
        <v>-</v>
      </c>
      <c r="E30" s="163" t="str">
        <f t="shared" ca="1" si="8"/>
        <v>(Código não identificado nas referências)</v>
      </c>
      <c r="F30" s="164" t="str" cm="1">
        <f t="array" aca="1" ref="F30" ca="1">IF(RegimeExecucao="Global","",ORÇAMENTO.Unidade)</f>
        <v>-</v>
      </c>
      <c r="G30" s="122" cm="1">
        <f t="array" aca="1" ref="G30" ca="1">IF(RegimeExecucao="Global","",ORÇAMENTO!T30)</f>
        <v>11</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ca="1">IF(OR($I31&gt;0,$A31=1,$A31=2,$A31=3,$A31=4),"F","")</f>
        <v/>
      </c>
      <c r="D31" s="117" t="str">
        <f ca="1">ORÇAMENTO!O31</f>
        <v>-</v>
      </c>
      <c r="E31" s="163" t="str">
        <f t="shared" ca="1" si="8"/>
        <v>(Código não identificado nas referências)</v>
      </c>
      <c r="F31" s="164" t="str" cm="1">
        <f t="array" aca="1" ref="F31" ca="1">IF(RegimeExecucao="Global","",ORÇAMENTO.Unidade)</f>
        <v>-</v>
      </c>
      <c r="G31" s="122" cm="1">
        <f t="array" aca="1" ref="G31" ca="1">IF(RegimeExecucao="Global","",ORÇAMENTO!T31)</f>
        <v>0.75</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ca="1">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ca="1">O31-M31</f>
        <v>0</v>
      </c>
      <c r="O31" s="125" cm="1">
        <f t="array" aca="1" ref="O31" ca="1">IF($A31="S",VTOTALBM,IF($A31=0,0,ROUND(SomaAgrupBM,15-13*ORÇAMENTO!$AF$11)))</f>
        <v>0</v>
      </c>
      <c r="Q31" s="337"/>
      <c r="R31" s="338"/>
      <c r="T31" s="117" t="str">
        <f ca="1">IF($W31&gt;0,$D31,"")</f>
        <v/>
      </c>
      <c r="U31" s="163" t="str">
        <f ca="1">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ca="1">AO31-O31</f>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ref="C32:C33" ca="1" si="9">IF(OR($I32&gt;0,$A32=1,$A32=2,$A32=3,$A32=4),"F","")</f>
        <v>F</v>
      </c>
      <c r="D32" s="117" t="str">
        <f ca="1">ORÇAMENTO!O32</f>
        <v>1.2.3.</v>
      </c>
      <c r="E32" s="163" t="str">
        <f t="shared" si="8"/>
        <v>TRANSPORTE COM CAMINHÃO BETONEIRA - RODOVIA EM LEITO NATURAL</v>
      </c>
      <c r="F32" s="164" t="str" cm="1">
        <f t="array" aca="1" ref="F32" ca="1">IF(RegimeExecucao="Global","",ORÇAMENTO.Unidade)</f>
        <v>tkm</v>
      </c>
      <c r="G32" s="122" cm="1">
        <f t="array" aca="1" ref="G32" ca="1">IF(RegimeExecucao="Global","",ORÇAMENTO!T32)</f>
        <v>554.83000000000004</v>
      </c>
      <c r="H32" s="122" cm="1">
        <f t="array" aca="1" ref="H32" ca="1">IF(RegimeExecucao="Global","",ORÇAMENTO!W32)</f>
        <v>1.57</v>
      </c>
      <c r="I32" s="125">
        <f ca="1">ORÇAMENTO!X32</f>
        <v>871.08</v>
      </c>
      <c r="J32" s="333" cm="1">
        <f t="array" aca="1" ref="J32" ca="1">IF($A32="S",IF(CAIXA.Modo,BM.AFAnterior,BM.MEDAnterior),IF(AND(RegimeExecucao="Global",$I32&gt;0,COUNTIF($AB$13:$AM$13,BM.medicao-1)&gt;0),M32/$I32*100,0))</f>
        <v>0</v>
      </c>
      <c r="K32" s="122">
        <f t="shared" ref="K32:K33" ca="1" si="10">L32-J32</f>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ref="N32:N33" ca="1" si="11">O32-M32</f>
        <v>0</v>
      </c>
      <c r="O32" s="125" cm="1">
        <f t="array" aca="1" ref="O32" ca="1">IF($A32="S",VTOTALBM,IF($A32=0,0,ROUND(SomaAgrupBM,15-13*ORÇAMENTO!$AF$11)))</f>
        <v>0</v>
      </c>
      <c r="Q32" s="337"/>
      <c r="R32" s="338"/>
      <c r="T32" s="117" t="str">
        <f t="shared" ref="T32:T33" ca="1" si="12">IF($W32&gt;0,$D32,"")</f>
        <v/>
      </c>
      <c r="U32" s="163" t="str">
        <f t="shared" ref="U32:U33" ca="1" si="13">IF($W32&gt;0,$E32,"")</f>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ref="Y32:Y33" ca="1" si="14">AO32-O32</f>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9"/>
        <v>F</v>
      </c>
      <c r="D33" s="117" t="str">
        <f ca="1">ORÇAMENTO!O33</f>
        <v>1.2.4.</v>
      </c>
      <c r="E33" s="163" t="str">
        <f t="shared" si="8"/>
        <v>TRANSPORTE COM CAMINHÃO BETONEIRA - RODOVIA PAVIMENTADA</v>
      </c>
      <c r="F33" s="164" t="str" cm="1">
        <f t="array" aca="1" ref="F33" ca="1">IF(RegimeExecucao="Global","",ORÇAMENTO.Unidade)</f>
        <v>tkm</v>
      </c>
      <c r="G33" s="122" cm="1">
        <f t="array" aca="1" ref="G33" ca="1">IF(RegimeExecucao="Global","",ORÇAMENTO!T33)</f>
        <v>138.71</v>
      </c>
      <c r="H33" s="122" cm="1">
        <f t="array" aca="1" ref="H33" ca="1">IF(RegimeExecucao="Global","",ORÇAMENTO!W33)</f>
        <v>1.03</v>
      </c>
      <c r="I33" s="125">
        <f ca="1">ORÇAMENTO!X33</f>
        <v>142.87</v>
      </c>
      <c r="J33" s="333" cm="1">
        <f t="array" aca="1" ref="J33" ca="1">IF($A33="S",IF(CAIXA.Modo,BM.AFAnterior,BM.MEDAnterior),IF(AND(RegimeExecucao="Global",$I33&gt;0,COUNTIF($AB$13:$AM$13,BM.medicao-1)&gt;0),M33/$I33*100,0))</f>
        <v>0</v>
      </c>
      <c r="K33" s="122">
        <f t="shared" ca="1" si="10"/>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11"/>
        <v>0</v>
      </c>
      <c r="O33" s="125" cm="1">
        <f t="array" aca="1" ref="O33" ca="1">IF($A33="S",VTOTALBM,IF($A33=0,0,ROUND(SomaAgrupBM,15-13*ORÇAMENTO!$AF$11)))</f>
        <v>0</v>
      </c>
      <c r="Q33" s="337"/>
      <c r="R33" s="338"/>
      <c r="T33" s="117" t="str">
        <f t="shared" ca="1" si="12"/>
        <v/>
      </c>
      <c r="U33" s="163" t="str">
        <f t="shared" ca="1" si="13"/>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14"/>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2</v>
      </c>
      <c r="B34">
        <f ca="1">ORÇAMENTO!D34</f>
        <v>11</v>
      </c>
      <c r="C34" s="114" t="str">
        <f t="shared" ca="1" si="1"/>
        <v>F</v>
      </c>
      <c r="D34" s="117" t="str">
        <f ca="1">ORÇAMENTO!O34</f>
        <v>1.3.</v>
      </c>
      <c r="E34" s="163" t="str">
        <f t="shared" si="2"/>
        <v>VIGAS CABECEIRAS</v>
      </c>
      <c r="F34" s="164" t="str" cm="1">
        <f t="array" aca="1" ref="F34" ca="1">IF(RegimeExecucao="Global","",ORÇAMENTO.Unidade)</f>
        <v>-</v>
      </c>
      <c r="G34" s="122" cm="1">
        <f t="array" aca="1" ref="G34" ca="1">IF(RegimeExecucao="Global","",ORÇAMENTO!T34)</f>
        <v>0</v>
      </c>
      <c r="H34" s="122" cm="1">
        <f t="array" aca="1" ref="H34" ca="1">IF(RegimeExecucao="Global","",ORÇAMENTO!W34)</f>
        <v>0</v>
      </c>
      <c r="I34" s="125">
        <f ca="1">ORÇAMENTO!X34</f>
        <v>6115.31</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v>
      </c>
      <c r="G35" s="122" cm="1">
        <f t="array" aca="1" ref="G35" ca="1">IF(RegimeExecucao="Global","",ORÇAMENTO!T35)</f>
        <v>70.739999999999995</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v>
      </c>
      <c r="G36" s="122" cm="1">
        <f t="array" aca="1" ref="G36" ca="1">IF(RegimeExecucao="Global","",ORÇAMENTO!T36)</f>
        <v>201.43</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v>
      </c>
      <c r="G37" s="122" cm="1">
        <f t="array" aca="1" ref="G37" ca="1">IF(RegimeExecucao="Global","",ORÇAMENTO!T37)</f>
        <v>5.96</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ca="1">IF(OR($I38&gt;0,$A38=1,$A38=2,$A38=3,$A38=4),"F","")</f>
        <v/>
      </c>
      <c r="D38" s="117" t="str">
        <f ca="1">ORÇAMENTO!O38</f>
        <v>-</v>
      </c>
      <c r="E38" s="163" t="str">
        <f t="shared" ref="E38:E44" ca="1" si="15">ORÇAMENTO.Descricao</f>
        <v>(Código não identificado nas referências)</v>
      </c>
      <c r="F38" s="164" t="str" cm="1">
        <f t="array" aca="1" ref="F38" ca="1">IF(RegimeExecucao="Global","",ORÇAMENTO.Unidade)</f>
        <v>-</v>
      </c>
      <c r="G38" s="122" cm="1">
        <f t="array" aca="1" ref="G38" ca="1">IF(RegimeExecucao="Global","",ORÇAMENTO!T38)</f>
        <v>26.09</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ca="1">L38-J38</f>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ca="1">O38-M38</f>
        <v>0</v>
      </c>
      <c r="O38" s="125" cm="1">
        <f t="array" aca="1" ref="O38" ca="1">IF($A38="S",VTOTALBM,IF($A38=0,0,ROUND(SomaAgrupBM,15-13*ORÇAMENTO!$AF$11)))</f>
        <v>0</v>
      </c>
      <c r="Q38" s="337"/>
      <c r="R38" s="338"/>
      <c r="T38" s="117" t="str">
        <f ca="1">IF($W38&gt;0,$D38,"")</f>
        <v/>
      </c>
      <c r="U38" s="163" t="str">
        <f ca="1">IF($W38&gt;0,$E38,"")</f>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ca="1">AO38-O38</f>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ca="1">IF(OR($I39&gt;0,$A39=1,$A39=2,$A39=3,$A39=4),"F","")</f>
        <v/>
      </c>
      <c r="D39" s="117" t="str">
        <f ca="1">ORÇAMENTO!O39</f>
        <v>-</v>
      </c>
      <c r="E39" s="163" t="str">
        <f t="shared" ca="1" si="15"/>
        <v>(Código não identificado nas referências)</v>
      </c>
      <c r="F39" s="164" t="str" cm="1">
        <f t="array" aca="1" ref="F39" ca="1">IF(RegimeExecucao="Global","",ORÇAMENTO.Unidade)</f>
        <v>-</v>
      </c>
      <c r="G39" s="122" cm="1">
        <f t="array" aca="1" ref="G39" ca="1">IF(RegimeExecucao="Global","",ORÇAMENTO!T39)</f>
        <v>20.52</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ca="1">L39-J39</f>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ca="1">O39-M39</f>
        <v>0</v>
      </c>
      <c r="O39" s="125" cm="1">
        <f t="array" aca="1" ref="O39" ca="1">IF($A39="S",VTOTALBM,IF($A39=0,0,ROUND(SomaAgrupBM,15-13*ORÇAMENTO!$AF$11)))</f>
        <v>0</v>
      </c>
      <c r="Q39" s="337"/>
      <c r="R39" s="338"/>
      <c r="T39" s="117" t="str">
        <f ca="1">IF($W39&gt;0,$D39,"")</f>
        <v/>
      </c>
      <c r="U39" s="163" t="str">
        <f ca="1">IF($W39&gt;0,$E39,"")</f>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ca="1">AO39-O39</f>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ref="C40:C44" ca="1" si="16">IF(OR($I40&gt;0,$A40=1,$A40=2,$A40=3,$A40=4),"F","")</f>
        <v>F</v>
      </c>
      <c r="D40" s="117" t="str">
        <f ca="1">ORÇAMENTO!O40</f>
        <v>1.3.1.</v>
      </c>
      <c r="E40" s="163" t="str">
        <f t="shared" si="15"/>
        <v>FORNECIMENTO E APLICAÇÃO DE ADESIVO ESTRUTURAL À BASE DE RESINA EPÓXI</v>
      </c>
      <c r="F40" s="164" t="str" cm="1">
        <f t="array" aca="1" ref="F40" ca="1">IF(RegimeExecucao="Global","",ORÇAMENTO.Unidade)</f>
        <v>KG</v>
      </c>
      <c r="G40" s="122" cm="1">
        <f t="array" aca="1" ref="G40" ca="1">IF(RegimeExecucao="Global","",ORÇAMENTO!T40)</f>
        <v>6.91</v>
      </c>
      <c r="H40" s="122" cm="1">
        <f t="array" aca="1" ref="H40" ca="1">IF(RegimeExecucao="Global","",ORÇAMENTO!W40)</f>
        <v>83.29</v>
      </c>
      <c r="I40" s="125">
        <f ca="1">ORÇAMENTO!X40</f>
        <v>575.53</v>
      </c>
      <c r="J40" s="333" cm="1">
        <f t="array" aca="1" ref="J40" ca="1">IF($A40="S",IF(CAIXA.Modo,BM.AFAnterior,BM.MEDAnterior),IF(AND(RegimeExecucao="Global",$I40&gt;0,COUNTIF($AB$13:$AM$13,BM.medicao-1)&gt;0),M40/$I40*100,0))</f>
        <v>0</v>
      </c>
      <c r="K40" s="122">
        <f t="shared" ref="K40:K44" ca="1" si="17">L40-J40</f>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ref="N40:N44" ca="1" si="18">O40-M40</f>
        <v>0</v>
      </c>
      <c r="O40" s="125" cm="1">
        <f t="array" aca="1" ref="O40" ca="1">IF($A40="S",VTOTALBM,IF($A40=0,0,ROUND(SomaAgrupBM,15-13*ORÇAMENTO!$AF$11)))</f>
        <v>0</v>
      </c>
      <c r="Q40" s="337"/>
      <c r="R40" s="338"/>
      <c r="T40" s="117" t="str">
        <f t="shared" ref="T40:T44" ca="1" si="19">IF($W40&gt;0,$D40,"")</f>
        <v/>
      </c>
      <c r="U40" s="163" t="str">
        <f t="shared" ref="U40:U44" ca="1" si="20">IF($W40&gt;0,$E40,"")</f>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ref="Y40:Y44" ca="1" si="21">AO40-O40</f>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4" t="str">
        <f t="shared" ca="1" si="16"/>
        <v>F</v>
      </c>
      <c r="D41" s="117" t="str">
        <f ca="1">ORÇAMENTO!O41</f>
        <v>1.3.2.</v>
      </c>
      <c r="E41" s="163" t="str">
        <f t="shared" si="15"/>
        <v>PERFURAÇÃO EM CONCRETO COM COROA DIAMANTADA - D = 16 MM</v>
      </c>
      <c r="F41" s="164" t="str" cm="1">
        <f t="array" aca="1" ref="F41" ca="1">IF(RegimeExecucao="Global","",ORÇAMENTO.Unidade)</f>
        <v>M</v>
      </c>
      <c r="G41" s="122" cm="1">
        <f t="array" aca="1" ref="G41" ca="1">IF(RegimeExecucao="Global","",ORÇAMENTO!T41)</f>
        <v>46.8</v>
      </c>
      <c r="H41" s="122" cm="1">
        <f t="array" aca="1" ref="H41" ca="1">IF(RegimeExecucao="Global","",ORÇAMENTO!W41)</f>
        <v>83.01</v>
      </c>
      <c r="I41" s="125">
        <f ca="1">ORÇAMENTO!X41</f>
        <v>3884.87</v>
      </c>
      <c r="J41" s="333" cm="1">
        <f t="array" aca="1" ref="J41" ca="1">IF($A41="S",IF(CAIXA.Modo,BM.AFAnterior,BM.MEDAnterior),IF(AND(RegimeExecucao="Global",$I41&gt;0,COUNTIF($AB$13:$AM$13,BM.medicao-1)&gt;0),M41/$I41*100,0))</f>
        <v>0</v>
      </c>
      <c r="K41" s="122">
        <f t="shared" ca="1" si="17"/>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18"/>
        <v>0</v>
      </c>
      <c r="O41" s="125" cm="1">
        <f t="array" aca="1" ref="O41" ca="1">IF($A41="S",VTOTALBM,IF($A41=0,0,ROUND(SomaAgrupBM,15-13*ORÇAMENTO!$AF$11)))</f>
        <v>0</v>
      </c>
      <c r="Q41" s="337"/>
      <c r="R41" s="338"/>
      <c r="T41" s="117" t="str">
        <f t="shared" ca="1" si="19"/>
        <v/>
      </c>
      <c r="U41" s="163" t="str">
        <f t="shared" ca="1" si="20"/>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21"/>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6"/>
        <v>F</v>
      </c>
      <c r="D42" s="117" t="str">
        <f ca="1">ORÇAMENTO!O42</f>
        <v>1.3.3.</v>
      </c>
      <c r="E42" s="163" t="str">
        <f t="shared" si="15"/>
        <v>APARELHO DE APOIO DE NEOPRENE FRETADO PARA ESTRUTURAS PRÉ-MOLDADAS - FORNECIMENTO E INSTALAÇÃO</v>
      </c>
      <c r="F42" s="164" t="str" cm="1">
        <f t="array" aca="1" ref="F42" ca="1">IF(RegimeExecucao="Global","",ORÇAMENTO.Unidade)</f>
        <v>DM3</v>
      </c>
      <c r="G42" s="122" cm="1">
        <f t="array" aca="1" ref="G42" ca="1">IF(RegimeExecucao="Global","",ORÇAMENTO!T42)</f>
        <v>9.2799999999999994</v>
      </c>
      <c r="H42" s="122" cm="1">
        <f t="array" aca="1" ref="H42" ca="1">IF(RegimeExecucao="Global","",ORÇAMENTO!W42)</f>
        <v>161.43</v>
      </c>
      <c r="I42" s="125">
        <f ca="1">ORÇAMENTO!X42</f>
        <v>1498.07</v>
      </c>
      <c r="J42" s="333" cm="1">
        <f t="array" aca="1" ref="J42" ca="1">IF($A42="S",IF(CAIXA.Modo,BM.AFAnterior,BM.MEDAnterior),IF(AND(RegimeExecucao="Global",$I42&gt;0,COUNTIF($AB$13:$AM$13,BM.medicao-1)&gt;0),M42/$I42*100,0))</f>
        <v>0</v>
      </c>
      <c r="K42" s="122">
        <f t="shared" ca="1" si="17"/>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18"/>
        <v>0</v>
      </c>
      <c r="O42" s="125" cm="1">
        <f t="array" aca="1" ref="O42" ca="1">IF($A42="S",VTOTALBM,IF($A42=0,0,ROUND(SomaAgrupBM,15-13*ORÇAMENTO!$AF$11)))</f>
        <v>0</v>
      </c>
      <c r="Q42" s="337"/>
      <c r="R42" s="338"/>
      <c r="T42" s="117" t="str">
        <f t="shared" ca="1" si="19"/>
        <v/>
      </c>
      <c r="U42" s="163" t="str">
        <f t="shared" ca="1" si="20"/>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21"/>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t="shared" ca="1" si="16"/>
        <v>F</v>
      </c>
      <c r="D43" s="117" t="str">
        <f ca="1">ORÇAMENTO!O43</f>
        <v>1.3.4.</v>
      </c>
      <c r="E43" s="163" t="str">
        <f t="shared" si="15"/>
        <v>TRANSPORTE COM CAMINHÃO BETONEIRA - RODOVIA EM LEITO NATURAL</v>
      </c>
      <c r="F43" s="164" t="str" cm="1">
        <f t="array" aca="1" ref="F43" ca="1">IF(RegimeExecucao="Global","",ORÇAMENTO.Unidade)</f>
        <v>tkm</v>
      </c>
      <c r="G43" s="122" cm="1">
        <f t="array" aca="1" ref="G43" ca="1">IF(RegimeExecucao="Global","",ORÇAMENTO!T43)</f>
        <v>85.82</v>
      </c>
      <c r="H43" s="122" cm="1">
        <f t="array" aca="1" ref="H43" ca="1">IF(RegimeExecucao="Global","",ORÇAMENTO!W43)</f>
        <v>1.57</v>
      </c>
      <c r="I43" s="125">
        <f ca="1">ORÇAMENTO!X43</f>
        <v>134.74</v>
      </c>
      <c r="J43" s="333" cm="1">
        <f t="array" aca="1" ref="J43" ca="1">IF($A43="S",IF(CAIXA.Modo,BM.AFAnterior,BM.MEDAnterior),IF(AND(RegimeExecucao="Global",$I43&gt;0,COUNTIF($AB$13:$AM$13,BM.medicao-1)&gt;0),M43/$I43*100,0))</f>
        <v>0</v>
      </c>
      <c r="K43" s="122">
        <f t="shared" ca="1" si="17"/>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18"/>
        <v>0</v>
      </c>
      <c r="O43" s="125" cm="1">
        <f t="array" aca="1" ref="O43" ca="1">IF($A43="S",VTOTALBM,IF($A43=0,0,ROUND(SomaAgrupBM,15-13*ORÇAMENTO!$AF$11)))</f>
        <v>0</v>
      </c>
      <c r="Q43" s="337"/>
      <c r="R43" s="338"/>
      <c r="T43" s="117" t="str">
        <f t="shared" ca="1" si="19"/>
        <v/>
      </c>
      <c r="U43" s="163" t="str">
        <f t="shared" ca="1" si="20"/>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21"/>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4" t="str">
        <f t="shared" ca="1" si="16"/>
        <v>F</v>
      </c>
      <c r="D44" s="117" t="str">
        <f ca="1">ORÇAMENTO!O44</f>
        <v>1.3.5.</v>
      </c>
      <c r="E44" s="163" t="str">
        <f t="shared" si="15"/>
        <v>TRANSPORTE COM CAMINHÃO BETONEIRA - RODOVIA PAVIMENTADA</v>
      </c>
      <c r="F44" s="164" t="str" cm="1">
        <f t="array" aca="1" ref="F44" ca="1">IF(RegimeExecucao="Global","",ORÇAMENTO.Unidade)</f>
        <v>tkm</v>
      </c>
      <c r="G44" s="122" cm="1">
        <f t="array" aca="1" ref="G44" ca="1">IF(RegimeExecucao="Global","",ORÇAMENTO!T44)</f>
        <v>21.46</v>
      </c>
      <c r="H44" s="122" cm="1">
        <f t="array" aca="1" ref="H44" ca="1">IF(RegimeExecucao="Global","",ORÇAMENTO!W44)</f>
        <v>1.03</v>
      </c>
      <c r="I44" s="125">
        <f ca="1">ORÇAMENTO!X44</f>
        <v>22.1</v>
      </c>
      <c r="J44" s="333" cm="1">
        <f t="array" aca="1" ref="J44" ca="1">IF($A44="S",IF(CAIXA.Modo,BM.AFAnterior,BM.MEDAnterior),IF(AND(RegimeExecucao="Global",$I44&gt;0,COUNTIF($AB$13:$AM$13,BM.medicao-1)&gt;0),M44/$I44*100,0))</f>
        <v>0</v>
      </c>
      <c r="K44" s="122">
        <f t="shared" ca="1" si="17"/>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18"/>
        <v>0</v>
      </c>
      <c r="O44" s="125" cm="1">
        <f t="array" aca="1" ref="O44" ca="1">IF($A44="S",VTOTALBM,IF($A44=0,0,ROUND(SomaAgrupBM,15-13*ORÇAMENTO!$AF$11)))</f>
        <v>0</v>
      </c>
      <c r="Q44" s="337"/>
      <c r="R44" s="338"/>
      <c r="T44" s="117" t="str">
        <f t="shared" ca="1" si="19"/>
        <v/>
      </c>
      <c r="U44" s="163" t="str">
        <f t="shared" ca="1" si="20"/>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21"/>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3</v>
      </c>
      <c r="C45" s="114" t="str">
        <f t="shared" ca="1" si="1"/>
        <v>F</v>
      </c>
      <c r="D45" s="117" t="str">
        <f ca="1">ORÇAMENTO!O45</f>
        <v>1.4.</v>
      </c>
      <c r="E45" s="163" t="str">
        <f t="shared" si="2"/>
        <v>SINALIZAÇÃO</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5192.6000000000004</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t="shared" ca="1" si="1"/>
        <v>F</v>
      </c>
      <c r="D46" s="117" t="str">
        <f ca="1">ORÇAMENTO!O46</f>
        <v>1.4.1.</v>
      </c>
      <c r="E46" s="163" t="str">
        <f t="shared" si="2"/>
        <v>PLACA EM AÇO Nº 16 GALVANIZADO COM PELÍCULA RETRORREFLETIVA TIPO I + III - CONFECÇÃO</v>
      </c>
      <c r="F46" s="164" t="str" cm="1">
        <f t="array" aca="1" ref="F46" ca="1">IF(RegimeExecucao="Global","",ORÇAMENTO.Unidade)</f>
        <v>M2</v>
      </c>
      <c r="G46" s="122" cm="1">
        <f t="array" aca="1" ref="G46" ca="1">IF(RegimeExecucao="Global","",ORÇAMENTO!T46)</f>
        <v>2.36</v>
      </c>
      <c r="H46" s="122" cm="1">
        <f t="array" aca="1" ref="H46" ca="1">IF(RegimeExecucao="Global","",ORÇAMENTO!W46)</f>
        <v>533.27</v>
      </c>
      <c r="I46" s="125">
        <f ca="1">ORÇAMENTO!X46</f>
        <v>1258.52</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ca="1">IF(OR($I47&gt;0,$A47=1,$A47=2,$A47=3,$A47=4),"F","")</f>
        <v>F</v>
      </c>
      <c r="D47" s="117" t="str">
        <f ca="1">ORÇAMENTO!O47</f>
        <v>1.4.2.</v>
      </c>
      <c r="E47" s="163" t="str">
        <f>ORÇAMENTO.Descricao</f>
        <v>SUPORTE METÁLICO GALVANIZADO PARA PLACA DE ADVERTÊNCIA OU REGULAMENTAÇÃO - LADO OU DIÂMETRO DE 0,60 M - FORNECIMENTO E IMPLANTAÇÃO</v>
      </c>
      <c r="F47" s="164" t="str" cm="1">
        <f t="array" aca="1" ref="F47" ca="1">IF(RegimeExecucao="Global","",ORÇAMENTO.Unidade)</f>
        <v>UN</v>
      </c>
      <c r="G47" s="122" cm="1">
        <f t="array" aca="1" ref="G47" ca="1">IF(RegimeExecucao="Global","",ORÇAMENTO!T47)</f>
        <v>6</v>
      </c>
      <c r="H47" s="122" cm="1">
        <f t="array" aca="1" ref="H47" ca="1">IF(RegimeExecucao="Global","",ORÇAMENTO!W47)</f>
        <v>655.68</v>
      </c>
      <c r="I47" s="125">
        <f ca="1">ORÇAMENTO!X47</f>
        <v>3934.08</v>
      </c>
      <c r="J47" s="333" cm="1">
        <f t="array" aca="1" ref="J47" ca="1">IF($A47="S",IF(CAIXA.Modo,BM.AFAnterior,BM.MEDAnterior),IF(AND(RegimeExecucao="Global",$I47&gt;0,COUNTIF($AB$13:$AM$13,BM.medicao-1)&gt;0),M47/$I47*100,0))</f>
        <v>0</v>
      </c>
      <c r="K47" s="122">
        <f ca="1">L47-J47</f>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ca="1">O47-M47</f>
        <v>0</v>
      </c>
      <c r="O47" s="125" cm="1">
        <f t="array" aca="1" ref="O47" ca="1">IF($A47="S",VTOTALBM,IF($A47=0,0,ROUND(SomaAgrupBM,15-13*ORÇAMENTO!$AF$11)))</f>
        <v>0</v>
      </c>
      <c r="Q47" s="337"/>
      <c r="R47" s="338"/>
      <c r="T47" s="117" t="str">
        <f ca="1">IF($W47&gt;0,$D47,"")</f>
        <v/>
      </c>
      <c r="U47" s="163" t="str">
        <f ca="1">IF($W47&gt;0,$E47,"")</f>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ca="1">AO47-O47</f>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5.0999999999999996" customHeight="1" x14ac:dyDescent="0.2">
      <c r="C48" s="114" t="s">
        <v>536</v>
      </c>
      <c r="D48" s="618"/>
      <c r="E48" s="619"/>
      <c r="F48" s="619"/>
      <c r="G48" s="619"/>
      <c r="H48" s="619"/>
      <c r="I48" s="419"/>
      <c r="J48" s="618"/>
      <c r="K48" s="619"/>
      <c r="L48" s="419"/>
      <c r="M48" s="434"/>
      <c r="N48" s="435"/>
      <c r="O48" s="436"/>
      <c r="Q48" s="618"/>
      <c r="R48" s="419"/>
      <c r="T48" s="618"/>
      <c r="U48" s="619"/>
      <c r="V48" s="619"/>
      <c r="W48" s="619"/>
      <c r="X48" s="619"/>
      <c r="Y48" s="619"/>
      <c r="Z48" s="419"/>
      <c r="AB48" s="618"/>
      <c r="AC48" s="619"/>
      <c r="AD48" s="619"/>
      <c r="AE48" s="619"/>
      <c r="AF48" s="619"/>
      <c r="AG48" s="619"/>
      <c r="AH48" s="619"/>
      <c r="AI48" s="619"/>
      <c r="AJ48" s="619"/>
      <c r="AK48" s="619"/>
      <c r="AL48" s="619"/>
      <c r="AM48" s="419"/>
    </row>
    <row r="50" spans="4:26" ht="14.25" x14ac:dyDescent="0.2">
      <c r="D50" s="810" t="s">
        <v>689</v>
      </c>
      <c r="E50" s="810"/>
      <c r="F50" s="810"/>
      <c r="G50" s="810"/>
      <c r="H50" s="810"/>
      <c r="I50" s="810"/>
      <c r="J50" s="810"/>
      <c r="K50" s="810"/>
      <c r="L50" s="810"/>
      <c r="M50" s="810"/>
      <c r="N50" s="810"/>
      <c r="O50" s="810"/>
      <c r="T50" s="811" t="s">
        <v>865</v>
      </c>
      <c r="U50" s="811"/>
      <c r="V50" s="811"/>
      <c r="W50" s="811"/>
      <c r="X50" s="811"/>
      <c r="Y50" s="811"/>
      <c r="Z50" s="811"/>
    </row>
    <row r="51" spans="4:26" ht="12.75" customHeight="1" x14ac:dyDescent="0.2">
      <c r="D51" s="721"/>
      <c r="E51" s="721"/>
      <c r="F51" s="721"/>
      <c r="G51" s="721"/>
      <c r="H51" s="721"/>
      <c r="I51" s="721"/>
      <c r="J51" s="721"/>
      <c r="K51" s="721"/>
      <c r="L51" s="721"/>
      <c r="M51" s="721"/>
      <c r="N51" s="721"/>
      <c r="O51" s="721"/>
      <c r="T51" s="812"/>
      <c r="U51" s="812"/>
      <c r="V51" s="812"/>
      <c r="W51" s="812"/>
      <c r="X51" s="812"/>
      <c r="Y51" s="812"/>
      <c r="Z51" s="812"/>
    </row>
    <row r="52" spans="4:26" ht="12.75" customHeight="1" x14ac:dyDescent="0.2">
      <c r="D52" s="721"/>
      <c r="E52" s="721"/>
      <c r="F52" s="721"/>
      <c r="G52" s="721"/>
      <c r="H52" s="721"/>
      <c r="I52" s="721"/>
      <c r="J52" s="721"/>
      <c r="K52" s="721"/>
      <c r="L52" s="721"/>
      <c r="M52" s="721"/>
      <c r="N52" s="721"/>
      <c r="O52" s="721"/>
      <c r="T52" s="812"/>
      <c r="U52" s="812"/>
      <c r="V52" s="812"/>
      <c r="W52" s="812"/>
      <c r="X52" s="812"/>
      <c r="Y52" s="812"/>
      <c r="Z52" s="812"/>
    </row>
    <row r="53" spans="4:26" ht="12.75" customHeight="1" x14ac:dyDescent="0.2">
      <c r="D53" s="721"/>
      <c r="E53" s="721"/>
      <c r="F53" s="721"/>
      <c r="G53" s="721"/>
      <c r="H53" s="721"/>
      <c r="I53" s="721"/>
      <c r="J53" s="721"/>
      <c r="K53" s="721"/>
      <c r="L53" s="721"/>
      <c r="M53" s="721"/>
      <c r="N53" s="721"/>
      <c r="O53" s="721"/>
      <c r="T53" s="812"/>
      <c r="U53" s="812"/>
      <c r="V53" s="812"/>
      <c r="W53" s="812"/>
      <c r="X53" s="812"/>
      <c r="Y53" s="812"/>
      <c r="Z53" s="812"/>
    </row>
    <row r="54" spans="4:26" ht="14.25" x14ac:dyDescent="0.2">
      <c r="D54" s="443"/>
      <c r="E54" s="443"/>
      <c r="F54" s="443"/>
      <c r="G54" s="443"/>
      <c r="H54" s="443"/>
      <c r="I54" s="443"/>
      <c r="J54" s="443"/>
      <c r="K54" s="443"/>
      <c r="L54" s="443"/>
      <c r="M54" s="443"/>
      <c r="N54" s="443"/>
      <c r="O54" s="443"/>
    </row>
    <row r="55" spans="4:26" ht="15" customHeight="1" x14ac:dyDescent="0.25">
      <c r="D55" s="722" t="str" cm="1">
        <f t="array" aca="1" ref="D55"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5" s="722"/>
      <c r="F55" s="722"/>
      <c r="G55" s="722"/>
      <c r="H55" s="722"/>
      <c r="I55" s="722"/>
      <c r="J55" s="722"/>
      <c r="K55" s="722"/>
      <c r="L55" s="722"/>
    </row>
    <row r="56" spans="4:26" x14ac:dyDescent="0.2">
      <c r="D56" s="808"/>
      <c r="E56" s="808"/>
      <c r="F56" s="808"/>
      <c r="G56" s="808"/>
      <c r="H56" s="808"/>
      <c r="I56" s="808"/>
    </row>
    <row r="57" spans="4:26" x14ac:dyDescent="0.2">
      <c r="D57"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7" s="806"/>
      <c r="F57" s="806"/>
      <c r="G57" s="806"/>
      <c r="H57" s="806"/>
      <c r="I57" s="806"/>
      <c r="J57" s="806"/>
      <c r="K57" s="806"/>
      <c r="L57" s="806"/>
      <c r="M57" s="806"/>
      <c r="N57" s="806"/>
      <c r="O57" s="806"/>
    </row>
    <row r="58" spans="4:26" ht="39.950000000000003" customHeight="1" x14ac:dyDescent="0.25">
      <c r="E58" s="138" t="str">
        <f>Import.Município</f>
        <v>CAÇADOR</v>
      </c>
      <c r="J58" s="585" t="str">
        <f ca="1">IF(DADOS!$D$50&lt;&gt;"","Preencher os Dados do Responsável pela Fiscalização, na aba DADOS.","")</f>
        <v/>
      </c>
      <c r="K58" s="585"/>
      <c r="L58" s="585"/>
      <c r="M58" s="585"/>
      <c r="W58" s="807"/>
      <c r="X58" s="807"/>
      <c r="Y58" s="807"/>
      <c r="Z58" s="807"/>
    </row>
    <row r="59" spans="4:26" x14ac:dyDescent="0.2">
      <c r="E59" s="9" t="s">
        <v>693</v>
      </c>
      <c r="J59" s="181" t="s">
        <v>841</v>
      </c>
      <c r="W59" s="181" t="s">
        <v>866</v>
      </c>
    </row>
    <row r="60" spans="4:26" x14ac:dyDescent="0.2">
      <c r="J60" s="77" t="s">
        <v>240</v>
      </c>
      <c r="K60" s="271">
        <f t="array" ref="K60:K63">Import.RespFiscalização</f>
        <v>0</v>
      </c>
      <c r="L60" s="78"/>
      <c r="W60" s="77" t="s">
        <v>240</v>
      </c>
      <c r="X60" s="805"/>
      <c r="Y60" s="805"/>
      <c r="Z60" s="805"/>
    </row>
    <row r="61" spans="4:26" x14ac:dyDescent="0.2">
      <c r="E61" s="459">
        <f>DADOS!$C$48</f>
        <v>0</v>
      </c>
      <c r="J61" s="77" t="s">
        <v>319</v>
      </c>
      <c r="K61" s="271">
        <v>0</v>
      </c>
      <c r="L61" s="78"/>
      <c r="W61" s="77" t="s">
        <v>867</v>
      </c>
      <c r="X61" s="805"/>
      <c r="Y61" s="805"/>
      <c r="Z61" s="805"/>
    </row>
    <row r="62" spans="4:26" x14ac:dyDescent="0.2">
      <c r="E62" s="140" t="s">
        <v>694</v>
      </c>
      <c r="J62" s="77" t="s">
        <v>243</v>
      </c>
      <c r="K62" s="271">
        <v>0</v>
      </c>
      <c r="L62" s="78"/>
      <c r="W62" s="77" t="s">
        <v>243</v>
      </c>
      <c r="X62" s="805"/>
      <c r="Y62" s="805"/>
      <c r="Z62" s="805"/>
    </row>
    <row r="63" spans="4:26" x14ac:dyDescent="0.2">
      <c r="J63" s="77" t="s">
        <v>246</v>
      </c>
      <c r="K63" s="12">
        <v>0</v>
      </c>
      <c r="W63" s="77"/>
      <c r="X63" s="12"/>
    </row>
  </sheetData>
  <sheetProtection algorithmName="SHA-512" hashValue="9VzJfn2Fc8I0nsnP9P8uNZc6j819URchQ/MWbGrwUL/GkIwRBct4MPAS/Opjb8ZxPu6huZ7UwfGWhz9m6jZrqw==" saltValue="SOP6c87DgsBEsuuEmIsXVg==" spinCount="100000" sheet="1" objects="1" scenarios="1" autoFilter="0"/>
  <autoFilter ref="C15:C48"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55:L55"/>
    <mergeCell ref="D56:I56"/>
    <mergeCell ref="AB15:AM15"/>
    <mergeCell ref="D50:O50"/>
    <mergeCell ref="T50:Z50"/>
    <mergeCell ref="D51:O53"/>
    <mergeCell ref="T51:Z53"/>
    <mergeCell ref="D15:E15"/>
    <mergeCell ref="X62:Z62"/>
    <mergeCell ref="D57:O57"/>
    <mergeCell ref="W58:Z58"/>
    <mergeCell ref="X60:Z60"/>
    <mergeCell ref="X61:Z61"/>
  </mergeCells>
  <phoneticPr fontId="38" type="noConversion"/>
  <conditionalFormatting sqref="D14:O14 T14:Z14 T23:Z26 D23:O26 T34:Z34 D34:O34 D16:O21 T16:Z21 D37:O37 T37:Z37">
    <cfRule type="expression" dxfId="126" priority="18757" stopIfTrue="1">
      <formula>OR(ACOMPANHAMENTO="PLE",TIPOORCAMENTO="Proposto",$L14&lt;0,AND($L14&gt;100,RegimeExecucao="Global"),$O14&gt;$I14,$O14&lt;0)</formula>
    </cfRule>
    <cfRule type="expression" dxfId="125" priority="18758" stopIfTrue="1">
      <formula>$A14=1</formula>
    </cfRule>
    <cfRule type="expression" dxfId="124" priority="18759" stopIfTrue="1">
      <formula>$A14&lt;&gt;"S"</formula>
    </cfRule>
  </conditionalFormatting>
  <conditionalFormatting sqref="Q14:R14 AB14:AM14 AB23:AM26 Q23:R26 AB34:AM34 Q34:R34 Q16:R21 AB16:AM21 Q37:R37 AB37:AM37">
    <cfRule type="expression" dxfId="123" priority="18760" stopIfTrue="1">
      <formula>$A14=1</formula>
    </cfRule>
    <cfRule type="expression" dxfId="122" priority="18761" stopIfTrue="1">
      <formula>$A14&lt;&gt;"S"</formula>
    </cfRule>
  </conditionalFormatting>
  <conditionalFormatting sqref="E2">
    <cfRule type="expression" dxfId="121" priority="18762" stopIfTrue="1">
      <formula>Import.RegimeExecução="(SELECIONAR)"</formula>
    </cfRule>
  </conditionalFormatting>
  <conditionalFormatting sqref="F13:H13">
    <cfRule type="expression" dxfId="120" priority="18763" stopIfTrue="1">
      <formula>RegimeExecucao="Global"</formula>
    </cfRule>
  </conditionalFormatting>
  <conditionalFormatting sqref="D15:O15">
    <cfRule type="expression" dxfId="119" priority="18764" stopIfTrue="1">
      <formula>OR(ACOMPANHAMENTO="PLE",TIPOORCAMENTO="Proposto")</formula>
    </cfRule>
  </conditionalFormatting>
  <conditionalFormatting sqref="AB13">
    <cfRule type="cellIs" dxfId="118" priority="18765" stopIfTrue="1" operator="notEqual">
      <formula>1</formula>
    </cfRule>
  </conditionalFormatting>
  <conditionalFormatting sqref="O11">
    <cfRule type="expression" dxfId="117" priority="13624">
      <formula>ROUND($P$11,4)&gt;ROUND($P$10,4)</formula>
    </cfRule>
  </conditionalFormatting>
  <conditionalFormatting sqref="T45:Z46 D45:O46">
    <cfRule type="expression" dxfId="116" priority="301" stopIfTrue="1">
      <formula>OR(ACOMPANHAMENTO="PLE",TIPOORCAMENTO="Proposto",$L45&lt;0,AND($L45&gt;100,RegimeExecucao="Global"),$O45&gt;$I45,$O45&lt;0)</formula>
    </cfRule>
    <cfRule type="expression" dxfId="115" priority="302" stopIfTrue="1">
      <formula>$A45=1</formula>
    </cfRule>
    <cfRule type="expression" dxfId="114" priority="303" stopIfTrue="1">
      <formula>$A45&lt;&gt;"S"</formula>
    </cfRule>
  </conditionalFormatting>
  <conditionalFormatting sqref="AB45:AM46 Q45:R46">
    <cfRule type="expression" dxfId="113" priority="304" stopIfTrue="1">
      <formula>$A45=1</formula>
    </cfRule>
    <cfRule type="expression" dxfId="112" priority="305" stopIfTrue="1">
      <formula>$A45&lt;&gt;"S"</formula>
    </cfRule>
  </conditionalFormatting>
  <conditionalFormatting sqref="D27:O27 T27:Z27">
    <cfRule type="expression" dxfId="111" priority="151" stopIfTrue="1">
      <formula>OR(ACOMPANHAMENTO="PLE",TIPOORCAMENTO="Proposto",$L27&lt;0,AND($L27&gt;100,RegimeExecucao="Global"),$O27&gt;$I27,$O27&lt;0)</formula>
    </cfRule>
    <cfRule type="expression" dxfId="110" priority="152" stopIfTrue="1">
      <formula>$A27=1</formula>
    </cfRule>
    <cfRule type="expression" dxfId="109" priority="153" stopIfTrue="1">
      <formula>$A27&lt;&gt;"S"</formula>
    </cfRule>
  </conditionalFormatting>
  <conditionalFormatting sqref="Q27:R27 AB27:AM27">
    <cfRule type="expression" dxfId="108" priority="154" stopIfTrue="1">
      <formula>$A27=1</formula>
    </cfRule>
    <cfRule type="expression" dxfId="107" priority="155" stopIfTrue="1">
      <formula>$A27&lt;&gt;"S"</formula>
    </cfRule>
  </conditionalFormatting>
  <conditionalFormatting sqref="D22:O22 T22:Z22">
    <cfRule type="expression" dxfId="106" priority="101" stopIfTrue="1">
      <formula>OR(ACOMPANHAMENTO="PLE",TIPOORCAMENTO="Proposto",$L22&lt;0,AND($L22&gt;100,RegimeExecucao="Global"),$O22&gt;$I22,$O22&lt;0)</formula>
    </cfRule>
    <cfRule type="expression" dxfId="105" priority="102" stopIfTrue="1">
      <formula>$A22=1</formula>
    </cfRule>
    <cfRule type="expression" dxfId="104" priority="103" stopIfTrue="1">
      <formula>$A22&lt;&gt;"S"</formula>
    </cfRule>
  </conditionalFormatting>
  <conditionalFormatting sqref="Q22:R22 AB22:AM22">
    <cfRule type="expression" dxfId="103" priority="104" stopIfTrue="1">
      <formula>$A22=1</formula>
    </cfRule>
    <cfRule type="expression" dxfId="102" priority="105" stopIfTrue="1">
      <formula>$A22&lt;&gt;"S"</formula>
    </cfRule>
  </conditionalFormatting>
  <conditionalFormatting sqref="D28:O28 T28:Z28">
    <cfRule type="expression" dxfId="101" priority="76" stopIfTrue="1">
      <formula>OR(ACOMPANHAMENTO="PLE",TIPOORCAMENTO="Proposto",$L28&lt;0,AND($L28&gt;100,RegimeExecucao="Global"),$O28&gt;$I28,$O28&lt;0)</formula>
    </cfRule>
    <cfRule type="expression" dxfId="100" priority="77" stopIfTrue="1">
      <formula>$A28=1</formula>
    </cfRule>
    <cfRule type="expression" dxfId="99" priority="78" stopIfTrue="1">
      <formula>$A28&lt;&gt;"S"</formula>
    </cfRule>
  </conditionalFormatting>
  <conditionalFormatting sqref="Q28:R28 AB28:AM28">
    <cfRule type="expression" dxfId="98" priority="79" stopIfTrue="1">
      <formula>$A28=1</formula>
    </cfRule>
    <cfRule type="expression" dxfId="97" priority="80" stopIfTrue="1">
      <formula>$A28&lt;&gt;"S"</formula>
    </cfRule>
  </conditionalFormatting>
  <conditionalFormatting sqref="D47:O47 T47:Z47">
    <cfRule type="expression" dxfId="96" priority="71" stopIfTrue="1">
      <formula>OR(ACOMPANHAMENTO="PLE",TIPOORCAMENTO="Proposto",$L47&lt;0,AND($L47&gt;100,RegimeExecucao="Global"),$O47&gt;$I47,$O47&lt;0)</formula>
    </cfRule>
    <cfRule type="expression" dxfId="95" priority="72" stopIfTrue="1">
      <formula>$A47=1</formula>
    </cfRule>
    <cfRule type="expression" dxfId="94" priority="73" stopIfTrue="1">
      <formula>$A47&lt;&gt;"S"</formula>
    </cfRule>
  </conditionalFormatting>
  <conditionalFormatting sqref="Q47:R47 AB47:AM47">
    <cfRule type="expression" dxfId="93" priority="74" stopIfTrue="1">
      <formula>$A47=1</formula>
    </cfRule>
    <cfRule type="expression" dxfId="92" priority="75" stopIfTrue="1">
      <formula>$A47&lt;&gt;"S"</formula>
    </cfRule>
  </conditionalFormatting>
  <conditionalFormatting sqref="D38:O38 T38:Z38">
    <cfRule type="expression" dxfId="91" priority="56" stopIfTrue="1">
      <formula>OR(ACOMPANHAMENTO="PLE",TIPOORCAMENTO="Proposto",$L38&lt;0,AND($L38&gt;100,RegimeExecucao="Global"),$O38&gt;$I38,$O38&lt;0)</formula>
    </cfRule>
    <cfRule type="expression" dxfId="90" priority="57" stopIfTrue="1">
      <formula>$A38=1</formula>
    </cfRule>
    <cfRule type="expression" dxfId="89" priority="58" stopIfTrue="1">
      <formula>$A38&lt;&gt;"S"</formula>
    </cfRule>
  </conditionalFormatting>
  <conditionalFormatting sqref="Q38:R38 AB38:AM38">
    <cfRule type="expression" dxfId="88" priority="59" stopIfTrue="1">
      <formula>$A38=1</formula>
    </cfRule>
    <cfRule type="expression" dxfId="87" priority="60" stopIfTrue="1">
      <formula>$A38&lt;&gt;"S"</formula>
    </cfRule>
  </conditionalFormatting>
  <conditionalFormatting sqref="D29:O29 T29:Z29">
    <cfRule type="expression" dxfId="86" priority="51" stopIfTrue="1">
      <formula>OR(ACOMPANHAMENTO="PLE",TIPOORCAMENTO="Proposto",$L29&lt;0,AND($L29&gt;100,RegimeExecucao="Global"),$O29&gt;$I29,$O29&lt;0)</formula>
    </cfRule>
    <cfRule type="expression" dxfId="85" priority="52" stopIfTrue="1">
      <formula>$A29=1</formula>
    </cfRule>
    <cfRule type="expression" dxfId="84" priority="53" stopIfTrue="1">
      <formula>$A29&lt;&gt;"S"</formula>
    </cfRule>
  </conditionalFormatting>
  <conditionalFormatting sqref="Q29:R29 AB29:AM29">
    <cfRule type="expression" dxfId="83" priority="54" stopIfTrue="1">
      <formula>$A29=1</formula>
    </cfRule>
    <cfRule type="expression" dxfId="82" priority="55" stopIfTrue="1">
      <formula>$A29&lt;&gt;"S"</formula>
    </cfRule>
  </conditionalFormatting>
  <conditionalFormatting sqref="D30:O30 T30:Z30">
    <cfRule type="expression" dxfId="81" priority="46" stopIfTrue="1">
      <formula>OR(ACOMPANHAMENTO="PLE",TIPOORCAMENTO="Proposto",$L30&lt;0,AND($L30&gt;100,RegimeExecucao="Global"),$O30&gt;$I30,$O30&lt;0)</formula>
    </cfRule>
    <cfRule type="expression" dxfId="80" priority="47" stopIfTrue="1">
      <formula>$A30=1</formula>
    </cfRule>
    <cfRule type="expression" dxfId="79" priority="48" stopIfTrue="1">
      <formula>$A30&lt;&gt;"S"</formula>
    </cfRule>
  </conditionalFormatting>
  <conditionalFormatting sqref="Q30:R30 AB30:AM30">
    <cfRule type="expression" dxfId="78" priority="49" stopIfTrue="1">
      <formula>$A30=1</formula>
    </cfRule>
    <cfRule type="expression" dxfId="77" priority="50" stopIfTrue="1">
      <formula>$A30&lt;&gt;"S"</formula>
    </cfRule>
  </conditionalFormatting>
  <conditionalFormatting sqref="D39:O39 T39:Z39">
    <cfRule type="expression" dxfId="76" priority="31" stopIfTrue="1">
      <formula>OR(ACOMPANHAMENTO="PLE",TIPOORCAMENTO="Proposto",$L39&lt;0,AND($L39&gt;100,RegimeExecucao="Global"),$O39&gt;$I39,$O39&lt;0)</formula>
    </cfRule>
    <cfRule type="expression" dxfId="75" priority="32" stopIfTrue="1">
      <formula>$A39=1</formula>
    </cfRule>
    <cfRule type="expression" dxfId="74" priority="33" stopIfTrue="1">
      <formula>$A39&lt;&gt;"S"</formula>
    </cfRule>
  </conditionalFormatting>
  <conditionalFormatting sqref="Q39:R39 AB39:AM39">
    <cfRule type="expression" dxfId="73" priority="34" stopIfTrue="1">
      <formula>$A39=1</formula>
    </cfRule>
    <cfRule type="expression" dxfId="72" priority="35" stopIfTrue="1">
      <formula>$A39&lt;&gt;"S"</formula>
    </cfRule>
  </conditionalFormatting>
  <conditionalFormatting sqref="D31:O31 T31:Z31">
    <cfRule type="expression" dxfId="71" priority="26" stopIfTrue="1">
      <formula>OR(ACOMPANHAMENTO="PLE",TIPOORCAMENTO="Proposto",$L31&lt;0,AND($L31&gt;100,RegimeExecucao="Global"),$O31&gt;$I31,$O31&lt;0)</formula>
    </cfRule>
    <cfRule type="expression" dxfId="70" priority="27" stopIfTrue="1">
      <formula>$A31=1</formula>
    </cfRule>
    <cfRule type="expression" dxfId="69" priority="28" stopIfTrue="1">
      <formula>$A31&lt;&gt;"S"</formula>
    </cfRule>
  </conditionalFormatting>
  <conditionalFormatting sqref="Q31:R31 AB31:AM31">
    <cfRule type="expression" dxfId="68" priority="29" stopIfTrue="1">
      <formula>$A31=1</formula>
    </cfRule>
    <cfRule type="expression" dxfId="67" priority="30" stopIfTrue="1">
      <formula>$A31&lt;&gt;"S"</formula>
    </cfRule>
  </conditionalFormatting>
  <conditionalFormatting sqref="D35:O36 T35:Z36">
    <cfRule type="expression" dxfId="66" priority="16" stopIfTrue="1">
      <formula>OR(ACOMPANHAMENTO="PLE",TIPOORCAMENTO="Proposto",$L35&lt;0,AND($L35&gt;100,RegimeExecucao="Global"),$O35&gt;$I35,$O35&lt;0)</formula>
    </cfRule>
    <cfRule type="expression" dxfId="65" priority="17" stopIfTrue="1">
      <formula>$A35=1</formula>
    </cfRule>
    <cfRule type="expression" dxfId="64" priority="18" stopIfTrue="1">
      <formula>$A35&lt;&gt;"S"</formula>
    </cfRule>
  </conditionalFormatting>
  <conditionalFormatting sqref="Q35:R36 AB35:AM36">
    <cfRule type="expression" dxfId="63" priority="19" stopIfTrue="1">
      <formula>$A35=1</formula>
    </cfRule>
    <cfRule type="expression" dxfId="62" priority="20" stopIfTrue="1">
      <formula>$A35&lt;&gt;"S"</formula>
    </cfRule>
  </conditionalFormatting>
  <conditionalFormatting sqref="D40:O42 T40:Z42">
    <cfRule type="expression" dxfId="61" priority="11" stopIfTrue="1">
      <formula>OR(ACOMPANHAMENTO="PLE",TIPOORCAMENTO="Proposto",$L40&lt;0,AND($L40&gt;100,RegimeExecucao="Global"),$O40&gt;$I40,$O40&lt;0)</formula>
    </cfRule>
    <cfRule type="expression" dxfId="60" priority="12" stopIfTrue="1">
      <formula>$A40=1</formula>
    </cfRule>
    <cfRule type="expression" dxfId="59" priority="13" stopIfTrue="1">
      <formula>$A40&lt;&gt;"S"</formula>
    </cfRule>
  </conditionalFormatting>
  <conditionalFormatting sqref="Q40:R42 AB40:AM42">
    <cfRule type="expression" dxfId="58" priority="14" stopIfTrue="1">
      <formula>$A40=1</formula>
    </cfRule>
    <cfRule type="expression" dxfId="57" priority="15" stopIfTrue="1">
      <formula>$A40&lt;&gt;"S"</formula>
    </cfRule>
  </conditionalFormatting>
  <conditionalFormatting sqref="D32:O33 T32:Z33">
    <cfRule type="expression" dxfId="56" priority="6" stopIfTrue="1">
      <formula>OR(ACOMPANHAMENTO="PLE",TIPOORCAMENTO="Proposto",$L32&lt;0,AND($L32&gt;100,RegimeExecucao="Global"),$O32&gt;$I32,$O32&lt;0)</formula>
    </cfRule>
    <cfRule type="expression" dxfId="55" priority="7" stopIfTrue="1">
      <formula>$A32=1</formula>
    </cfRule>
    <cfRule type="expression" dxfId="54" priority="8" stopIfTrue="1">
      <formula>$A32&lt;&gt;"S"</formula>
    </cfRule>
  </conditionalFormatting>
  <conditionalFormatting sqref="Q32:R33 AB32:AM33">
    <cfRule type="expression" dxfId="53" priority="9" stopIfTrue="1">
      <formula>$A32=1</formula>
    </cfRule>
    <cfRule type="expression" dxfId="52" priority="10" stopIfTrue="1">
      <formula>$A32&lt;&gt;"S"</formula>
    </cfRule>
  </conditionalFormatting>
  <conditionalFormatting sqref="D43:O44 T43:Z44">
    <cfRule type="expression" dxfId="51" priority="1" stopIfTrue="1">
      <formula>OR(ACOMPANHAMENTO="PLE",TIPOORCAMENTO="Proposto",$L43&lt;0,AND($L43&gt;100,RegimeExecucao="Global"),$O43&gt;$I43,$O43&lt;0)</formula>
    </cfRule>
    <cfRule type="expression" dxfId="50" priority="2" stopIfTrue="1">
      <formula>$A43=1</formula>
    </cfRule>
    <cfRule type="expression" dxfId="49" priority="3" stopIfTrue="1">
      <formula>$A43&lt;&gt;"S"</formula>
    </cfRule>
  </conditionalFormatting>
  <conditionalFormatting sqref="Q43:R44 AB43:AM44">
    <cfRule type="expression" dxfId="48" priority="4" stopIfTrue="1">
      <formula>$A43=1</formula>
    </cfRule>
    <cfRule type="expression" dxfId="47" priority="5" stopIfTrue="1">
      <formula>$A43&lt;&gt;"S"</formula>
    </cfRule>
  </conditionalFormatting>
  <dataValidations count="4">
    <dataValidation type="list" allowBlank="1" showErrorMessage="1" sqref="Z14 Z16:Z47"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7"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7"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f>Import.Proponente</f>
        <v>0</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 xml:space="preserve">Ponte Herminio Gonçalves </v>
      </c>
      <c r="F7" s="703"/>
      <c r="G7" s="703"/>
      <c r="H7" s="703"/>
      <c r="I7" s="841" t="str">
        <f>Import.Município</f>
        <v>CAÇADOR</v>
      </c>
      <c r="J7" s="841"/>
      <c r="K7" s="841"/>
      <c r="L7" s="841"/>
      <c r="M7" s="353">
        <f>Import.Repasse</f>
        <v>0</v>
      </c>
      <c r="N7" s="354">
        <f>Import.Contrapartida</f>
        <v>0</v>
      </c>
      <c r="O7" s="353">
        <f>M7+N7</f>
        <v>0</v>
      </c>
      <c r="P7" s="423">
        <f ca="1">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Normal</v>
      </c>
      <c r="H10" s="705"/>
      <c r="I10" s="358">
        <f>DATE(YEAR($L$35),MONTH($L$35),1)</f>
        <v>1</v>
      </c>
      <c r="J10" s="359">
        <f ca="1">IF($I$10&lt;DATE(YEAR(CRONO!$U$13),MONTH(CRONO!$U$13),1),0,IF($I$10&gt;OFFSET(CRONO!$AG$13,0,-1),1,INDEX(CRONO!$T$35:$AH$35,MATCH(RRE!$I$10,CRONO!$T$13:$AG$13,0))))</f>
        <v>0</v>
      </c>
      <c r="K10" s="355"/>
      <c r="L10" s="843"/>
      <c r="M10" s="360">
        <f ca="1">QCI!L10</f>
        <v>0</v>
      </c>
      <c r="N10" s="280">
        <f ca="1">QCI!M10</f>
        <v>-14461.26</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MATCH(E12,ORÇAMENTO!$E$15:$E$48,0)-1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MATCH(E14,ORÇAMENTO!$E$15:$E$48,0)-1</f>
        <v>1</v>
      </c>
      <c r="B14">
        <f ca="1">IF(ISERROR($A14),NA(),OFFSET(ORÇAMENTO!$D$15,$A14,0))</f>
        <v>32</v>
      </c>
      <c r="C14" t="str">
        <f ca="1">QCI!B14</f>
        <v>Automático</v>
      </c>
      <c r="D14" t="str">
        <f t="shared" ref="D14:D22" ca="1" si="0">IF(L14&gt;0,"F","")</f>
        <v>F</v>
      </c>
      <c r="E14" s="281">
        <f>QCI!D14</f>
        <v>1</v>
      </c>
      <c r="F14" s="362" t="str">
        <f ca="1">QCI!G14</f>
        <v>ESTRUTURA</v>
      </c>
      <c r="G14" s="363">
        <f>QCI!H14</f>
        <v>0</v>
      </c>
      <c r="H14" s="282">
        <f>QCI!I14</f>
        <v>0</v>
      </c>
      <c r="I14" s="282" t="str">
        <f ca="1">QCI!J14</f>
        <v/>
      </c>
      <c r="J14" s="364" t="str">
        <f ca="1">QCI!K14</f>
        <v>LOTE 1</v>
      </c>
      <c r="K14" s="365" cm="1">
        <f t="array" aca="1" ref="K14" ca="1">IF($C14="Automático",IF(ACOMPANHAMENTO="BM",BM.medicao,PLE.Medicao),IF(ISBLANK($X14),"",$X14))</f>
        <v>1</v>
      </c>
      <c r="L14" s="286">
        <f ca="1">QCI!$O14</f>
        <v>14461.26</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MATCH(E15,ORÇAMENTO!$E$15:$E$48,0)-1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MATCH(E16,ORÇAMENTO!$E$15:$E$48,0)-1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MATCH(E17,ORÇAMENTO!$E$15:$E$48,0)-1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MATCH(E18,ORÇAMENTO!$E$15:$E$48,0)-1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MATCH(E19,ORÇAMENTO!$E$15:$E$48,0)-1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MATCH(E20,ORÇAMENTO!$E$15:$E$48,0)-1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MATCH(E21,ORÇAMENTO!$E$15:$E$48,0)-1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MATCH(E22,ORÇAMENTO!$E$15:$E$48,0)-1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MATCH(E23,ORÇAMENTO!$E$15:$E$48,0)-1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26" t="s">
        <v>889</v>
      </c>
      <c r="K24" s="827"/>
      <c r="L24" s="369">
        <f ca="1">IF(ISERROR(L28/$L28),0,ROUND(L28/$L28,4))</f>
        <v>1</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14461.26</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14461.26</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3" t="str">
        <f>Import.Município</f>
        <v>CAÇADOR</v>
      </c>
      <c r="F35" s="723"/>
      <c r="G35" s="723"/>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Alencar Mendes</v>
      </c>
      <c r="L40" s="77" t="s">
        <v>240</v>
      </c>
      <c r="M40" s="806">
        <f>IF(CAIXA.Modo,BM!X60,DADOS!C51)</f>
        <v>0</v>
      </c>
      <c r="N40" s="806"/>
      <c r="O40" s="806"/>
    </row>
    <row r="41" spans="5:16" x14ac:dyDescent="0.2">
      <c r="E41" s="77" t="str">
        <f>IF(CAIXA.Modo,"Função:","Cargo:")</f>
        <v>Cargo:</v>
      </c>
      <c r="F41" s="271" t="str">
        <f>IF(CAIXA.Modo,DADOS!C61,DADOS!C29)</f>
        <v>Prefeito</v>
      </c>
      <c r="L41" s="77" t="str">
        <f>IF(CAIXA.Modo,"Matrícula:","Profissão:")</f>
        <v>Profissão:</v>
      </c>
      <c r="M41" s="806">
        <f>IF(CAIXA.Modo,BM!X61,DADOS!C52)</f>
        <v>0</v>
      </c>
      <c r="N41" s="806"/>
      <c r="O41" s="806"/>
    </row>
    <row r="42" spans="5:16" x14ac:dyDescent="0.2">
      <c r="L42" s="77" t="s">
        <v>243</v>
      </c>
      <c r="M42" s="806">
        <f>IF(CAIXA.Modo,BM!X62,DADOS!C53)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XN21FMaz9PJ8hqJfeECnY3YH91FYh7N6kjOSOTGcu+Y+J21x1PEnb6gMMBzq4qaWuZujemGbEOmXOqyntrseKg==" saltValue="v64fBI6yVLKaPOzPWyGRD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CAÇADOR,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f>Import.DescLote</f>
        <v>0</v>
      </c>
      <c r="D18" s="857"/>
      <c r="E18" s="857"/>
      <c r="F18" s="857"/>
      <c r="G18" s="857"/>
    </row>
    <row r="19" spans="2:7" ht="12.75" customHeight="1" x14ac:dyDescent="0.2">
      <c r="B19" s="853" t="s">
        <v>903</v>
      </c>
      <c r="C19" s="854">
        <f>Import.Proponente</f>
        <v>0</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14461.26</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14461.26</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Alencar Mendes</v>
      </c>
      <c r="C54" s="845"/>
      <c r="D54" s="845"/>
      <c r="E54" s="845"/>
      <c r="F54" s="845"/>
      <c r="G54" s="845"/>
    </row>
    <row r="55" spans="2:7" x14ac:dyDescent="0.2">
      <c r="B55" s="845" t="str">
        <f>DADOS!$C$29</f>
        <v>Prefeito</v>
      </c>
      <c r="C55" s="845"/>
      <c r="D55" s="845"/>
      <c r="E55" s="845"/>
      <c r="F55" s="845"/>
      <c r="G55" s="845"/>
    </row>
    <row r="56" spans="2:7" x14ac:dyDescent="0.2">
      <c r="B56" s="846"/>
      <c r="C56" s="846"/>
      <c r="D56" s="846"/>
      <c r="E56" s="846"/>
      <c r="F56" s="846"/>
      <c r="G56" s="846"/>
    </row>
  </sheetData>
  <sheetProtection algorithmName="SHA-512" hashValue="NAx8B6EoljYVfZgYtY1rwgbNhJ0E4LO4SaBgDcPpjVtiCkaF0uQhhZUw5sXsFWTzkkVhlI77fOnoge6KxlZkAQ==" saltValue="xMgr7SBOI0DlMtamO5IXR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maq319</cp:lastModifiedBy>
  <cp:revision>5</cp:revision>
  <cp:lastPrinted>2026-04-23T17:37:28Z</cp:lastPrinted>
  <dcterms:created xsi:type="dcterms:W3CDTF">1997-01-10T22:22:50Z</dcterms:created>
  <dcterms:modified xsi:type="dcterms:W3CDTF">2026-06-11T16:15:54Z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