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dor\Documents\PAVIMENTAÇÃO\ContrataçãoProjetos2026\LICITAÇÃO\R02\"/>
    </mc:Choice>
  </mc:AlternateContent>
  <xr:revisionPtr revIDLastSave="0" documentId="13_ncr:1_{6ABF357F-DF6A-4199-9F58-2916924CF28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PROJETOS" sheetId="3" r:id="rId1"/>
    <sheet name="CRONOGRAMA" sheetId="4" r:id="rId2"/>
    <sheet name="ORÇAMENTO" sheetId="5" r:id="rId3"/>
    <sheet name="BDI" sheetId="6" r:id="rId4"/>
  </sheets>
  <definedNames>
    <definedName name="_xlnm.Print_Titles" localSheetId="2">ORÇAMENTO!$1:$7</definedName>
    <definedName name="_xlnm.Print_Titles" localSheetId="0">PROJETOS!$1:$7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3" i="3" l="1"/>
  <c r="H9" i="5"/>
  <c r="C62" i="3"/>
  <c r="J59" i="5" l="1"/>
  <c r="J114" i="5"/>
  <c r="G23" i="5"/>
  <c r="G22" i="5"/>
  <c r="G46" i="5"/>
  <c r="J47" i="5"/>
  <c r="G47" i="5"/>
  <c r="G34" i="5"/>
  <c r="G36" i="5"/>
  <c r="G35" i="5"/>
  <c r="J35" i="5"/>
  <c r="J36" i="5"/>
  <c r="G21" i="5"/>
  <c r="J21" i="5"/>
  <c r="G13" i="5"/>
  <c r="J13" i="5"/>
  <c r="H44" i="5"/>
  <c r="I44" i="5" s="1"/>
  <c r="K44" i="5" s="1"/>
  <c r="H45" i="5"/>
  <c r="I45" i="5" s="1"/>
  <c r="K45" i="5" s="1"/>
  <c r="H46" i="5" l="1"/>
  <c r="M267" i="4" l="1"/>
  <c r="M266" i="4"/>
  <c r="M265" i="4"/>
  <c r="M264" i="4"/>
  <c r="M263" i="4"/>
  <c r="M262" i="4"/>
  <c r="M261" i="4"/>
  <c r="M260" i="4"/>
  <c r="M259" i="4"/>
  <c r="M258" i="4"/>
  <c r="M257" i="4"/>
  <c r="M256" i="4"/>
  <c r="M255" i="4"/>
  <c r="M254" i="4"/>
  <c r="M253" i="4"/>
  <c r="E46" i="3" l="1"/>
  <c r="C187" i="4"/>
  <c r="E45" i="3"/>
  <c r="C224" i="4" l="1"/>
  <c r="C216" i="4"/>
  <c r="C175" i="4"/>
  <c r="E58" i="3"/>
  <c r="E57" i="3"/>
  <c r="E56" i="3"/>
  <c r="E55" i="3"/>
  <c r="E54" i="3"/>
  <c r="E53" i="3"/>
  <c r="E52" i="3"/>
  <c r="E51" i="3"/>
  <c r="E50" i="3"/>
  <c r="E47" i="3"/>
  <c r="E44" i="3"/>
  <c r="E43" i="3"/>
  <c r="E42" i="3"/>
  <c r="E41" i="3"/>
  <c r="E40" i="3"/>
  <c r="E39" i="3"/>
  <c r="E36" i="3"/>
  <c r="E35" i="3"/>
  <c r="E34" i="3"/>
  <c r="E33" i="3"/>
  <c r="E32" i="3"/>
  <c r="E31" i="3"/>
  <c r="E30" i="3"/>
  <c r="E27" i="3"/>
  <c r="E26" i="3"/>
  <c r="E25" i="3"/>
  <c r="E24" i="3"/>
  <c r="E23" i="3"/>
  <c r="E22" i="3"/>
  <c r="E21" i="3"/>
  <c r="E20" i="3"/>
  <c r="E10" i="3"/>
  <c r="E11" i="3"/>
  <c r="E12" i="3"/>
  <c r="E13" i="3"/>
  <c r="E14" i="3"/>
  <c r="E15" i="3"/>
  <c r="E16" i="3"/>
  <c r="E17" i="3"/>
  <c r="E9" i="3"/>
  <c r="D22" i="6"/>
  <c r="C21" i="6"/>
  <c r="D16" i="6"/>
  <c r="H113" i="5"/>
  <c r="H112" i="5"/>
  <c r="H108" i="5"/>
  <c r="I108" i="5" s="1"/>
  <c r="K108" i="5" s="1"/>
  <c r="H107" i="5"/>
  <c r="I107" i="5" s="1"/>
  <c r="K107" i="5" s="1"/>
  <c r="H106" i="5"/>
  <c r="I106" i="5" s="1"/>
  <c r="K106" i="5" s="1"/>
  <c r="H102" i="5"/>
  <c r="I102" i="5" s="1"/>
  <c r="K102" i="5" s="1"/>
  <c r="H101" i="5"/>
  <c r="I101" i="5" s="1"/>
  <c r="H100" i="5"/>
  <c r="H96" i="5"/>
  <c r="I96" i="5" s="1"/>
  <c r="K96" i="5" s="1"/>
  <c r="H95" i="5"/>
  <c r="I95" i="5" s="1"/>
  <c r="K95" i="5" s="1"/>
  <c r="H94" i="5"/>
  <c r="I94" i="5" s="1"/>
  <c r="K94" i="5" s="1"/>
  <c r="H90" i="5"/>
  <c r="I90" i="5" s="1"/>
  <c r="K90" i="5" s="1"/>
  <c r="H89" i="5"/>
  <c r="I89" i="5" s="1"/>
  <c r="K89" i="5" s="1"/>
  <c r="H88" i="5"/>
  <c r="I88" i="5" s="1"/>
  <c r="K88" i="5" s="1"/>
  <c r="H84" i="5"/>
  <c r="I84" i="5" s="1"/>
  <c r="K84" i="5" s="1"/>
  <c r="H83" i="5"/>
  <c r="I83" i="5" s="1"/>
  <c r="K83" i="5" s="1"/>
  <c r="H82" i="5"/>
  <c r="I82" i="5" s="1"/>
  <c r="K82" i="5" s="1"/>
  <c r="H81" i="5"/>
  <c r="I81" i="5" s="1"/>
  <c r="K81" i="5" s="1"/>
  <c r="H77" i="5"/>
  <c r="I77" i="5" s="1"/>
  <c r="K77" i="5" s="1"/>
  <c r="H76" i="5"/>
  <c r="I76" i="5" s="1"/>
  <c r="K76" i="5" s="1"/>
  <c r="H75" i="5"/>
  <c r="I75" i="5" s="1"/>
  <c r="K75" i="5" s="1"/>
  <c r="H71" i="5"/>
  <c r="I71" i="5" s="1"/>
  <c r="K71" i="5" s="1"/>
  <c r="H70" i="5"/>
  <c r="I70" i="5" s="1"/>
  <c r="K70" i="5" s="1"/>
  <c r="H69" i="5"/>
  <c r="I69" i="5" s="1"/>
  <c r="K69" i="5" s="1"/>
  <c r="H65" i="5"/>
  <c r="I65" i="5" s="1"/>
  <c r="K65" i="5" s="1"/>
  <c r="H64" i="5"/>
  <c r="I64" i="5" s="1"/>
  <c r="K64" i="5" s="1"/>
  <c r="H63" i="5"/>
  <c r="I63" i="5" s="1"/>
  <c r="K63" i="5" s="1"/>
  <c r="H58" i="5"/>
  <c r="I58" i="5" s="1"/>
  <c r="K58" i="5" s="1"/>
  <c r="H57" i="5"/>
  <c r="I57" i="5" s="1"/>
  <c r="K57" i="5" s="1"/>
  <c r="H56" i="5"/>
  <c r="H52" i="5"/>
  <c r="I52" i="5" s="1"/>
  <c r="K52" i="5" s="1"/>
  <c r="H51" i="5"/>
  <c r="I51" i="5" s="1"/>
  <c r="K51" i="5" s="1"/>
  <c r="H43" i="5"/>
  <c r="H42" i="5"/>
  <c r="H47" i="5" s="1"/>
  <c r="H41" i="5"/>
  <c r="I41" i="5" s="1"/>
  <c r="K41" i="5" s="1"/>
  <c r="H40" i="5"/>
  <c r="I40" i="5" s="1"/>
  <c r="K40" i="5" s="1"/>
  <c r="H33" i="5"/>
  <c r="I33" i="5" s="1"/>
  <c r="K33" i="5" s="1"/>
  <c r="H32" i="5"/>
  <c r="H31" i="5"/>
  <c r="I31" i="5" s="1"/>
  <c r="K31" i="5" s="1"/>
  <c r="H30" i="5"/>
  <c r="H34" i="5" s="1"/>
  <c r="I34" i="5" s="1"/>
  <c r="K34" i="5" s="1"/>
  <c r="H29" i="5"/>
  <c r="H28" i="5"/>
  <c r="I28" i="5" s="1"/>
  <c r="K28" i="5" s="1"/>
  <c r="H20" i="5"/>
  <c r="I20" i="5" s="1"/>
  <c r="K20" i="5" s="1"/>
  <c r="H19" i="5"/>
  <c r="H18" i="5"/>
  <c r="I18" i="5" s="1"/>
  <c r="K18" i="5" s="1"/>
  <c r="H17" i="5"/>
  <c r="H12" i="5"/>
  <c r="I12" i="5" s="1"/>
  <c r="K12" i="5" s="1"/>
  <c r="H11" i="5"/>
  <c r="I11" i="5" s="1"/>
  <c r="K11" i="5" s="1"/>
  <c r="H10" i="5"/>
  <c r="I10" i="5" s="1"/>
  <c r="K10" i="5" s="1"/>
  <c r="H251" i="4"/>
  <c r="I251" i="4" s="1"/>
  <c r="H250" i="4"/>
  <c r="I250" i="4" s="1"/>
  <c r="H249" i="4"/>
  <c r="I249" i="4" s="1"/>
  <c r="H248" i="4"/>
  <c r="I248" i="4" s="1"/>
  <c r="H247" i="4"/>
  <c r="I247" i="4" s="1"/>
  <c r="H246" i="4"/>
  <c r="I246" i="4" s="1"/>
  <c r="H245" i="4"/>
  <c r="I245" i="4" s="1"/>
  <c r="H244" i="4"/>
  <c r="I244" i="4" s="1"/>
  <c r="H243" i="4"/>
  <c r="I243" i="4" s="1"/>
  <c r="H242" i="4"/>
  <c r="I242" i="4" s="1"/>
  <c r="H241" i="4"/>
  <c r="I241" i="4" s="1"/>
  <c r="H240" i="4"/>
  <c r="I240" i="4" s="1"/>
  <c r="H239" i="4"/>
  <c r="I239" i="4" s="1"/>
  <c r="H238" i="4"/>
  <c r="I238" i="4" s="1"/>
  <c r="H237" i="4"/>
  <c r="I237" i="4" s="1"/>
  <c r="C233" i="4"/>
  <c r="C232" i="4" s="1"/>
  <c r="C228" i="4"/>
  <c r="C220" i="4"/>
  <c r="C212" i="4"/>
  <c r="C208" i="4"/>
  <c r="C204" i="4"/>
  <c r="C200" i="4"/>
  <c r="C196" i="4"/>
  <c r="C194" i="4"/>
  <c r="C191" i="4" s="1"/>
  <c r="C183" i="4"/>
  <c r="C179" i="4"/>
  <c r="C171" i="4"/>
  <c r="C167" i="4"/>
  <c r="C163" i="4"/>
  <c r="C159" i="4"/>
  <c r="C155" i="4"/>
  <c r="C153" i="4"/>
  <c r="C151" i="4"/>
  <c r="C146" i="4"/>
  <c r="C142" i="4"/>
  <c r="C138" i="4"/>
  <c r="C93" i="4"/>
  <c r="C134" i="4"/>
  <c r="C130" i="4"/>
  <c r="C126" i="4"/>
  <c r="C122" i="4"/>
  <c r="C118" i="4"/>
  <c r="C114" i="4"/>
  <c r="C110" i="4"/>
  <c r="C105" i="4"/>
  <c r="C101" i="4"/>
  <c r="C97" i="4"/>
  <c r="C89" i="4"/>
  <c r="C85" i="4"/>
  <c r="C81" i="4"/>
  <c r="C77" i="4"/>
  <c r="C73" i="4"/>
  <c r="C69" i="4"/>
  <c r="C65" i="4"/>
  <c r="C60" i="4"/>
  <c r="C56" i="4"/>
  <c r="C52" i="4"/>
  <c r="C48" i="4"/>
  <c r="C44" i="4"/>
  <c r="C40" i="4"/>
  <c r="C36" i="4"/>
  <c r="C32" i="4"/>
  <c r="C28" i="4"/>
  <c r="C22" i="4"/>
  <c r="C18" i="4"/>
  <c r="C14" i="4"/>
  <c r="C9" i="4"/>
  <c r="C5" i="4"/>
  <c r="I56" i="5" l="1"/>
  <c r="K56" i="5" s="1"/>
  <c r="H59" i="5"/>
  <c r="I59" i="5" s="1"/>
  <c r="K59" i="5" s="1"/>
  <c r="I113" i="5"/>
  <c r="K113" i="5" s="1"/>
  <c r="H114" i="5"/>
  <c r="I114" i="5" s="1"/>
  <c r="K114" i="5" s="1"/>
  <c r="H21" i="5"/>
  <c r="I21" i="5" s="1"/>
  <c r="K21" i="5" s="1"/>
  <c r="H22" i="5"/>
  <c r="I22" i="5" s="1"/>
  <c r="K22" i="5" s="1"/>
  <c r="I19" i="5"/>
  <c r="K19" i="5" s="1"/>
  <c r="H23" i="5"/>
  <c r="I23" i="5" s="1"/>
  <c r="K23" i="5" s="1"/>
  <c r="I100" i="5"/>
  <c r="K100" i="5" s="1"/>
  <c r="K101" i="5"/>
  <c r="I43" i="5"/>
  <c r="K43" i="5" s="1"/>
  <c r="I47" i="5"/>
  <c r="K47" i="5" s="1"/>
  <c r="I42" i="5"/>
  <c r="K42" i="5" s="1"/>
  <c r="I46" i="5"/>
  <c r="K46" i="5" s="1"/>
  <c r="I29" i="5"/>
  <c r="K29" i="5" s="1"/>
  <c r="H35" i="5"/>
  <c r="I35" i="5" s="1"/>
  <c r="K35" i="5" s="1"/>
  <c r="I32" i="5"/>
  <c r="K32" i="5" s="1"/>
  <c r="H36" i="5"/>
  <c r="I36" i="5" s="1"/>
  <c r="K36" i="5" s="1"/>
  <c r="H13" i="5"/>
  <c r="I13" i="5" s="1"/>
  <c r="K13" i="5" s="1"/>
  <c r="C64" i="4"/>
  <c r="M268" i="4"/>
  <c r="I17" i="5"/>
  <c r="I112" i="5"/>
  <c r="K112" i="5" s="1"/>
  <c r="C150" i="4"/>
  <c r="C9" i="6"/>
  <c r="D20" i="6"/>
  <c r="C15" i="6"/>
  <c r="C16" i="6" s="1"/>
  <c r="D18" i="6"/>
  <c r="D11" i="6"/>
  <c r="D10" i="6" s="1"/>
  <c r="C10" i="6" s="1"/>
  <c r="D12" i="6"/>
  <c r="D19" i="6"/>
  <c r="K72" i="5"/>
  <c r="N260" i="4" s="1"/>
  <c r="O260" i="4" s="1"/>
  <c r="K53" i="5"/>
  <c r="N257" i="4" s="1"/>
  <c r="O257" i="4" s="1"/>
  <c r="E22" i="4" s="1"/>
  <c r="K109" i="5"/>
  <c r="N266" i="4" s="1"/>
  <c r="O266" i="4" s="1"/>
  <c r="K78" i="5"/>
  <c r="N261" i="4" s="1"/>
  <c r="O261" i="4" s="1"/>
  <c r="K85" i="5"/>
  <c r="N262" i="4" s="1"/>
  <c r="O262" i="4" s="1"/>
  <c r="K66" i="5"/>
  <c r="N259" i="4" s="1"/>
  <c r="O259" i="4" s="1"/>
  <c r="K97" i="5"/>
  <c r="N264" i="4" s="1"/>
  <c r="O264" i="4" s="1"/>
  <c r="K91" i="5"/>
  <c r="N263" i="4" s="1"/>
  <c r="O263" i="4" s="1"/>
  <c r="H118" i="5"/>
  <c r="I118" i="5" s="1"/>
  <c r="K118" i="5" s="1"/>
  <c r="I9" i="5"/>
  <c r="C109" i="4"/>
  <c r="H120" i="5"/>
  <c r="I120" i="5" s="1"/>
  <c r="K120" i="5" s="1"/>
  <c r="H119" i="5"/>
  <c r="I119" i="5" s="1"/>
  <c r="K119" i="5" s="1"/>
  <c r="H252" i="4"/>
  <c r="I252" i="4" s="1"/>
  <c r="I30" i="5"/>
  <c r="E93" i="4" l="1"/>
  <c r="E187" i="4"/>
  <c r="E208" i="4"/>
  <c r="E81" i="4"/>
  <c r="E126" i="4"/>
  <c r="E40" i="4"/>
  <c r="E167" i="4"/>
  <c r="E171" i="4"/>
  <c r="E134" i="4"/>
  <c r="E212" i="4"/>
  <c r="E89" i="4"/>
  <c r="E48" i="4"/>
  <c r="E118" i="4"/>
  <c r="E73" i="4"/>
  <c r="E32" i="4"/>
  <c r="E200" i="4"/>
  <c r="E159" i="4"/>
  <c r="K103" i="5"/>
  <c r="N265" i="4" s="1"/>
  <c r="O265" i="4" s="1"/>
  <c r="E224" i="4"/>
  <c r="E142" i="4"/>
  <c r="E101" i="4"/>
  <c r="E56" i="4"/>
  <c r="E204" i="4"/>
  <c r="E163" i="4"/>
  <c r="E77" i="4"/>
  <c r="E36" i="4"/>
  <c r="E122" i="4"/>
  <c r="E216" i="4"/>
  <c r="E85" i="4"/>
  <c r="E175" i="4"/>
  <c r="E44" i="4"/>
  <c r="E130" i="4"/>
  <c r="K115" i="5"/>
  <c r="N267" i="4" s="1"/>
  <c r="O267" i="4" s="1"/>
  <c r="K60" i="5"/>
  <c r="N258" i="4" s="1"/>
  <c r="O258" i="4" s="1"/>
  <c r="K48" i="5"/>
  <c r="N256" i="4" s="1"/>
  <c r="O256" i="4" s="1"/>
  <c r="E18" i="4" s="1"/>
  <c r="K30" i="5"/>
  <c r="K17" i="5"/>
  <c r="K24" i="5" s="1"/>
  <c r="N254" i="4" s="1"/>
  <c r="O254" i="4" s="1"/>
  <c r="E9" i="4" s="1"/>
  <c r="K9" i="5"/>
  <c r="K14" i="5" s="1"/>
  <c r="N253" i="4" s="1"/>
  <c r="O253" i="4" s="1"/>
  <c r="D13" i="6"/>
  <c r="C13" i="6"/>
  <c r="C22" i="6" s="1"/>
  <c r="D21" i="6"/>
  <c r="K121" i="5"/>
  <c r="E220" i="4" l="1"/>
  <c r="E97" i="4"/>
  <c r="E179" i="4"/>
  <c r="E52" i="4"/>
  <c r="E138" i="4"/>
  <c r="E114" i="4"/>
  <c r="E155" i="4"/>
  <c r="E69" i="4"/>
  <c r="E196" i="4"/>
  <c r="E28" i="4"/>
  <c r="E183" i="4"/>
  <c r="E228" i="4"/>
  <c r="E105" i="4"/>
  <c r="E146" i="4"/>
  <c r="E60" i="4"/>
  <c r="E5" i="4"/>
  <c r="N268" i="4"/>
  <c r="O268" i="4" s="1"/>
  <c r="K37" i="5"/>
  <c r="N255" i="4" s="1"/>
  <c r="O255" i="4" s="1"/>
  <c r="E13" i="4" s="1"/>
  <c r="E4" i="4" l="1"/>
  <c r="E26" i="4"/>
  <c r="E232" i="4"/>
  <c r="E195" i="4" s="1"/>
  <c r="E109" i="4"/>
  <c r="E68" i="4" s="1"/>
  <c r="E191" i="4"/>
  <c r="E154" i="4" s="1"/>
  <c r="E64" i="4"/>
  <c r="E27" i="4" s="1"/>
  <c r="E150" i="4"/>
  <c r="E113" i="4" s="1"/>
  <c r="E14" i="4"/>
  <c r="K123" i="5"/>
  <c r="K124" i="5" s="1"/>
  <c r="K125" i="5" l="1"/>
  <c r="D113" i="4" s="1"/>
  <c r="D68" i="4" l="1"/>
  <c r="D195" i="4"/>
  <c r="D27" i="4"/>
  <c r="D154" i="4"/>
  <c r="O269" i="4"/>
  <c r="D40" i="4"/>
  <c r="D212" i="4"/>
  <c r="D44" i="4"/>
  <c r="D130" i="4"/>
  <c r="D36" i="4"/>
  <c r="D216" i="4"/>
  <c r="D142" i="4"/>
  <c r="D22" i="4"/>
  <c r="D32" i="4"/>
  <c r="D89" i="4"/>
  <c r="D187" i="4"/>
  <c r="D122" i="4"/>
  <c r="D73" i="4"/>
  <c r="D200" i="4"/>
  <c r="D134" i="4"/>
  <c r="D85" i="4"/>
  <c r="D118" i="4"/>
  <c r="D171" i="4"/>
  <c r="D159" i="4"/>
  <c r="D77" i="4"/>
  <c r="D204" i="4"/>
  <c r="D97" i="4"/>
  <c r="D81" i="4"/>
  <c r="D179" i="4"/>
  <c r="D208" i="4"/>
  <c r="D126" i="4"/>
  <c r="D101" i="4"/>
  <c r="D167" i="4"/>
  <c r="D138" i="4"/>
  <c r="D163" i="4"/>
  <c r="D56" i="4"/>
  <c r="D175" i="4"/>
  <c r="D18" i="4"/>
  <c r="D224" i="4"/>
  <c r="D52" i="4"/>
  <c r="D48" i="4"/>
  <c r="D220" i="4"/>
  <c r="D93" i="4"/>
  <c r="D9" i="4"/>
  <c r="D69" i="4"/>
  <c r="D13" i="4"/>
  <c r="D196" i="4"/>
  <c r="D105" i="4"/>
  <c r="D26" i="4"/>
  <c r="D5" i="4"/>
  <c r="D183" i="4"/>
  <c r="D114" i="4"/>
  <c r="D28" i="4"/>
  <c r="D228" i="4"/>
  <c r="D155" i="4"/>
  <c r="D60" i="4"/>
  <c r="D146" i="4"/>
  <c r="D191" i="4"/>
  <c r="D64" i="4"/>
  <c r="D232" i="4"/>
  <c r="D150" i="4"/>
  <c r="D14" i="4"/>
  <c r="D4" i="4"/>
  <c r="D109" i="4"/>
</calcChain>
</file>

<file path=xl/sharedStrings.xml><?xml version="1.0" encoding="utf-8"?>
<sst xmlns="http://schemas.openxmlformats.org/spreadsheetml/2006/main" count="1163" uniqueCount="558">
  <si>
    <t>ITEM</t>
  </si>
  <si>
    <t>EXTENSÃO
(m)</t>
  </si>
  <si>
    <t>GABARITO
OFICIAL
(m)</t>
  </si>
  <si>
    <t>ÁREA
(m²)</t>
  </si>
  <si>
    <t>GABARITO CONSOLIDADO (m)</t>
  </si>
  <si>
    <t>PONTE RUA ALWIN JANDRE</t>
  </si>
  <si>
    <t>REVISÃO DO PROJETO LIGAÇÃO PROGRESSO X TESTO ALTO (COM OAE)</t>
  </si>
  <si>
    <t>SIM</t>
  </si>
  <si>
    <t>NÃO</t>
  </si>
  <si>
    <t>RUA RICARDO ZASTROW</t>
  </si>
  <si>
    <t>TALVEZ</t>
  </si>
  <si>
    <t>RUA ADOLFO BECK</t>
  </si>
  <si>
    <t>RUA NOVA TRENTO</t>
  </si>
  <si>
    <t>RUA ERICH ZEPLIN</t>
  </si>
  <si>
    <t>RUA ARNO ROMIG</t>
  </si>
  <si>
    <t>RUA TANGARÁ</t>
  </si>
  <si>
    <t>RUA CAMPO GRANDE</t>
  </si>
  <si>
    <t>RUA JÚLIO GLATZ</t>
  </si>
  <si>
    <t>RUA MARCILIO LEOPOLDINO DE OLIVEIRA</t>
  </si>
  <si>
    <t>RUA CARLOS BORCK</t>
  </si>
  <si>
    <t>RUA ARTHUR SCHULZE</t>
  </si>
  <si>
    <t>BECO LEOPOLDO EHMKE</t>
  </si>
  <si>
    <t>RUA PEDRO KNOPF</t>
  </si>
  <si>
    <t>RUA VICTOR PASSOLD</t>
  </si>
  <si>
    <t>RUA JULIO DALLMANN</t>
  </si>
  <si>
    <t>RUA DOS ATIRADORES - TRECHO 08</t>
  </si>
  <si>
    <t>RUA HERMANN EHMKE</t>
  </si>
  <si>
    <t>RUA VICTOR WEEGE</t>
  </si>
  <si>
    <t>RUA ERWIN SCHRUBBE</t>
  </si>
  <si>
    <t>RUA ARNO KRUEGER</t>
  </si>
  <si>
    <t>RUA FLORIANÓPOLIS</t>
  </si>
  <si>
    <t>RUA POMERÂNIA (COM OAE)</t>
  </si>
  <si>
    <t>AVENIDA 21 DE JANEIRO</t>
  </si>
  <si>
    <t>RUA EMIL HORNBURG</t>
  </si>
  <si>
    <t>RUA CARLOS ZEPLIN</t>
  </si>
  <si>
    <t>RUA RICARDO EISCHTAEDT</t>
  </si>
  <si>
    <t>RUA RUDOLFO KREHNKE</t>
  </si>
  <si>
    <t>RUA ESPANHA</t>
  </si>
  <si>
    <t>RUA PEDRO ALVES DA CUNHA (COM OAE)</t>
  </si>
  <si>
    <t>RUA OSCAR DORN</t>
  </si>
  <si>
    <t>RUA LOTHAR VOIGTLAENDER</t>
  </si>
  <si>
    <t>RUA PROJETADA 03 (PROLONGAMENTO AV. 21)</t>
  </si>
  <si>
    <t>RUA AUGUST HASS</t>
  </si>
  <si>
    <t>RUA JULIO WOLLICK</t>
  </si>
  <si>
    <t>RUA GUSTAV RAUH</t>
  </si>
  <si>
    <t>RUA JERUSALÉM</t>
  </si>
  <si>
    <t>GRUPO 01</t>
  </si>
  <si>
    <t>GRUPO 02</t>
  </si>
  <si>
    <t>GRUPO 03</t>
  </si>
  <si>
    <t>GRUPO 04</t>
  </si>
  <si>
    <t>GRUPO 05</t>
  </si>
  <si>
    <t>RUA</t>
  </si>
  <si>
    <t>GRUPO DE PROJETOS 01</t>
  </si>
  <si>
    <t>GRUPO DE PROJETOS 02</t>
  </si>
  <si>
    <t>GRUPO DE PROJETOS 03</t>
  </si>
  <si>
    <t>GRUPO DE PROJETOS 04</t>
  </si>
  <si>
    <t>GRUPO DE PROJETOS 05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</si>
  <si>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</si>
  <si>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</si>
  <si>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</si>
  <si>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</si>
  <si>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</si>
  <si>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</si>
  <si>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</si>
  <si>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</si>
  <si>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</si>
  <si>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</si>
  <si>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</si>
  <si>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NOME DA TAREFA</t>
  </si>
  <si>
    <t>DURAÇÃO
(DIAS)</t>
  </si>
  <si>
    <t>1.1</t>
  </si>
  <si>
    <t>ESTUDO DE TRÁFEGO</t>
  </si>
  <si>
    <t>1.1.1</t>
  </si>
  <si>
    <t>PROJETISTA: entrega estudo de tráfego</t>
  </si>
  <si>
    <t>1.1.2</t>
  </si>
  <si>
    <t>PREFEITURA: análise</t>
  </si>
  <si>
    <t>1.1.3</t>
  </si>
  <si>
    <t>PREFEITURA: emissão de ofício de aceite</t>
  </si>
  <si>
    <t>1.2</t>
  </si>
  <si>
    <t>ESTUDOS TOPOGRÁFICOS</t>
  </si>
  <si>
    <t>1.2.1</t>
  </si>
  <si>
    <t>PROJETISTA: entrega levantamento topográfico</t>
  </si>
  <si>
    <t>1.2.2</t>
  </si>
  <si>
    <t>1.2.3</t>
  </si>
  <si>
    <t>1.3</t>
  </si>
  <si>
    <t>ENSAIOS GEOTÉCNICOS</t>
  </si>
  <si>
    <t>1.3.1</t>
  </si>
  <si>
    <t>Pavimentação</t>
  </si>
  <si>
    <t>1.3.1.1</t>
  </si>
  <si>
    <t>PROJETISTA: entrega estudos geotécnicos para pavimentação</t>
  </si>
  <si>
    <t>1.3.1.2</t>
  </si>
  <si>
    <t>1.3.1.3</t>
  </si>
  <si>
    <t>1.3.2</t>
  </si>
  <si>
    <t>OAEs</t>
  </si>
  <si>
    <t>1.3.2.1</t>
  </si>
  <si>
    <t>PROJETISTA: entrega estudos geotécnicos para OAE</t>
  </si>
  <si>
    <t>1.3.2.2</t>
  </si>
  <si>
    <t>1.3.2.3</t>
  </si>
  <si>
    <t>1.4</t>
  </si>
  <si>
    <t>ESTUDO HIDROLÓGICO</t>
  </si>
  <si>
    <t>1.4.1</t>
  </si>
  <si>
    <t>PROJETISTA: entrega estudo hidrológico</t>
  </si>
  <si>
    <t>1.4.2</t>
  </si>
  <si>
    <t>1.4.3</t>
  </si>
  <si>
    <t>PROJETOS</t>
  </si>
  <si>
    <t>2.1</t>
  </si>
  <si>
    <t>2.1.1</t>
  </si>
  <si>
    <t>PROJETO GEOMÉTRICO</t>
  </si>
  <si>
    <t>2.1.1.1</t>
  </si>
  <si>
    <t>PROJETISTA: entrega projeto geométrico</t>
  </si>
  <si>
    <t>2.1.1.2</t>
  </si>
  <si>
    <t>2.1.1.3</t>
  </si>
  <si>
    <t>2.1.2</t>
  </si>
  <si>
    <t>PROJETO DE TERRAPLANGEM</t>
  </si>
  <si>
    <t>2.1.2.1</t>
  </si>
  <si>
    <t>PROJETISTA: entrega projeto de terraplanagem</t>
  </si>
  <si>
    <t>2.1.2.2</t>
  </si>
  <si>
    <t>2.1.2.3</t>
  </si>
  <si>
    <t>2.1.3</t>
  </si>
  <si>
    <t>PROJETO DE DRENAGEM</t>
  </si>
  <si>
    <t>2.1.3.1</t>
  </si>
  <si>
    <t>PROJETISTA: entrega projeto de drenagem</t>
  </si>
  <si>
    <t>2.1.3.2</t>
  </si>
  <si>
    <t>2.1.3.3</t>
  </si>
  <si>
    <t>2.1.4</t>
  </si>
  <si>
    <t>PROJETO DE PAVIMENTAÇÃO</t>
  </si>
  <si>
    <t>2.1.4.1</t>
  </si>
  <si>
    <t>PROJETISTA: entrega projeto de pavimentação</t>
  </si>
  <si>
    <t>2.1.4.2</t>
  </si>
  <si>
    <t>2.1.4.3</t>
  </si>
  <si>
    <t>2.1.5</t>
  </si>
  <si>
    <t>PROJETO DE OBRAS DE CONTENÇÃO E ESTABILIZAÇÃO DE TALUDES</t>
  </si>
  <si>
    <t>2.1.5.1</t>
  </si>
  <si>
    <t>PROJETISTA: entrega projeto de contenção</t>
  </si>
  <si>
    <t>2.1.5.2</t>
  </si>
  <si>
    <t>2.1.5.3</t>
  </si>
  <si>
    <t>2.1.6</t>
  </si>
  <si>
    <t>PROJETO DE SINALIZAÇÃO</t>
  </si>
  <si>
    <t>2.1.6.1</t>
  </si>
  <si>
    <t>PROJETISTA: entrega projeto de sinalização</t>
  </si>
  <si>
    <t>2.1.6.2</t>
  </si>
  <si>
    <t>2.1.6.3</t>
  </si>
  <si>
    <t>2.1.7</t>
  </si>
  <si>
    <t>PROJETO DE OBRAS COMPLEMENTARES</t>
  </si>
  <si>
    <t>2.1.7.1</t>
  </si>
  <si>
    <t>PROJETISTA: entrega projeto de obras complementares</t>
  </si>
  <si>
    <t>2.1.7.2</t>
  </si>
  <si>
    <t>2.1.7.3</t>
  </si>
  <si>
    <t>2.1.8</t>
  </si>
  <si>
    <t>PROJETO DE OBRA DE ARTE ESPECIAL</t>
  </si>
  <si>
    <t>2.1.8.1</t>
  </si>
  <si>
    <t>PROJETISTA: entrega projeto de OAE</t>
  </si>
  <si>
    <t>2.1.8.2</t>
  </si>
  <si>
    <t>2.1.8.3</t>
  </si>
  <si>
    <t>2.1.9</t>
  </si>
  <si>
    <t>INVENTÁRIO FLORESTAL</t>
  </si>
  <si>
    <t>2.1.9.1</t>
  </si>
  <si>
    <t>PROJETISTA: entrega projeto de inventário florestal</t>
  </si>
  <si>
    <t>2.1.9.2</t>
  </si>
  <si>
    <t>2.1.9.3</t>
  </si>
  <si>
    <t>2.1.10</t>
  </si>
  <si>
    <t>MEMORIAL DE CÁLCULO, DESCRITIVO E ORÇAMENTO</t>
  </si>
  <si>
    <t>2.1.10.1</t>
  </si>
  <si>
    <t>PROJETISTA: entrega projeto de documentos</t>
  </si>
  <si>
    <t>2.1.10.2</t>
  </si>
  <si>
    <t>2.1.10.3</t>
  </si>
  <si>
    <t>2.2</t>
  </si>
  <si>
    <t>2.2.1</t>
  </si>
  <si>
    <t>2.2.1.1</t>
  </si>
  <si>
    <t>2.2.1.2</t>
  </si>
  <si>
    <t>2.2.1.3</t>
  </si>
  <si>
    <t>2.2.2</t>
  </si>
  <si>
    <t>2.2.2.1</t>
  </si>
  <si>
    <t>2.2.2.2</t>
  </si>
  <si>
    <t>2.2.2.3</t>
  </si>
  <si>
    <t>2.2.3</t>
  </si>
  <si>
    <t>2.2.3.1</t>
  </si>
  <si>
    <t>2.2.3.2</t>
  </si>
  <si>
    <t>2.2.3.3</t>
  </si>
  <si>
    <t>2.2.4</t>
  </si>
  <si>
    <t>2.2.4.1</t>
  </si>
  <si>
    <t>2.2.4.2</t>
  </si>
  <si>
    <t>2.2.4.3</t>
  </si>
  <si>
    <t>2.2.5</t>
  </si>
  <si>
    <t>2.2.5.1</t>
  </si>
  <si>
    <t>2.2.5.2</t>
  </si>
  <si>
    <t>2.2.5.3</t>
  </si>
  <si>
    <t>2.2.6</t>
  </si>
  <si>
    <t>2.2.6.1</t>
  </si>
  <si>
    <t>2.2.6.2</t>
  </si>
  <si>
    <t>2.2.6.3</t>
  </si>
  <si>
    <t>2.2.7</t>
  </si>
  <si>
    <t>2.2.7.1</t>
  </si>
  <si>
    <t>2.2.7.2</t>
  </si>
  <si>
    <t>2.2.7.3</t>
  </si>
  <si>
    <t>2.2.8</t>
  </si>
  <si>
    <t>2.2.8.1</t>
  </si>
  <si>
    <t>2.2.8.2</t>
  </si>
  <si>
    <t>2.2.8.3</t>
  </si>
  <si>
    <t>2.2.9</t>
  </si>
  <si>
    <t>2.2.9.1</t>
  </si>
  <si>
    <t>2.2.9.2</t>
  </si>
  <si>
    <t>2.2.9.3</t>
  </si>
  <si>
    <t>2.2.10</t>
  </si>
  <si>
    <t>2.2.10.1</t>
  </si>
  <si>
    <t>2.2.10.2</t>
  </si>
  <si>
    <t>2.2.10.3</t>
  </si>
  <si>
    <t>2.3</t>
  </si>
  <si>
    <t>2.3.1</t>
  </si>
  <si>
    <t>2.3.1.1</t>
  </si>
  <si>
    <t>2.3.1.2</t>
  </si>
  <si>
    <t>2.3.1.3</t>
  </si>
  <si>
    <t>2.3.2</t>
  </si>
  <si>
    <t>2.3.2.1</t>
  </si>
  <si>
    <t>2.3.2.2</t>
  </si>
  <si>
    <t>2.3.2.3</t>
  </si>
  <si>
    <t>2.3.3</t>
  </si>
  <si>
    <t>2.3.3.1</t>
  </si>
  <si>
    <t>2.3.3.2</t>
  </si>
  <si>
    <t>2.3.3.3</t>
  </si>
  <si>
    <t>2.3.4</t>
  </si>
  <si>
    <t>2.3.4.1</t>
  </si>
  <si>
    <t>2.3.4.2</t>
  </si>
  <si>
    <t>2.3.4.3</t>
  </si>
  <si>
    <t>2.3.5</t>
  </si>
  <si>
    <t>2.3.5.1</t>
  </si>
  <si>
    <t>2.3.5.2</t>
  </si>
  <si>
    <t>2.3.5.3</t>
  </si>
  <si>
    <t>2.3.6</t>
  </si>
  <si>
    <t>2.3.6.1</t>
  </si>
  <si>
    <t>2.3.6.2</t>
  </si>
  <si>
    <t>2.3.6.3</t>
  </si>
  <si>
    <t>2.3.7</t>
  </si>
  <si>
    <t>PROJETO DE ILUMINAÇÃO PÚBLICA</t>
  </si>
  <si>
    <t>2.3.7.1</t>
  </si>
  <si>
    <t>PROJETISTA: entrega projeto elétrico</t>
  </si>
  <si>
    <t>2.3.7.2</t>
  </si>
  <si>
    <t>2.3.7.3</t>
  </si>
  <si>
    <t>2.3.8</t>
  </si>
  <si>
    <t>2.3.8.1</t>
  </si>
  <si>
    <t>2.3.8.2</t>
  </si>
  <si>
    <t>2.3.8.3</t>
  </si>
  <si>
    <t>2.3.9</t>
  </si>
  <si>
    <t>2.3.9.1</t>
  </si>
  <si>
    <t>2.3.9.2</t>
  </si>
  <si>
    <t>2.3.9.3</t>
  </si>
  <si>
    <t>2.3.10</t>
  </si>
  <si>
    <t>2.3.10.1</t>
  </si>
  <si>
    <t>2.3.10.2</t>
  </si>
  <si>
    <t>2.3.10.3</t>
  </si>
  <si>
    <t>2.4</t>
  </si>
  <si>
    <t>2.4.1</t>
  </si>
  <si>
    <t>2.4.1.1</t>
  </si>
  <si>
    <t>2.4.1.2</t>
  </si>
  <si>
    <t>2.4.1.3</t>
  </si>
  <si>
    <t>2.4.2</t>
  </si>
  <si>
    <t>2.4.2.1</t>
  </si>
  <si>
    <t>2.4.2.2</t>
  </si>
  <si>
    <t>2.4.2.3</t>
  </si>
  <si>
    <t>2.4.3</t>
  </si>
  <si>
    <t>2.4.3.1</t>
  </si>
  <si>
    <t>2.4.3.2</t>
  </si>
  <si>
    <t>2.4.3.3</t>
  </si>
  <si>
    <t>2.4.4</t>
  </si>
  <si>
    <t>2.4.4.1</t>
  </si>
  <si>
    <t>2.4.4.2</t>
  </si>
  <si>
    <t>2.4.4.3</t>
  </si>
  <si>
    <t>2.4.5</t>
  </si>
  <si>
    <t>2.4.5.1</t>
  </si>
  <si>
    <t>2.4.5.2</t>
  </si>
  <si>
    <t>2.4.5.3</t>
  </si>
  <si>
    <t>2.4.6</t>
  </si>
  <si>
    <t>2.4.6.1</t>
  </si>
  <si>
    <t>2.4.6.2</t>
  </si>
  <si>
    <t>2.4.6.3</t>
  </si>
  <si>
    <t>2.4.7</t>
  </si>
  <si>
    <t>2.4.7.1</t>
  </si>
  <si>
    <t>2.4.7.2</t>
  </si>
  <si>
    <t>2.4.7.3</t>
  </si>
  <si>
    <t>2.4.8</t>
  </si>
  <si>
    <t>2.4.8.1</t>
  </si>
  <si>
    <t>2.4.8.2</t>
  </si>
  <si>
    <t>2.4.8.3</t>
  </si>
  <si>
    <t>2.4.9</t>
  </si>
  <si>
    <t>2.4.9.1</t>
  </si>
  <si>
    <t>2.4.9.2</t>
  </si>
  <si>
    <t>2.4.9.3</t>
  </si>
  <si>
    <t>2.4.10</t>
  </si>
  <si>
    <t>2.4.10.1</t>
  </si>
  <si>
    <t>2.4.10.2</t>
  </si>
  <si>
    <t>2.4.10.3</t>
  </si>
  <si>
    <t>2.5</t>
  </si>
  <si>
    <t>2.5.1</t>
  </si>
  <si>
    <t>2.5.1.1</t>
  </si>
  <si>
    <t>2.5.1.2</t>
  </si>
  <si>
    <t>2.5.1.3</t>
  </si>
  <si>
    <t>2.5.2</t>
  </si>
  <si>
    <t>2.5.2.1</t>
  </si>
  <si>
    <t>2.5.2.2</t>
  </si>
  <si>
    <t>2.5.2.3</t>
  </si>
  <si>
    <t>2.5.3</t>
  </si>
  <si>
    <t>2.5.3.1</t>
  </si>
  <si>
    <t>2.5.3.2</t>
  </si>
  <si>
    <t>2.5.3.3</t>
  </si>
  <si>
    <t>2.5.4</t>
  </si>
  <si>
    <t>2.5.4.1</t>
  </si>
  <si>
    <t>2.5.4.2</t>
  </si>
  <si>
    <t>2.5.4.3</t>
  </si>
  <si>
    <t>2.5.5</t>
  </si>
  <si>
    <t>2.5.5.1</t>
  </si>
  <si>
    <t>2.5.5.2</t>
  </si>
  <si>
    <t>2.5.5.3</t>
  </si>
  <si>
    <t>2.5.6</t>
  </si>
  <si>
    <t>2.5.6.1</t>
  </si>
  <si>
    <t>2.5.6.2</t>
  </si>
  <si>
    <t>2.5.6.3</t>
  </si>
  <si>
    <t>2.5.7</t>
  </si>
  <si>
    <t>2.5.7.1</t>
  </si>
  <si>
    <t>2.5.7.2</t>
  </si>
  <si>
    <t>2.5.7.3</t>
  </si>
  <si>
    <t>2.5.8</t>
  </si>
  <si>
    <t>2.5.8.1</t>
  </si>
  <si>
    <t>2.5.8.2</t>
  </si>
  <si>
    <t>2.5.8.3</t>
  </si>
  <si>
    <t>2.5.9</t>
  </si>
  <si>
    <t>2.5.9.1</t>
  </si>
  <si>
    <t>2.5.9.2</t>
  </si>
  <si>
    <t>2.5.9.3</t>
  </si>
  <si>
    <t>2.5.10</t>
  </si>
  <si>
    <t>2.5.10.1</t>
  </si>
  <si>
    <t>2.5.10.2</t>
  </si>
  <si>
    <t>2.5.10.3</t>
  </si>
  <si>
    <t>REF.</t>
  </si>
  <si>
    <t>TIPO</t>
  </si>
  <si>
    <t>CÓD.</t>
  </si>
  <si>
    <t>DESCRIÇÃO</t>
  </si>
  <si>
    <t>QUANT.
MENSAL</t>
  </si>
  <si>
    <t>PARTICIPAÇÃO
MENSAL (%)</t>
  </si>
  <si>
    <t>MESES</t>
  </si>
  <si>
    <t>QUANT.
TOTAL</t>
  </si>
  <si>
    <t>PREÇO
UNIT.
(R$/MÊS)</t>
  </si>
  <si>
    <t>PREÇO
TOTAL (R$)</t>
  </si>
  <si>
    <t>T. CONS.</t>
  </si>
  <si>
    <t>P8147</t>
  </si>
  <si>
    <t>Técnico - Chefe de posto</t>
  </si>
  <si>
    <t>P8025</t>
  </si>
  <si>
    <t>Auxiliar - Pesquisador</t>
  </si>
  <si>
    <t>P8065</t>
  </si>
  <si>
    <t>Engenheiro de projetos júnior</t>
  </si>
  <si>
    <t>Técnico - Auxiliar de Engenharia</t>
  </si>
  <si>
    <t>SUBTOTAL</t>
  </si>
  <si>
    <t>P8163</t>
  </si>
  <si>
    <t>Topógrafo</t>
  </si>
  <si>
    <t>P8028</t>
  </si>
  <si>
    <t>Auxiliar de topografia</t>
  </si>
  <si>
    <t>Auxiliar - Desenhista projetos</t>
  </si>
  <si>
    <t>3.1</t>
  </si>
  <si>
    <t>3.1.1</t>
  </si>
  <si>
    <t>3.1.2</t>
  </si>
  <si>
    <t>Técnico - Inspetor de Campo</t>
  </si>
  <si>
    <t>3.1.3</t>
  </si>
  <si>
    <t>P8098</t>
  </si>
  <si>
    <t>Laboratorista</t>
  </si>
  <si>
    <t>3.1.4</t>
  </si>
  <si>
    <t>P8027</t>
  </si>
  <si>
    <t>Auxiliar de Laboratório</t>
  </si>
  <si>
    <t>3.1.5</t>
  </si>
  <si>
    <t>P8139</t>
  </si>
  <si>
    <t>Sondador</t>
  </si>
  <si>
    <t>3.1.6</t>
  </si>
  <si>
    <t>Auxiliar (sondagem)</t>
  </si>
  <si>
    <t>3.2</t>
  </si>
  <si>
    <t>3.2.1</t>
  </si>
  <si>
    <t>P8066</t>
  </si>
  <si>
    <t>Engenheiro de projetos pleno</t>
  </si>
  <si>
    <t>3.2.2</t>
  </si>
  <si>
    <t>3.2.3</t>
  </si>
  <si>
    <t>3.2.4</t>
  </si>
  <si>
    <t>4.1</t>
  </si>
  <si>
    <t>4.2</t>
  </si>
  <si>
    <t>5.1</t>
  </si>
  <si>
    <t>5.2</t>
  </si>
  <si>
    <t>5.3</t>
  </si>
  <si>
    <t>6.1</t>
  </si>
  <si>
    <t>6.2</t>
  </si>
  <si>
    <t>6.3</t>
  </si>
  <si>
    <t>7.1</t>
  </si>
  <si>
    <t>7.2</t>
  </si>
  <si>
    <t>7.3</t>
  </si>
  <si>
    <t>8.1</t>
  </si>
  <si>
    <t>8.2</t>
  </si>
  <si>
    <t>8.3</t>
  </si>
  <si>
    <t>9.1</t>
  </si>
  <si>
    <t>P8081</t>
  </si>
  <si>
    <t>Geólogo pleno</t>
  </si>
  <si>
    <t>9.2</t>
  </si>
  <si>
    <t>9.3</t>
  </si>
  <si>
    <t>P8067</t>
  </si>
  <si>
    <t>Engenheiro de projetos senior</t>
  </si>
  <si>
    <t>9.4</t>
  </si>
  <si>
    <t>10.1</t>
  </si>
  <si>
    <t>10.2</t>
  </si>
  <si>
    <t>10.3</t>
  </si>
  <si>
    <t>11.1</t>
  </si>
  <si>
    <t>11.2</t>
  </si>
  <si>
    <t>11.3</t>
  </si>
  <si>
    <t>12.1</t>
  </si>
  <si>
    <t>12.2</t>
  </si>
  <si>
    <t>12.3</t>
  </si>
  <si>
    <t>13.1</t>
  </si>
  <si>
    <t>13.2</t>
  </si>
  <si>
    <t>13.3</t>
  </si>
  <si>
    <t>14.1</t>
  </si>
  <si>
    <t>P8068</t>
  </si>
  <si>
    <t>Engenheiro florestal júnior</t>
  </si>
  <si>
    <t>14.2</t>
  </si>
  <si>
    <t>15.1</t>
  </si>
  <si>
    <t>15.2</t>
  </si>
  <si>
    <t>15.3</t>
  </si>
  <si>
    <t>E8889</t>
  </si>
  <si>
    <t>Veículo leve - 53 kW (sem motorista)</t>
  </si>
  <si>
    <t>E8887</t>
  </si>
  <si>
    <t>Veículo tipo van furgão com capacidade de 1,38 t - 100 kW (sem motorista)</t>
  </si>
  <si>
    <t>E8891</t>
  </si>
  <si>
    <t>Veículo leve picape média 4 x 4 com cabine dupla com capacidade de 1,10 t - 152,25 kW (sem motorista)</t>
  </si>
  <si>
    <t>B8957</t>
  </si>
  <si>
    <t>Laboratório de Solos</t>
  </si>
  <si>
    <t>16.5</t>
  </si>
  <si>
    <t>B8958</t>
  </si>
  <si>
    <t>Topografia</t>
  </si>
  <si>
    <t>16.6</t>
  </si>
  <si>
    <t>B8961</t>
  </si>
  <si>
    <t>Topografia por VANT</t>
  </si>
  <si>
    <t>TOTAL</t>
  </si>
  <si>
    <t>VALOR TOTAL COM BDI</t>
  </si>
  <si>
    <t>Descrição das Parcelas</t>
  </si>
  <si>
    <t>Valores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</si>
  <si>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</si>
  <si>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</si>
  <si>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</si>
  <si>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</si>
  <si>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</si>
  <si>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</si>
  <si>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Riscos</t>
  </si>
  <si>
    <t>0,50% do PV</t>
  </si>
  <si>
    <t>Seguros e Garantias Contratuais</t>
  </si>
  <si>
    <t>0,10% do PV</t>
  </si>
  <si>
    <t>Subtotal 1</t>
  </si>
  <si>
    <t>Benefícios</t>
  </si>
  <si>
    <t>Lucro</t>
  </si>
  <si>
    <t>Subtotal 2</t>
  </si>
  <si>
    <t>Tributos</t>
  </si>
  <si>
    <t>PIS</t>
  </si>
  <si>
    <t>1,65% do PV</t>
  </si>
  <si>
    <t>COFINS</t>
  </si>
  <si>
    <t>7,60% do PV</t>
  </si>
  <si>
    <t>ISSQN*</t>
  </si>
  <si>
    <t>5,00% do PV</t>
  </si>
  <si>
    <t>Subtotal 3</t>
  </si>
  <si>
    <t>Total - BDI (%)</t>
  </si>
  <si>
    <t>CONTAGEM DE TRÁFEGO?</t>
  </si>
  <si>
    <t>SUPRESSÃO DE VEGETAÇÃO?</t>
  </si>
  <si>
    <t>OBRAS DE CONTENÇÃO?</t>
  </si>
  <si>
    <t>PROJETO DE OBRA DE ARTE ESPECIAL/REVISÃO</t>
  </si>
  <si>
    <t>2.2.11</t>
  </si>
  <si>
    <t>2.2.11.1</t>
  </si>
  <si>
    <t>2.2.11.2</t>
  </si>
  <si>
    <t>2.2.11.3</t>
  </si>
  <si>
    <t>RUA PROJETADA 01 (INDAIAL) (COM OAE)</t>
  </si>
  <si>
    <t>RUA PROJETADA 02 (OLAVO BILAC)</t>
  </si>
  <si>
    <t>EXTENSÃO APROXIMADA DE PAVIMENTAÇÃO (m)</t>
  </si>
  <si>
    <t>ÁREA APROXIMADA DE TABULEIRO DE OAE (m²)</t>
  </si>
  <si>
    <t>ÁREA APROXIMADA DE TABULEIRO DA MAIOR OAE (m²)</t>
  </si>
  <si>
    <t>_____________________________________</t>
  </si>
  <si>
    <t>RICARDO LUIZ WERNER</t>
  </si>
  <si>
    <t>Engenheiro Civil – CREA-SC 147103-9</t>
  </si>
  <si>
    <t>Matrícula 576948</t>
  </si>
  <si>
    <r>
      <rPr>
        <b/>
        <sz val="15"/>
        <color indexed="8"/>
        <rFont val="Arial"/>
        <family val="2"/>
      </rPr>
      <t>PREFEITURA MUNICIPAL DE POMERODE</t>
    </r>
    <r>
      <rPr>
        <sz val="11"/>
        <color indexed="8"/>
        <rFont val="Arial"/>
        <family val="2"/>
      </rPr>
      <t xml:space="preserve">
SECRETARIA DE PLANEJAMENTO E MEIO AMBIENTE
Rua 15 de Novembro, 525, Centro
89107-000 – Pomerode – Santa Catarina</t>
    </r>
  </si>
  <si>
    <t>DNIT</t>
  </si>
  <si>
    <t>OBJETO: ELABORAÇÃO DE ESTUDOS E PROJETOS BÁSICO E EXECUTIVO DE ENGENHARIA VIÁRIA</t>
  </si>
  <si>
    <t>DATA BASE DO ORÇAMENTO: ABR/2026</t>
  </si>
  <si>
    <t>GRUPO DE PROJETOS</t>
  </si>
  <si>
    <t>Valores de referência para as taxas de BDI</t>
  </si>
  <si>
    <t>TABELA DE PREÇOS DE CONSULTORIA
Benefícios e Despesas Indiretas - BDI</t>
  </si>
  <si>
    <t>PV = Preço de Venda</t>
  </si>
  <si>
    <t>CD = Custo Direto</t>
  </si>
  <si>
    <t>SELIC (agosto/2026) = 14,00% a.a.</t>
  </si>
  <si>
    <t>DF = [(1+SELIC)^(1/12)-1] sobre (PV - Lucro), o que resulta em DF = 1,10% sobre (PV - Lucro)</t>
  </si>
  <si>
    <t>Observação: (*) Limite máximo adotado de 5%, valor variável em função da legislação do município de Pomerode. As empresas licitantes deverão adotar as alíquotas pertinentes.</t>
  </si>
  <si>
    <t>BDI (44,99%)</t>
  </si>
  <si>
    <t>-26.705759, -49.168840</t>
  </si>
  <si>
    <t>-26.742210, -49.165476</t>
  </si>
  <si>
    <t>-26.750695, -49.186412</t>
  </si>
  <si>
    <t>-26.716828, -49.167205</t>
  </si>
  <si>
    <t>-26.731229, -49.179208</t>
  </si>
  <si>
    <t>-26.691662, -49.173647</t>
  </si>
  <si>
    <t>-26.721468, -49.148303</t>
  </si>
  <si>
    <t>-26.739070, -49.163316</t>
  </si>
  <si>
    <t>-26.727789, -49.175644</t>
  </si>
  <si>
    <t>-26.722763, -49.168581</t>
  </si>
  <si>
    <t>-26.709820, -49.163588</t>
  </si>
  <si>
    <t>-26.722200, -49.142297</t>
  </si>
  <si>
    <t>-26.737465, -49.162972</t>
  </si>
  <si>
    <t>-26.715019, -49.158721</t>
  </si>
  <si>
    <t>-26.688959, -49.156384</t>
  </si>
  <si>
    <t>-26.726054, -49.170709</t>
  </si>
  <si>
    <t>-26.714049, -49.159342</t>
  </si>
  <si>
    <t>-26.684986, -49.160527</t>
  </si>
  <si>
    <t>-26.689877, -49.158408</t>
  </si>
  <si>
    <t>-26.714039, -49.159056</t>
  </si>
  <si>
    <t>-26.738892, -49.163435</t>
  </si>
  <si>
    <t>-26.756111, -49.181678</t>
  </si>
  <si>
    <t>-26.717915, -49.157594</t>
  </si>
  <si>
    <t>-26.725439, -49.158956</t>
  </si>
  <si>
    <t>RUA JOHANNES ROEDEL</t>
  </si>
  <si>
    <t>-26.726667, -49.173195</t>
  </si>
  <si>
    <t>-26.722452, -49.173670</t>
  </si>
  <si>
    <t>-26.820186, -49.158516</t>
  </si>
  <si>
    <t>-26.723922, -49.168444</t>
  </si>
  <si>
    <t>-26.715806, -49.170247</t>
  </si>
  <si>
    <t>-26.824201, -49.157826</t>
  </si>
  <si>
    <t>-26.706451, -49.158212</t>
  </si>
  <si>
    <t>-26.727545, -49.169118</t>
  </si>
  <si>
    <t>-26.726209, -49.165505</t>
  </si>
  <si>
    <t>-26.809401, -49.165389</t>
  </si>
  <si>
    <t>-26.697805, -49.161579</t>
  </si>
  <si>
    <t>-26.719892, -49.167686</t>
  </si>
  <si>
    <t>-26.713527, -49.165731</t>
  </si>
  <si>
    <t>-26.730843, -49.189581</t>
  </si>
  <si>
    <t>-26.762025, -49.172134</t>
  </si>
  <si>
    <t>-26.766933, -49.177704</t>
  </si>
  <si>
    <t>COORDENADAS</t>
  </si>
  <si>
    <t>ESTUDOS PRELIMINARES</t>
  </si>
  <si>
    <t>ENSAIOS GEOTÉCNICOS E GEOLÓGICOS</t>
  </si>
  <si>
    <t>RUA PROGRESSO</t>
  </si>
  <si>
    <t>-26.688129, -49.177213</t>
  </si>
  <si>
    <t>MÊS 12</t>
  </si>
  <si>
    <t>ENSAIOS GEOTÉCNICOS E GEOLÓGICOS PARA PAVIMENTAÇÃO</t>
  </si>
  <si>
    <t>ENSAIOS GEOTÉCNICOS E GEOLÓGICOS PARA OAE</t>
  </si>
  <si>
    <t>3.2.5</t>
  </si>
  <si>
    <t>3.2.6</t>
  </si>
  <si>
    <t>3.2.7</t>
  </si>
  <si>
    <t>3.2.8</t>
  </si>
  <si>
    <t>3.1.7</t>
  </si>
  <si>
    <t>3.1.8</t>
  </si>
  <si>
    <t>3.1.9</t>
  </si>
  <si>
    <t>1.5</t>
  </si>
  <si>
    <t>14.3</t>
  </si>
  <si>
    <t>5.4</t>
  </si>
  <si>
    <t>%</t>
  </si>
  <si>
    <t>R$</t>
  </si>
  <si>
    <t>VALOR DOS PAGAMENTOS</t>
  </si>
  <si>
    <t>CRONOGRAMA FÍSICO-FINANCEIRO</t>
  </si>
  <si>
    <t>Valor total do orçamento: 1.415.325,46 (um milhão quatrocentos e quinze mil trezentos e vinte e cinco reais e quarenta e seis centavos).</t>
  </si>
  <si>
    <t>PRAZO DE EXECUÇÃO CONTRATUAL: 329 DIAS</t>
  </si>
  <si>
    <t>PRAZO DE VIGÊNCIA DA CONTRATAÇÃO: 390 DIAS</t>
  </si>
  <si>
    <t>Pomerode, 17 de setembro de 2026</t>
  </si>
  <si>
    <t>ÁREA APROXIMADA DE PAVIMENTAÇÃO (m²)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</si>
</sst>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&quot;% sobre (PV - Lucro)&quot;"/>
    <numFmt numFmtId="165" formatCode="&quot;R$&quot;\ 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sz val="11"/>
      <color theme="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4"/>
      <color theme="1"/>
      <name val="Calibri"/>
      <family val="2"/>
      <scheme val="minor"/>
    </font>
    <font>
      <sz val="11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8"/>
      <name val="Calibri"/>
      <family val="2"/>
      <scheme val="minor"/>
    </font>
    <font>
      <b/>
      <sz val="15"/>
      <color indexed="8"/>
      <name val="Arial"/>
      <family val="2"/>
    </font>
    <font>
      <sz val="11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41894C"/>
        <bgColor indexed="64"/>
      </patternFill>
    </fill>
    <fill>
      <patternFill patternType="solid">
        <fgColor rgb="FF92CA9A"/>
        <bgColor indexed="64"/>
      </patternFill>
    </fill>
    <fill>
      <patternFill patternType="solid">
        <fgColor rgb="FFD8ECDB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/>
    <xf numFmtId="44" fontId="1" fillId="0" borderId="0"/>
    <xf numFmtId="9" fontId="1" fillId="0" borderId="0"/>
    <xf numFmtId="44" fontId="1" fillId="0" borderId="0"/>
    <xf numFmtId="0" fontId="1" fillId="0" borderId="0"/>
    <xf numFmtId="44" fontId="1" fillId="0" borderId="0"/>
    <xf numFmtId="44" fontId="1" fillId="0" borderId="0"/>
  </cellStyleXfs>
  <cellXfs count="26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2" fontId="2" fillId="0" borderId="0" xfId="0" applyNumberFormat="1" applyFont="1" applyAlignment="1">
      <alignment vertical="center"/>
    </xf>
    <xf numFmtId="0" fontId="8" fillId="0" borderId="0" xfId="0" applyFont="1"/>
    <xf numFmtId="0" fontId="7" fillId="0" borderId="0" xfId="0" applyFont="1"/>
    <xf numFmtId="0" fontId="7" fillId="0" borderId="0" xfId="0" applyFont="1" applyAlignment="1">
      <alignment vertical="center"/>
    </xf>
    <xf numFmtId="10" fontId="8" fillId="0" borderId="0" xfId="2" applyNumberFormat="1" applyFont="1" applyAlignment="1">
      <alignment vertical="center"/>
    </xf>
    <xf numFmtId="0" fontId="8" fillId="0" borderId="0" xfId="0" applyFont="1" applyAlignment="1">
      <alignment vertical="center"/>
    </xf>
    <xf numFmtId="2" fontId="8" fillId="0" borderId="0" xfId="2" applyNumberFormat="1" applyFont="1" applyAlignment="1">
      <alignment vertical="center"/>
    </xf>
    <xf numFmtId="10" fontId="8" fillId="0" borderId="0" xfId="2" applyNumberFormat="1" applyFont="1"/>
    <xf numFmtId="0" fontId="11" fillId="0" borderId="0" xfId="0" applyFont="1"/>
    <xf numFmtId="2" fontId="8" fillId="0" borderId="4" xfId="0" applyNumberFormat="1" applyFont="1" applyBorder="1" applyAlignment="1">
      <alignment horizontal="center" vertical="center"/>
    </xf>
    <xf numFmtId="2" fontId="7" fillId="0" borderId="5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10" fontId="11" fillId="0" borderId="0" xfId="2" applyNumberFormat="1" applyFont="1" applyAlignment="1">
      <alignment horizontal="center"/>
    </xf>
    <xf numFmtId="0" fontId="6" fillId="0" borderId="0" xfId="0" applyFont="1"/>
    <xf numFmtId="0" fontId="2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4" fontId="13" fillId="0" borderId="0" xfId="0" applyNumberFormat="1" applyFont="1" applyAlignment="1">
      <alignment horizontal="center" vertical="center"/>
    </xf>
    <xf numFmtId="2" fontId="13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right" vertical="center"/>
    </xf>
    <xf numFmtId="0" fontId="2" fillId="0" borderId="16" xfId="0" applyFont="1" applyBorder="1" applyAlignment="1">
      <alignment vertical="center"/>
    </xf>
    <xf numFmtId="2" fontId="2" fillId="0" borderId="16" xfId="0" applyNumberFormat="1" applyFont="1" applyBorder="1" applyAlignment="1">
      <alignment vertical="center"/>
    </xf>
    <xf numFmtId="0" fontId="2" fillId="8" borderId="0" xfId="0" applyFont="1" applyFill="1" applyAlignment="1">
      <alignment horizontal="center" vertical="center" wrapText="1"/>
    </xf>
    <xf numFmtId="0" fontId="2" fillId="8" borderId="16" xfId="0" applyFont="1" applyFill="1" applyBorder="1" applyAlignment="1">
      <alignment vertical="center" wrapText="1"/>
    </xf>
    <xf numFmtId="0" fontId="2" fillId="8" borderId="0" xfId="0" applyFont="1" applyFill="1" applyAlignment="1">
      <alignment vertical="center" wrapText="1"/>
    </xf>
    <xf numFmtId="0" fontId="3" fillId="4" borderId="0" xfId="0" applyFont="1" applyFill="1" applyAlignment="1">
      <alignment horizontal="center" vertical="center" wrapText="1"/>
    </xf>
    <xf numFmtId="2" fontId="3" fillId="4" borderId="0" xfId="0" applyNumberFormat="1" applyFont="1" applyFill="1" applyAlignment="1">
      <alignment horizontal="center" vertical="center" wrapText="1"/>
    </xf>
    <xf numFmtId="49" fontId="2" fillId="4" borderId="0" xfId="0" applyNumberFormat="1" applyFont="1" applyFill="1" applyAlignment="1">
      <alignment horizontal="center" vertical="center" wrapText="1"/>
    </xf>
    <xf numFmtId="4" fontId="2" fillId="0" borderId="0" xfId="1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4" fontId="3" fillId="4" borderId="0" xfId="0" applyNumberFormat="1" applyFont="1" applyFill="1" applyAlignment="1">
      <alignment horizontal="center" vertical="center"/>
    </xf>
    <xf numFmtId="2" fontId="3" fillId="4" borderId="0" xfId="0" applyNumberFormat="1" applyFont="1" applyFill="1" applyAlignment="1">
      <alignment horizontal="center" vertical="center"/>
    </xf>
    <xf numFmtId="4" fontId="2" fillId="4" borderId="0" xfId="0" applyNumberFormat="1" applyFont="1" applyFill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/>
    </xf>
    <xf numFmtId="4" fontId="3" fillId="4" borderId="0" xfId="0" applyNumberFormat="1" applyFont="1" applyFill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4" fontId="4" fillId="2" borderId="0" xfId="0" applyNumberFormat="1" applyFont="1" applyFill="1" applyAlignment="1">
      <alignment horizontal="center" vertical="center" wrapText="1"/>
    </xf>
    <xf numFmtId="2" fontId="4" fillId="2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2" fontId="2" fillId="0" borderId="16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49" fontId="4" fillId="2" borderId="0" xfId="0" applyNumberFormat="1" applyFont="1" applyFill="1" applyAlignment="1">
      <alignment vertical="center" wrapText="1"/>
    </xf>
    <xf numFmtId="0" fontId="2" fillId="0" borderId="16" xfId="0" applyFont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2" fontId="2" fillId="3" borderId="0" xfId="0" applyNumberFormat="1" applyFont="1" applyFill="1" applyAlignment="1">
      <alignment vertical="center"/>
    </xf>
    <xf numFmtId="10" fontId="2" fillId="0" borderId="0" xfId="2" applyNumberFormat="1" applyFont="1" applyAlignment="1">
      <alignment vertical="center"/>
    </xf>
    <xf numFmtId="44" fontId="2" fillId="0" borderId="0" xfId="1" applyFont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right" vertical="center"/>
    </xf>
    <xf numFmtId="0" fontId="2" fillId="4" borderId="0" xfId="0" applyFont="1" applyFill="1" applyAlignment="1">
      <alignment vertical="center"/>
    </xf>
    <xf numFmtId="10" fontId="2" fillId="4" borderId="0" xfId="2" applyNumberFormat="1" applyFont="1" applyFill="1" applyAlignment="1">
      <alignment vertical="center"/>
    </xf>
    <xf numFmtId="2" fontId="2" fillId="4" borderId="0" xfId="0" applyNumberFormat="1" applyFont="1" applyFill="1" applyAlignment="1">
      <alignment vertical="center"/>
    </xf>
    <xf numFmtId="0" fontId="3" fillId="4" borderId="0" xfId="0" applyFont="1" applyFill="1" applyAlignment="1">
      <alignment horizontal="right" vertical="center"/>
    </xf>
    <xf numFmtId="44" fontId="2" fillId="4" borderId="0" xfId="1" applyFont="1" applyFill="1" applyAlignment="1">
      <alignment vertical="center"/>
    </xf>
    <xf numFmtId="10" fontId="2" fillId="3" borderId="0" xfId="2" applyNumberFormat="1" applyFont="1" applyFill="1" applyAlignment="1">
      <alignment vertical="center"/>
    </xf>
    <xf numFmtId="44" fontId="2" fillId="4" borderId="0" xfId="0" applyNumberFormat="1" applyFont="1" applyFill="1" applyAlignment="1">
      <alignment vertical="center"/>
    </xf>
    <xf numFmtId="0" fontId="3" fillId="0" borderId="0" xfId="0" applyFont="1" applyAlignment="1">
      <alignment horizontal="right" vertical="center"/>
    </xf>
    <xf numFmtId="4" fontId="2" fillId="4" borderId="0" xfId="0" applyNumberFormat="1" applyFont="1" applyFill="1" applyAlignment="1">
      <alignment vertical="center"/>
    </xf>
    <xf numFmtId="0" fontId="3" fillId="3" borderId="0" xfId="0" applyFont="1" applyFill="1" applyAlignment="1">
      <alignment vertical="center"/>
    </xf>
    <xf numFmtId="44" fontId="3" fillId="3" borderId="0" xfId="0" applyNumberFormat="1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44" fontId="4" fillId="2" borderId="0" xfId="0" applyNumberFormat="1" applyFont="1" applyFill="1" applyAlignment="1">
      <alignment vertical="center"/>
    </xf>
    <xf numFmtId="44" fontId="2" fillId="0" borderId="0" xfId="0" applyNumberFormat="1" applyFont="1" applyAlignment="1">
      <alignment vertical="center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2" fillId="4" borderId="0" xfId="0" applyFont="1" applyFill="1" applyAlignment="1">
      <alignment horizontal="justify" vertical="center"/>
    </xf>
    <xf numFmtId="0" fontId="2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2" fontId="8" fillId="0" borderId="22" xfId="0" applyNumberFormat="1" applyFont="1" applyBorder="1" applyAlignment="1">
      <alignment horizontal="center" vertical="center"/>
    </xf>
    <xf numFmtId="0" fontId="8" fillId="0" borderId="19" xfId="0" applyFont="1" applyBorder="1" applyAlignment="1">
      <alignment vertical="center"/>
    </xf>
    <xf numFmtId="2" fontId="8" fillId="0" borderId="23" xfId="0" applyNumberFormat="1" applyFont="1" applyBorder="1" applyAlignment="1">
      <alignment horizontal="center" vertical="center"/>
    </xf>
    <xf numFmtId="2" fontId="8" fillId="0" borderId="18" xfId="0" applyNumberFormat="1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0" xfId="0" applyFont="1" applyBorder="1" applyAlignment="1">
      <alignment vertical="center"/>
    </xf>
    <xf numFmtId="0" fontId="7" fillId="0" borderId="5" xfId="0" applyFont="1" applyBorder="1" applyAlignment="1">
      <alignment horizontal="right" vertical="center"/>
    </xf>
    <xf numFmtId="2" fontId="7" fillId="0" borderId="1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" fontId="9" fillId="7" borderId="1" xfId="0" applyNumberFormat="1" applyFont="1" applyFill="1" applyBorder="1" applyAlignment="1">
      <alignment horizontal="center" vertical="center"/>
    </xf>
    <xf numFmtId="2" fontId="9" fillId="7" borderId="2" xfId="0" applyNumberFormat="1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right" vertical="center" readingOrder="2"/>
    </xf>
    <xf numFmtId="0" fontId="2" fillId="8" borderId="0" xfId="0" applyFont="1" applyFill="1" applyAlignment="1">
      <alignment vertical="center"/>
    </xf>
    <xf numFmtId="0" fontId="2" fillId="8" borderId="0" xfId="0" applyFont="1" applyFill="1" applyAlignment="1">
      <alignment horizontal="right" vertical="center"/>
    </xf>
    <xf numFmtId="49" fontId="2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0" fontId="3" fillId="4" borderId="0" xfId="0" applyFont="1" applyFill="1" applyAlignment="1">
      <alignment horizontal="left" vertical="center" wrapText="1"/>
    </xf>
    <xf numFmtId="49" fontId="2" fillId="0" borderId="0" xfId="0" applyNumberFormat="1" applyFont="1" applyAlignment="1">
      <alignment vertical="center" wrapText="1"/>
    </xf>
    <xf numFmtId="49" fontId="3" fillId="4" borderId="0" xfId="0" applyNumberFormat="1" applyFont="1" applyFill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vertical="center" wrapText="1"/>
    </xf>
    <xf numFmtId="0" fontId="0" fillId="0" borderId="1" xfId="0" applyBorder="1"/>
    <xf numFmtId="0" fontId="2" fillId="0" borderId="0" xfId="0" applyFont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10" fontId="2" fillId="3" borderId="1" xfId="0" applyNumberFormat="1" applyFont="1" applyFill="1" applyBorder="1" applyAlignment="1">
      <alignment horizontal="center" vertical="center"/>
    </xf>
    <xf numFmtId="165" fontId="2" fillId="3" borderId="2" xfId="0" applyNumberFormat="1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vertical="center"/>
    </xf>
    <xf numFmtId="0" fontId="2" fillId="3" borderId="30" xfId="0" applyFont="1" applyFill="1" applyBorder="1" applyAlignment="1">
      <alignment vertical="center"/>
    </xf>
    <xf numFmtId="0" fontId="2" fillId="3" borderId="25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10" fontId="2" fillId="4" borderId="1" xfId="0" applyNumberFormat="1" applyFont="1" applyFill="1" applyBorder="1" applyAlignment="1">
      <alignment horizontal="center" vertical="center"/>
    </xf>
    <xf numFmtId="165" fontId="2" fillId="4" borderId="2" xfId="0" applyNumberFormat="1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vertical="center"/>
    </xf>
    <xf numFmtId="0" fontId="2" fillId="4" borderId="17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0" fontId="2" fillId="5" borderId="31" xfId="0" applyFont="1" applyFill="1" applyBorder="1" applyAlignment="1">
      <alignment vertical="center"/>
    </xf>
    <xf numFmtId="0" fontId="2" fillId="5" borderId="17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4" borderId="32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/>
    </xf>
    <xf numFmtId="0" fontId="2" fillId="6" borderId="7" xfId="0" applyFont="1" applyFill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6" borderId="10" xfId="0" applyFont="1" applyFill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165" fontId="2" fillId="3" borderId="1" xfId="0" applyNumberFormat="1" applyFont="1" applyFill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3" borderId="33" xfId="0" applyFont="1" applyFill="1" applyBorder="1" applyAlignment="1">
      <alignment vertical="center"/>
    </xf>
    <xf numFmtId="0" fontId="2" fillId="3" borderId="34" xfId="0" applyFont="1" applyFill="1" applyBorder="1" applyAlignment="1">
      <alignment vertical="center"/>
    </xf>
    <xf numFmtId="165" fontId="2" fillId="4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4" borderId="29" xfId="0" applyFont="1" applyFill="1" applyBorder="1" applyAlignment="1">
      <alignment vertical="center"/>
    </xf>
    <xf numFmtId="0" fontId="2" fillId="4" borderId="30" xfId="0" applyFont="1" applyFill="1" applyBorder="1" applyAlignment="1">
      <alignment vertical="center"/>
    </xf>
    <xf numFmtId="0" fontId="2" fillId="4" borderId="25" xfId="0" applyFont="1" applyFill="1" applyBorder="1" applyAlignment="1">
      <alignment vertical="center"/>
    </xf>
    <xf numFmtId="165" fontId="2" fillId="0" borderId="1" xfId="0" applyNumberFormat="1" applyFont="1" applyBorder="1" applyAlignment="1">
      <alignment horizontal="center" vertical="center"/>
    </xf>
    <xf numFmtId="0" fontId="13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2" fillId="6" borderId="3" xfId="0" applyFont="1" applyFill="1" applyBorder="1" applyAlignment="1">
      <alignment vertical="center"/>
    </xf>
    <xf numFmtId="0" fontId="2" fillId="4" borderId="7" xfId="0" applyFont="1" applyFill="1" applyBorder="1" applyAlignment="1">
      <alignment vertical="center"/>
    </xf>
    <xf numFmtId="0" fontId="2" fillId="5" borderId="7" xfId="0" applyFont="1" applyFill="1" applyBorder="1" applyAlignment="1">
      <alignment vertical="center"/>
    </xf>
    <xf numFmtId="0" fontId="2" fillId="6" borderId="9" xfId="0" applyFont="1" applyFill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4" borderId="25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3" xfId="0" applyBorder="1" applyAlignment="1">
      <alignment vertical="center"/>
    </xf>
    <xf numFmtId="0" fontId="2" fillId="6" borderId="22" xfId="0" applyFont="1" applyFill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6" borderId="12" xfId="0" applyFont="1" applyFill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10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44" fontId="2" fillId="0" borderId="0" xfId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164" fontId="8" fillId="0" borderId="23" xfId="0" applyNumberFormat="1" applyFont="1" applyBorder="1" applyAlignment="1" applyProtection="1">
      <alignment horizontal="center" vertical="center"/>
      <protection locked="0"/>
    </xf>
    <xf numFmtId="2" fontId="8" fillId="0" borderId="23" xfId="0" applyNumberFormat="1" applyFont="1" applyBorder="1" applyAlignment="1" applyProtection="1">
      <alignment horizontal="center" vertical="center"/>
      <protection locked="0"/>
    </xf>
    <xf numFmtId="2" fontId="8" fillId="0" borderId="4" xfId="0" applyNumberFormat="1" applyFont="1" applyBorder="1" applyAlignment="1" applyProtection="1">
      <alignment horizontal="center" vertical="center"/>
      <protection locked="0"/>
    </xf>
    <xf numFmtId="2" fontId="8" fillId="0" borderId="22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 wrapText="1"/>
    </xf>
    <xf numFmtId="0" fontId="2" fillId="8" borderId="21" xfId="0" applyFont="1" applyFill="1" applyBorder="1" applyAlignment="1" applyProtection="1">
      <alignment horizontal="center" vertical="center" wrapText="1"/>
      <protection locked="0"/>
    </xf>
    <xf numFmtId="0" fontId="2" fillId="8" borderId="0" xfId="0" applyFont="1" applyFill="1" applyAlignment="1">
      <alignment horizontal="left" vertical="center" wrapText="1"/>
    </xf>
    <xf numFmtId="0" fontId="2" fillId="8" borderId="16" xfId="0" applyFont="1" applyFill="1" applyBorder="1" applyAlignment="1">
      <alignment horizontal="left" vertical="center" wrapText="1"/>
    </xf>
    <xf numFmtId="0" fontId="8" fillId="0" borderId="17" xfId="4" applyFont="1" applyBorder="1" applyAlignment="1">
      <alignment horizontal="left" vertical="center" wrapText="1"/>
    </xf>
    <xf numFmtId="0" fontId="0" fillId="0" borderId="17" xfId="0" applyBorder="1"/>
    <xf numFmtId="0" fontId="9" fillId="7" borderId="3" xfId="0" applyFont="1" applyFill="1" applyBorder="1" applyAlignment="1">
      <alignment horizontal="center" vertical="center"/>
    </xf>
    <xf numFmtId="0" fontId="0" fillId="0" borderId="1" xfId="0" applyBorder="1"/>
    <xf numFmtId="0" fontId="9" fillId="7" borderId="1" xfId="0" applyFont="1" applyFill="1" applyBorder="1" applyAlignment="1">
      <alignment horizontal="center" vertical="center"/>
    </xf>
    <xf numFmtId="0" fontId="0" fillId="0" borderId="2" xfId="0" applyBorder="1"/>
    <xf numFmtId="0" fontId="9" fillId="7" borderId="3" xfId="0" applyFont="1" applyFill="1" applyBorder="1" applyAlignment="1">
      <alignment horizontal="right" vertical="center"/>
    </xf>
    <xf numFmtId="0" fontId="10" fillId="0" borderId="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0" fillId="0" borderId="4" xfId="0" applyBorder="1"/>
    <xf numFmtId="0" fontId="4" fillId="2" borderId="0" xfId="0" applyFont="1" applyFill="1" applyAlignment="1">
      <alignment horizontal="center" vertical="center" wrapText="1"/>
    </xf>
    <xf numFmtId="0" fontId="2" fillId="8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0" fillId="0" borderId="0" xfId="0" applyAlignment="1">
      <alignment horizontal="right"/>
    </xf>
    <xf numFmtId="0" fontId="3" fillId="3" borderId="0" xfId="0" applyFont="1" applyFill="1" applyAlignment="1">
      <alignment horizontal="right" vertical="center"/>
    </xf>
    <xf numFmtId="0" fontId="2" fillId="8" borderId="0" xfId="0" applyFont="1" applyFill="1" applyAlignment="1">
      <alignment vertical="center" wrapText="1"/>
    </xf>
    <xf numFmtId="0" fontId="2" fillId="8" borderId="16" xfId="0" applyFont="1" applyFill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49" fontId="2" fillId="0" borderId="16" xfId="0" applyNumberFormat="1" applyFont="1" applyBorder="1" applyAlignment="1">
      <alignment horizontal="center" vertical="center"/>
    </xf>
    <xf numFmtId="4" fontId="2" fillId="0" borderId="16" xfId="0" applyNumberFormat="1" applyFont="1" applyBorder="1" applyAlignment="1">
      <alignment horizontal="center" vertical="center"/>
    </xf>
    <xf numFmtId="2" fontId="2" fillId="0" borderId="16" xfId="0" applyNumberFormat="1" applyFont="1" applyBorder="1" applyAlignment="1">
      <alignment horizontal="center" vertical="center"/>
    </xf>
    <xf numFmtId="4" fontId="2" fillId="0" borderId="16" xfId="0" applyNumberFormat="1" applyFont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right" vertical="center"/>
    </xf>
    <xf numFmtId="0" fontId="2" fillId="4" borderId="16" xfId="0" applyFont="1" applyFill="1" applyBorder="1" applyAlignment="1">
      <alignment horizontal="justify" vertical="center"/>
    </xf>
    <xf numFmtId="0" fontId="2" fillId="4" borderId="16" xfId="0" applyFont="1" applyFill="1" applyBorder="1" applyAlignment="1">
      <alignment vertical="center"/>
    </xf>
    <xf numFmtId="10" fontId="2" fillId="4" borderId="16" xfId="2" applyNumberFormat="1" applyFont="1" applyFill="1" applyBorder="1" applyAlignment="1">
      <alignment vertical="center"/>
    </xf>
    <xf numFmtId="2" fontId="2" fillId="4" borderId="16" xfId="0" applyNumberFormat="1" applyFont="1" applyFill="1" applyBorder="1" applyAlignment="1">
      <alignment vertical="center"/>
    </xf>
    <xf numFmtId="0" fontId="3" fillId="4" borderId="16" xfId="0" applyFont="1" applyFill="1" applyBorder="1" applyAlignment="1">
      <alignment horizontal="right" vertical="center"/>
    </xf>
    <xf numFmtId="44" fontId="2" fillId="4" borderId="16" xfId="0" applyNumberFormat="1" applyFont="1" applyFill="1" applyBorder="1" applyAlignment="1">
      <alignment vertical="center"/>
    </xf>
    <xf numFmtId="0" fontId="2" fillId="0" borderId="16" xfId="0" applyFont="1" applyBorder="1" applyAlignment="1">
      <alignment horizontal="justify" vertical="center"/>
    </xf>
    <xf numFmtId="10" fontId="2" fillId="0" borderId="16" xfId="2" applyNumberFormat="1" applyFont="1" applyBorder="1" applyAlignment="1">
      <alignment vertical="center"/>
    </xf>
    <xf numFmtId="44" fontId="2" fillId="0" borderId="16" xfId="1" applyFont="1" applyBorder="1" applyAlignment="1" applyProtection="1">
      <alignment vertical="center"/>
      <protection locked="0"/>
    </xf>
    <xf numFmtId="44" fontId="2" fillId="0" borderId="16" xfId="1" applyFont="1" applyBorder="1" applyAlignment="1">
      <alignment vertical="center"/>
    </xf>
  </cellXfs>
  <cellStyles count="7">
    <cellStyle name="Moeda" xfId="1" builtinId="4"/>
    <cellStyle name="Moeda 2" xfId="3" xr:uid="{00000000-0005-0000-0000-000003000000}"/>
    <cellStyle name="Moeda 2 2" xfId="6" xr:uid="{00000000-0005-0000-0000-000006000000}"/>
    <cellStyle name="Moeda 3" xfId="5" xr:uid="{00000000-0005-0000-0000-000005000000}"/>
    <cellStyle name="Normal" xfId="0" builtinId="0"/>
    <cellStyle name="Normal 3" xfId="4" xr:uid="{00000000-0005-0000-0000-000004000000}"/>
    <cellStyle name="Porcentagem" xfId="2" builtinId="5"/>
  </cellStyles>
  <dxfs count="13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D8ECDB"/>
      <color rgb="FF92CA9A"/>
      <color rgb="FF41894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4791529</xdr:colOff>
      <xdr:row>0</xdr:row>
      <xdr:rowOff>117927</xdr:rowOff>
    </xdr:from>
    <xdr:to>
      <xdr:col>1</xdr:col>
      <xdr:colOff>388258</xdr:colOff>
      <xdr:row>0</xdr:row>
      <xdr:rowOff>1266370</xdr:rowOff>
    </xdr:to>
    <xdr:pic>
      <xdr:nvPicPr>
        <xdr:cNvPr id="3" name="Imagem 1" descr="prefeitura.png">
          <a:extLst>
            <a:ext uri="{FF2B5EF4-FFF2-40B4-BE49-F238E27FC236}">
              <a16:creationId xmlns:a16="http://schemas.microsoft.com/office/drawing/2014/main" id="{DB11E698-0137-4F38-B06E-4F382224C2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529" y="117927"/>
          <a:ext cx="734786" cy="1148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1132114</xdr:colOff>
      <xdr:row>0</xdr:row>
      <xdr:rowOff>97974</xdr:rowOff>
    </xdr:from>
    <xdr:to>
      <xdr:col>4</xdr:col>
      <xdr:colOff>1866900</xdr:colOff>
      <xdr:row>0</xdr:row>
      <xdr:rowOff>1246417</xdr:rowOff>
    </xdr:to>
    <xdr:pic>
      <xdr:nvPicPr>
        <xdr:cNvPr id="3" name="Imagem 1" descr="prefeitura.png">
          <a:extLst>
            <a:ext uri="{FF2B5EF4-FFF2-40B4-BE49-F238E27FC236}">
              <a16:creationId xmlns:a16="http://schemas.microsoft.com/office/drawing/2014/main" id="{67C32906-3B13-4C39-A9E6-D44936DC7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1528" y="97974"/>
          <a:ext cx="734786" cy="1148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1792941</xdr:colOff>
      <xdr:row>0</xdr:row>
      <xdr:rowOff>64030</xdr:rowOff>
    </xdr:from>
    <xdr:to>
      <xdr:col>0</xdr:col>
      <xdr:colOff>2527727</xdr:colOff>
      <xdr:row>0</xdr:row>
      <xdr:rowOff>1212473</xdr:rowOff>
    </xdr:to>
    <xdr:pic>
      <xdr:nvPicPr>
        <xdr:cNvPr id="3" name="Imagem 1" descr="prefeitura.png">
          <a:extLst>
            <a:ext uri="{FF2B5EF4-FFF2-40B4-BE49-F238E27FC236}">
              <a16:creationId xmlns:a16="http://schemas.microsoft.com/office/drawing/2014/main" id="{72CC63DB-89D4-4A30-B703-D8536525B7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1" y="64030"/>
          <a:ext cx="734786" cy="1148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72"/>
  <sheetViews>
    <sheetView tabSelected="1" topLeftCell="A47" zoomScaleNormal="100" zoomScaleSheetLayoutView="85" workbookViewId="0">
      <selection activeCell="A41" sqref="A41"/>
    </sheetView>
  </sheetViews>
  <sheetFormatPr defaultColWidth="15.69140625" defaultRowHeight="14.15" x14ac:dyDescent="0.4"/>
  <cols>
    <col min="1" max="1" width="72.61328125" style="27" bestFit="1" customWidth="1"/>
    <col min="2" max="2" width="26.23046875" style="27" customWidth="1"/>
    <col min="3" max="3" width="15.69140625" style="7" customWidth="1"/>
    <col min="4" max="4" width="18.69140625" style="7" customWidth="1"/>
    <col min="5" max="5" width="15.69140625" style="7" customWidth="1"/>
    <col min="6" max="6" width="18.53515625" style="8" customWidth="1"/>
    <col min="7" max="8" width="15.69140625" style="34" customWidth="1"/>
    <col min="9" max="9" width="15.69140625" style="117" customWidth="1"/>
    <col min="10" max="16384" width="15.69140625" style="11"/>
  </cols>
  <sheetData>
    <row r="1" spans="1:17" s="39" customFormat="1" ht="100" customHeight="1" x14ac:dyDescent="0.4">
      <c r="A1" s="224" t="s">
        <v>477</v>
      </c>
      <c r="B1" s="224"/>
      <c r="C1" s="224"/>
      <c r="D1" s="224"/>
      <c r="E1" s="224"/>
      <c r="F1" s="224"/>
      <c r="G1" s="224"/>
      <c r="H1" s="224"/>
      <c r="I1" s="224"/>
      <c r="J1" s="2"/>
      <c r="K1" s="2"/>
      <c r="L1" s="2"/>
      <c r="M1" s="2"/>
      <c r="N1" s="2"/>
      <c r="O1" s="2"/>
      <c r="P1" s="2"/>
      <c r="Q1" s="2"/>
    </row>
    <row r="2" spans="1:17" s="39" customFormat="1" ht="14.6" x14ac:dyDescent="0.4">
      <c r="J2" s="2"/>
      <c r="K2" s="2"/>
      <c r="L2" s="2"/>
      <c r="M2" s="2"/>
      <c r="N2" s="2"/>
      <c r="O2" s="2"/>
      <c r="P2" s="2"/>
      <c r="Q2" s="2"/>
    </row>
    <row r="3" spans="1:17" s="39" customFormat="1" ht="14.15" customHeight="1" x14ac:dyDescent="0.4">
      <c r="A3" s="211" t="s">
        <v>479</v>
      </c>
      <c r="B3" s="211"/>
      <c r="C3" s="211"/>
      <c r="D3" s="211"/>
      <c r="E3" s="211"/>
      <c r="F3" s="211"/>
      <c r="G3" s="211"/>
      <c r="H3" s="211"/>
      <c r="I3" s="211"/>
      <c r="J3" s="2"/>
      <c r="K3" s="2"/>
      <c r="L3" s="2"/>
      <c r="M3" s="2"/>
      <c r="N3" s="2"/>
      <c r="O3" s="2"/>
      <c r="P3" s="2"/>
      <c r="Q3" s="2"/>
    </row>
    <row r="4" spans="1:17" s="39" customFormat="1" ht="14.15" customHeight="1" x14ac:dyDescent="0.4">
      <c r="A4" s="40" t="s">
        <v>554</v>
      </c>
      <c r="B4" s="40"/>
      <c r="C4" s="40"/>
      <c r="D4" s="40"/>
      <c r="E4" s="40"/>
      <c r="F4" s="40"/>
      <c r="G4" s="40"/>
      <c r="H4" s="40"/>
      <c r="I4" s="110" t="s">
        <v>555</v>
      </c>
      <c r="J4" s="2"/>
      <c r="K4" s="2"/>
      <c r="L4" s="2"/>
      <c r="M4" s="2"/>
      <c r="N4" s="2"/>
      <c r="O4" s="2"/>
      <c r="P4" s="2"/>
      <c r="Q4" s="2"/>
    </row>
    <row r="5" spans="1:17" s="39" customFormat="1" ht="14.15" customHeight="1" x14ac:dyDescent="0.4">
      <c r="A5" s="41"/>
      <c r="B5" s="41"/>
      <c r="C5" s="41"/>
      <c r="D5" s="41"/>
      <c r="E5" s="41"/>
      <c r="F5" s="41"/>
      <c r="G5" s="41"/>
      <c r="H5" s="41"/>
      <c r="I5" s="41"/>
      <c r="J5" s="2"/>
      <c r="K5" s="2"/>
      <c r="L5" s="2"/>
      <c r="M5" s="2"/>
      <c r="N5" s="2"/>
      <c r="O5" s="2"/>
      <c r="P5" s="2"/>
      <c r="Q5" s="2"/>
    </row>
    <row r="6" spans="1:17" ht="30" customHeight="1" x14ac:dyDescent="0.4">
      <c r="A6" s="223" t="s">
        <v>481</v>
      </c>
      <c r="B6" s="223"/>
      <c r="C6" s="223"/>
      <c r="D6" s="223"/>
      <c r="E6" s="223"/>
      <c r="F6" s="223"/>
      <c r="G6" s="223"/>
      <c r="H6" s="223"/>
      <c r="I6" s="223"/>
      <c r="J6" s="2"/>
      <c r="K6" s="2"/>
      <c r="L6" s="2"/>
      <c r="M6" s="2"/>
      <c r="N6" s="2"/>
      <c r="O6" s="2"/>
      <c r="P6" s="2"/>
      <c r="Q6" s="2"/>
    </row>
    <row r="7" spans="1:17" s="6" customFormat="1" ht="50.05" customHeight="1" x14ac:dyDescent="0.4">
      <c r="A7" s="12" t="s">
        <v>51</v>
      </c>
      <c r="B7" s="12" t="s">
        <v>531</v>
      </c>
      <c r="C7" s="12" t="s">
        <v>1</v>
      </c>
      <c r="D7" s="12" t="s">
        <v>2</v>
      </c>
      <c r="E7" s="12" t="s">
        <v>3</v>
      </c>
      <c r="F7" s="12" t="s">
        <v>4</v>
      </c>
      <c r="G7" s="12" t="s">
        <v>461</v>
      </c>
      <c r="H7" s="12" t="s">
        <v>462</v>
      </c>
      <c r="I7" s="12" t="s">
        <v>460</v>
      </c>
    </row>
    <row r="8" spans="1:17" x14ac:dyDescent="0.4">
      <c r="A8" s="116" t="s">
        <v>52</v>
      </c>
      <c r="B8" s="42"/>
      <c r="C8" s="42"/>
      <c r="D8" s="42"/>
      <c r="E8" s="42"/>
      <c r="F8" s="43"/>
      <c r="G8" s="44"/>
      <c r="H8" s="44"/>
      <c r="I8" s="44"/>
    </row>
    <row r="9" spans="1:17" ht="14.6" x14ac:dyDescent="0.4">
      <c r="A9" s="27" t="s">
        <v>5</v>
      </c>
      <c r="B9" s="113" t="s">
        <v>525</v>
      </c>
      <c r="C9" s="9">
        <v>25</v>
      </c>
      <c r="D9" s="10">
        <v>12</v>
      </c>
      <c r="E9" s="9">
        <f t="shared" ref="E9:E17" si="0">C9*D9</f>
        <v>300</v>
      </c>
      <c r="F9" s="45">
        <v>12</v>
      </c>
      <c r="G9" s="34" t="s">
        <v>8</v>
      </c>
      <c r="H9" s="34" t="s">
        <v>7</v>
      </c>
      <c r="I9" s="34" t="s">
        <v>7</v>
      </c>
      <c r="J9" s="7"/>
      <c r="L9" s="1"/>
    </row>
    <row r="10" spans="1:17" ht="14.6" x14ac:dyDescent="0.4">
      <c r="A10" s="5" t="s">
        <v>6</v>
      </c>
      <c r="B10" s="113" t="s">
        <v>490</v>
      </c>
      <c r="C10" s="9">
        <v>347</v>
      </c>
      <c r="D10" s="10">
        <v>14</v>
      </c>
      <c r="E10" s="9">
        <f t="shared" si="0"/>
        <v>4858</v>
      </c>
      <c r="F10" s="45">
        <v>15</v>
      </c>
      <c r="I10" s="34" t="s">
        <v>8</v>
      </c>
      <c r="J10" s="7"/>
      <c r="L10" s="1"/>
    </row>
    <row r="11" spans="1:17" ht="14.6" x14ac:dyDescent="0.4">
      <c r="A11" s="11" t="s">
        <v>16</v>
      </c>
      <c r="B11" s="113" t="s">
        <v>491</v>
      </c>
      <c r="C11" s="9">
        <v>110</v>
      </c>
      <c r="D11" s="10">
        <v>9</v>
      </c>
      <c r="E11" s="9">
        <f t="shared" si="0"/>
        <v>990</v>
      </c>
      <c r="F11" s="45">
        <v>9</v>
      </c>
      <c r="G11" s="34" t="s">
        <v>8</v>
      </c>
      <c r="H11" s="34" t="s">
        <v>8</v>
      </c>
      <c r="I11" s="34" t="s">
        <v>8</v>
      </c>
      <c r="J11" s="6"/>
      <c r="K11" s="6"/>
      <c r="L11" s="1"/>
    </row>
    <row r="12" spans="1:17" ht="14.6" x14ac:dyDescent="0.4">
      <c r="A12" s="11" t="s">
        <v>22</v>
      </c>
      <c r="B12" s="113" t="s">
        <v>492</v>
      </c>
      <c r="C12" s="9">
        <v>150</v>
      </c>
      <c r="D12" s="10">
        <v>12</v>
      </c>
      <c r="E12" s="9">
        <f t="shared" si="0"/>
        <v>1800</v>
      </c>
      <c r="F12" s="45">
        <v>10</v>
      </c>
      <c r="G12" s="34" t="s">
        <v>8</v>
      </c>
      <c r="H12" s="34" t="s">
        <v>10</v>
      </c>
      <c r="I12" s="34" t="s">
        <v>7</v>
      </c>
      <c r="J12" s="7"/>
      <c r="L12" s="1"/>
    </row>
    <row r="13" spans="1:17" s="6" customFormat="1" ht="14.6" x14ac:dyDescent="0.4">
      <c r="A13" s="11" t="s">
        <v>27</v>
      </c>
      <c r="B13" s="113" t="s">
        <v>493</v>
      </c>
      <c r="C13" s="9">
        <v>182</v>
      </c>
      <c r="D13" s="10">
        <v>9</v>
      </c>
      <c r="E13" s="9">
        <f t="shared" si="0"/>
        <v>1638</v>
      </c>
      <c r="F13" s="45">
        <v>9</v>
      </c>
      <c r="G13" s="34" t="s">
        <v>8</v>
      </c>
      <c r="H13" s="34" t="s">
        <v>8</v>
      </c>
      <c r="I13" s="34" t="s">
        <v>8</v>
      </c>
      <c r="L13" s="1"/>
    </row>
    <row r="14" spans="1:17" ht="14.6" x14ac:dyDescent="0.4">
      <c r="A14" s="11" t="s">
        <v>32</v>
      </c>
      <c r="B14" s="113" t="s">
        <v>494</v>
      </c>
      <c r="C14" s="9">
        <v>480</v>
      </c>
      <c r="D14" s="10">
        <v>20</v>
      </c>
      <c r="E14" s="9">
        <f t="shared" si="0"/>
        <v>9600</v>
      </c>
      <c r="F14" s="46">
        <v>20</v>
      </c>
      <c r="G14" s="34" t="s">
        <v>8</v>
      </c>
      <c r="H14" s="34" t="s">
        <v>8</v>
      </c>
      <c r="I14" s="34" t="s">
        <v>7</v>
      </c>
      <c r="J14" s="7"/>
      <c r="L14" s="1"/>
    </row>
    <row r="15" spans="1:17" s="6" customFormat="1" ht="14.6" x14ac:dyDescent="0.4">
      <c r="A15" s="11" t="s">
        <v>33</v>
      </c>
      <c r="B15" s="113" t="s">
        <v>495</v>
      </c>
      <c r="C15" s="9">
        <v>277</v>
      </c>
      <c r="D15" s="10">
        <v>10</v>
      </c>
      <c r="E15" s="9">
        <f t="shared" si="0"/>
        <v>2770</v>
      </c>
      <c r="F15" s="46">
        <v>10</v>
      </c>
      <c r="G15" s="34" t="s">
        <v>8</v>
      </c>
      <c r="H15" s="34" t="s">
        <v>8</v>
      </c>
      <c r="I15" s="34" t="s">
        <v>8</v>
      </c>
      <c r="J15" s="7"/>
      <c r="K15" s="11"/>
      <c r="L15" s="1"/>
    </row>
    <row r="16" spans="1:17" s="6" customFormat="1" ht="14.6" x14ac:dyDescent="0.4">
      <c r="A16" s="11" t="s">
        <v>36</v>
      </c>
      <c r="B16" s="113" t="s">
        <v>496</v>
      </c>
      <c r="C16" s="9">
        <v>315</v>
      </c>
      <c r="D16" s="10">
        <v>12</v>
      </c>
      <c r="E16" s="9">
        <f t="shared" si="0"/>
        <v>3780</v>
      </c>
      <c r="F16" s="45">
        <v>9</v>
      </c>
      <c r="G16" s="34" t="s">
        <v>8</v>
      </c>
      <c r="H16" s="34" t="s">
        <v>8</v>
      </c>
      <c r="I16" s="34" t="s">
        <v>7</v>
      </c>
      <c r="L16" s="1"/>
    </row>
    <row r="17" spans="1:12" s="6" customFormat="1" ht="14.6" x14ac:dyDescent="0.4">
      <c r="A17" s="11" t="s">
        <v>45</v>
      </c>
      <c r="B17" s="113" t="s">
        <v>497</v>
      </c>
      <c r="C17" s="9">
        <v>1000</v>
      </c>
      <c r="D17" s="10">
        <v>12</v>
      </c>
      <c r="E17" s="9">
        <f t="shared" si="0"/>
        <v>12000</v>
      </c>
      <c r="F17" s="45">
        <v>12</v>
      </c>
      <c r="G17" s="34" t="s">
        <v>7</v>
      </c>
      <c r="H17" s="34" t="s">
        <v>7</v>
      </c>
      <c r="I17" s="34" t="s">
        <v>7</v>
      </c>
      <c r="L17" s="1"/>
    </row>
    <row r="18" spans="1:12" x14ac:dyDescent="0.4">
      <c r="A18" s="11"/>
      <c r="B18" s="113"/>
      <c r="C18" s="9"/>
      <c r="D18" s="10"/>
      <c r="E18" s="9"/>
      <c r="F18" s="46"/>
    </row>
    <row r="19" spans="1:12" ht="15" customHeight="1" x14ac:dyDescent="0.4">
      <c r="A19" s="116" t="s">
        <v>53</v>
      </c>
      <c r="B19" s="114"/>
      <c r="C19" s="47"/>
      <c r="D19" s="48"/>
      <c r="E19" s="47"/>
      <c r="F19" s="49"/>
      <c r="G19" s="44"/>
      <c r="H19" s="44"/>
      <c r="I19" s="44"/>
    </row>
    <row r="20" spans="1:12" ht="14.6" x14ac:dyDescent="0.4">
      <c r="A20" s="11" t="s">
        <v>12</v>
      </c>
      <c r="B20" s="113" t="s">
        <v>498</v>
      </c>
      <c r="C20" s="9">
        <v>50</v>
      </c>
      <c r="D20" s="10">
        <v>9</v>
      </c>
      <c r="E20" s="9">
        <f t="shared" ref="E20:E27" si="1">C20*D20</f>
        <v>450</v>
      </c>
      <c r="F20" s="46">
        <v>6</v>
      </c>
      <c r="G20" s="34" t="s">
        <v>8</v>
      </c>
      <c r="H20" s="34" t="s">
        <v>8</v>
      </c>
      <c r="I20" s="34" t="s">
        <v>8</v>
      </c>
      <c r="J20" s="6"/>
      <c r="K20" s="1"/>
    </row>
    <row r="21" spans="1:12" s="6" customFormat="1" ht="14.6" x14ac:dyDescent="0.4">
      <c r="A21" s="11" t="s">
        <v>468</v>
      </c>
      <c r="B21" s="113" t="s">
        <v>499</v>
      </c>
      <c r="C21" s="9">
        <v>120</v>
      </c>
      <c r="D21" s="10">
        <v>14</v>
      </c>
      <c r="E21" s="9">
        <f t="shared" si="1"/>
        <v>1680</v>
      </c>
      <c r="F21" s="46">
        <v>0</v>
      </c>
      <c r="G21" s="50" t="s">
        <v>7</v>
      </c>
      <c r="H21" s="34" t="s">
        <v>7</v>
      </c>
      <c r="I21" s="34" t="s">
        <v>8</v>
      </c>
      <c r="J21" s="11"/>
      <c r="K21" s="1"/>
    </row>
    <row r="22" spans="1:12" s="6" customFormat="1" ht="14.6" x14ac:dyDescent="0.4">
      <c r="A22" s="11" t="s">
        <v>21</v>
      </c>
      <c r="B22" s="113" t="s">
        <v>500</v>
      </c>
      <c r="C22" s="9">
        <v>150</v>
      </c>
      <c r="D22" s="10">
        <v>7</v>
      </c>
      <c r="E22" s="9">
        <f t="shared" si="1"/>
        <v>1050</v>
      </c>
      <c r="F22" s="46">
        <v>7</v>
      </c>
      <c r="G22" s="34" t="s">
        <v>8</v>
      </c>
      <c r="H22" s="34" t="s">
        <v>8</v>
      </c>
      <c r="I22" s="34" t="s">
        <v>8</v>
      </c>
      <c r="J22" s="11"/>
      <c r="K22" s="1"/>
    </row>
    <row r="23" spans="1:12" s="6" customFormat="1" ht="14.6" x14ac:dyDescent="0.4">
      <c r="A23" s="11" t="s">
        <v>28</v>
      </c>
      <c r="B23" s="113" t="s">
        <v>501</v>
      </c>
      <c r="C23" s="9">
        <v>184.9</v>
      </c>
      <c r="D23" s="10">
        <v>12</v>
      </c>
      <c r="E23" s="9">
        <f t="shared" si="1"/>
        <v>2218.8000000000002</v>
      </c>
      <c r="F23" s="46">
        <v>7</v>
      </c>
      <c r="G23" s="34" t="s">
        <v>7</v>
      </c>
      <c r="H23" s="34" t="s">
        <v>7</v>
      </c>
      <c r="I23" s="34" t="s">
        <v>8</v>
      </c>
      <c r="K23" s="1"/>
    </row>
    <row r="24" spans="1:12" s="33" customFormat="1" ht="14.6" x14ac:dyDescent="0.4">
      <c r="A24" s="11" t="s">
        <v>34</v>
      </c>
      <c r="B24" s="113" t="s">
        <v>499</v>
      </c>
      <c r="C24" s="9">
        <v>280</v>
      </c>
      <c r="D24" s="10">
        <v>10</v>
      </c>
      <c r="E24" s="9">
        <f t="shared" si="1"/>
        <v>2800</v>
      </c>
      <c r="F24" s="46">
        <v>10</v>
      </c>
      <c r="G24" s="34" t="s">
        <v>7</v>
      </c>
      <c r="H24" s="34" t="s">
        <v>7</v>
      </c>
      <c r="I24" s="34" t="s">
        <v>7</v>
      </c>
      <c r="J24" s="6"/>
      <c r="K24" s="1"/>
    </row>
    <row r="25" spans="1:12" s="6" customFormat="1" ht="14.6" x14ac:dyDescent="0.4">
      <c r="A25" s="11" t="s">
        <v>37</v>
      </c>
      <c r="B25" s="113" t="s">
        <v>502</v>
      </c>
      <c r="C25" s="9">
        <v>340</v>
      </c>
      <c r="D25" s="10">
        <v>12</v>
      </c>
      <c r="E25" s="9">
        <f t="shared" si="1"/>
        <v>4080</v>
      </c>
      <c r="F25" s="46">
        <v>7</v>
      </c>
      <c r="G25" s="34" t="s">
        <v>7</v>
      </c>
      <c r="H25" s="34" t="s">
        <v>7</v>
      </c>
      <c r="I25" s="34" t="s">
        <v>8</v>
      </c>
      <c r="K25" s="1"/>
    </row>
    <row r="26" spans="1:12" s="6" customFormat="1" ht="14.6" x14ac:dyDescent="0.4">
      <c r="A26" s="11" t="s">
        <v>39</v>
      </c>
      <c r="B26" s="113" t="s">
        <v>503</v>
      </c>
      <c r="C26" s="9">
        <v>494</v>
      </c>
      <c r="D26" s="10">
        <v>12</v>
      </c>
      <c r="E26" s="9">
        <f t="shared" si="1"/>
        <v>5928</v>
      </c>
      <c r="F26" s="46">
        <v>7</v>
      </c>
      <c r="G26" s="34" t="s">
        <v>7</v>
      </c>
      <c r="H26" s="34" t="s">
        <v>7</v>
      </c>
      <c r="I26" s="34" t="s">
        <v>7</v>
      </c>
      <c r="K26" s="1"/>
    </row>
    <row r="27" spans="1:12" s="6" customFormat="1" ht="14.6" x14ac:dyDescent="0.4">
      <c r="A27" s="11" t="s">
        <v>44</v>
      </c>
      <c r="B27" s="113" t="s">
        <v>504</v>
      </c>
      <c r="C27" s="9">
        <v>900</v>
      </c>
      <c r="D27" s="10">
        <v>12</v>
      </c>
      <c r="E27" s="9">
        <f t="shared" si="1"/>
        <v>10800</v>
      </c>
      <c r="F27" s="46">
        <v>12</v>
      </c>
      <c r="G27" s="34" t="s">
        <v>7</v>
      </c>
      <c r="H27" s="34" t="s">
        <v>10</v>
      </c>
      <c r="I27" s="34" t="s">
        <v>7</v>
      </c>
      <c r="J27" s="11"/>
      <c r="K27" s="1"/>
    </row>
    <row r="28" spans="1:12" ht="15" customHeight="1" x14ac:dyDescent="0.4">
      <c r="A28" s="11"/>
      <c r="B28" s="113"/>
      <c r="C28" s="9"/>
      <c r="D28" s="10"/>
      <c r="E28" s="9"/>
      <c r="F28" s="46"/>
    </row>
    <row r="29" spans="1:12" ht="15" customHeight="1" x14ac:dyDescent="0.4">
      <c r="A29" s="59" t="s">
        <v>54</v>
      </c>
      <c r="B29" s="114"/>
      <c r="C29" s="47"/>
      <c r="D29" s="48"/>
      <c r="E29" s="47"/>
      <c r="F29" s="49"/>
      <c r="G29" s="44"/>
      <c r="H29" s="44"/>
      <c r="I29" s="44"/>
    </row>
    <row r="30" spans="1:12" s="6" customFormat="1" ht="14.6" x14ac:dyDescent="0.4">
      <c r="A30" s="11" t="s">
        <v>14</v>
      </c>
      <c r="B30" s="113" t="s">
        <v>505</v>
      </c>
      <c r="C30" s="9">
        <v>85</v>
      </c>
      <c r="D30" s="10">
        <v>9</v>
      </c>
      <c r="E30" s="9">
        <f t="shared" ref="E30:E36" si="2">C30*D30</f>
        <v>765</v>
      </c>
      <c r="F30" s="46">
        <v>7</v>
      </c>
      <c r="G30" s="34" t="s">
        <v>8</v>
      </c>
      <c r="H30" s="34" t="s">
        <v>8</v>
      </c>
      <c r="I30" s="34" t="s">
        <v>8</v>
      </c>
      <c r="K30" s="1"/>
    </row>
    <row r="31" spans="1:12" s="6" customFormat="1" ht="14.6" x14ac:dyDescent="0.4">
      <c r="A31" s="11" t="s">
        <v>19</v>
      </c>
      <c r="B31" s="113" t="s">
        <v>506</v>
      </c>
      <c r="C31" s="9">
        <v>140</v>
      </c>
      <c r="D31" s="10">
        <v>10</v>
      </c>
      <c r="E31" s="9">
        <f t="shared" si="2"/>
        <v>1400</v>
      </c>
      <c r="F31" s="46">
        <v>10</v>
      </c>
      <c r="G31" s="34" t="s">
        <v>7</v>
      </c>
      <c r="H31" s="34" t="s">
        <v>8</v>
      </c>
      <c r="I31" s="34" t="s">
        <v>8</v>
      </c>
      <c r="K31" s="1"/>
    </row>
    <row r="32" spans="1:12" ht="14.6" x14ac:dyDescent="0.4">
      <c r="A32" s="11" t="s">
        <v>23</v>
      </c>
      <c r="B32" s="113" t="s">
        <v>507</v>
      </c>
      <c r="C32" s="9">
        <v>152</v>
      </c>
      <c r="D32" s="10">
        <v>12</v>
      </c>
      <c r="E32" s="9">
        <f t="shared" si="2"/>
        <v>1824</v>
      </c>
      <c r="F32" s="46">
        <v>12</v>
      </c>
      <c r="G32" s="34" t="s">
        <v>8</v>
      </c>
      <c r="H32" s="34" t="s">
        <v>7</v>
      </c>
      <c r="I32" s="34" t="s">
        <v>8</v>
      </c>
      <c r="J32" s="6"/>
      <c r="K32" s="1"/>
    </row>
    <row r="33" spans="1:11" ht="14.6" x14ac:dyDescent="0.4">
      <c r="A33" s="11" t="s">
        <v>29</v>
      </c>
      <c r="B33" s="113" t="s">
        <v>508</v>
      </c>
      <c r="C33" s="9">
        <v>193.78</v>
      </c>
      <c r="D33" s="10">
        <v>8</v>
      </c>
      <c r="E33" s="9">
        <f t="shared" si="2"/>
        <v>1550.24</v>
      </c>
      <c r="F33" s="46">
        <v>8</v>
      </c>
      <c r="G33" s="34" t="s">
        <v>8</v>
      </c>
      <c r="H33" s="34" t="s">
        <v>7</v>
      </c>
      <c r="I33" s="34" t="s">
        <v>8</v>
      </c>
      <c r="J33" s="6"/>
      <c r="K33" s="1"/>
    </row>
    <row r="34" spans="1:11" s="6" customFormat="1" ht="14.6" x14ac:dyDescent="0.4">
      <c r="A34" s="11" t="s">
        <v>38</v>
      </c>
      <c r="B34" s="113" t="s">
        <v>509</v>
      </c>
      <c r="C34" s="9">
        <v>400</v>
      </c>
      <c r="D34" s="10">
        <v>9</v>
      </c>
      <c r="E34" s="9">
        <f t="shared" si="2"/>
        <v>3600</v>
      </c>
      <c r="F34" s="46">
        <v>5</v>
      </c>
      <c r="G34" s="34" t="s">
        <v>8</v>
      </c>
      <c r="H34" s="34" t="s">
        <v>7</v>
      </c>
      <c r="I34" s="34" t="s">
        <v>7</v>
      </c>
      <c r="J34" s="11"/>
      <c r="K34" s="1"/>
    </row>
    <row r="35" spans="1:11" s="6" customFormat="1" ht="14.6" x14ac:dyDescent="0.4">
      <c r="A35" s="11" t="s">
        <v>40</v>
      </c>
      <c r="B35" s="113" t="s">
        <v>510</v>
      </c>
      <c r="C35" s="9">
        <v>500</v>
      </c>
      <c r="D35" s="10">
        <v>12</v>
      </c>
      <c r="E35" s="9">
        <f t="shared" si="2"/>
        <v>6000</v>
      </c>
      <c r="F35" s="46">
        <v>8</v>
      </c>
      <c r="G35" s="34" t="s">
        <v>7</v>
      </c>
      <c r="H35" s="34" t="s">
        <v>7</v>
      </c>
      <c r="I35" s="34" t="s">
        <v>7</v>
      </c>
      <c r="K35" s="1"/>
    </row>
    <row r="36" spans="1:11" s="6" customFormat="1" ht="14.6" x14ac:dyDescent="0.4">
      <c r="A36" s="11" t="s">
        <v>43</v>
      </c>
      <c r="B36" s="113" t="s">
        <v>511</v>
      </c>
      <c r="C36" s="9">
        <v>740</v>
      </c>
      <c r="D36" s="10">
        <v>12</v>
      </c>
      <c r="E36" s="9">
        <f t="shared" si="2"/>
        <v>8880</v>
      </c>
      <c r="F36" s="46">
        <v>12</v>
      </c>
      <c r="G36" s="34" t="s">
        <v>7</v>
      </c>
      <c r="H36" s="34" t="s">
        <v>8</v>
      </c>
      <c r="I36" s="34" t="s">
        <v>7</v>
      </c>
      <c r="J36" s="11"/>
      <c r="K36" s="1"/>
    </row>
    <row r="37" spans="1:11" ht="15" customHeight="1" x14ac:dyDescent="0.4">
      <c r="A37" s="11"/>
      <c r="B37" s="113"/>
      <c r="C37" s="9"/>
      <c r="D37" s="10"/>
      <c r="E37" s="9"/>
      <c r="F37" s="46"/>
    </row>
    <row r="38" spans="1:11" x14ac:dyDescent="0.4">
      <c r="A38" s="116" t="s">
        <v>55</v>
      </c>
      <c r="B38" s="118"/>
      <c r="C38" s="42"/>
      <c r="D38" s="42"/>
      <c r="E38" s="51"/>
      <c r="F38" s="49"/>
      <c r="G38" s="44"/>
      <c r="H38" s="44"/>
      <c r="I38" s="44"/>
    </row>
    <row r="39" spans="1:11" s="6" customFormat="1" ht="14.6" x14ac:dyDescent="0.4">
      <c r="A39" s="11" t="s">
        <v>13</v>
      </c>
      <c r="B39" s="113" t="s">
        <v>512</v>
      </c>
      <c r="C39" s="9">
        <v>410</v>
      </c>
      <c r="D39" s="10">
        <v>12</v>
      </c>
      <c r="E39" s="9">
        <f t="shared" ref="E39:E47" si="3">C39*D39</f>
        <v>4920</v>
      </c>
      <c r="F39" s="46">
        <v>12</v>
      </c>
      <c r="G39" s="34" t="s">
        <v>8</v>
      </c>
      <c r="H39" s="34" t="s">
        <v>10</v>
      </c>
      <c r="I39" s="34" t="s">
        <v>8</v>
      </c>
      <c r="K39" s="1"/>
    </row>
    <row r="40" spans="1:11" s="6" customFormat="1" ht="14.6" x14ac:dyDescent="0.4">
      <c r="A40" s="30" t="s">
        <v>18</v>
      </c>
      <c r="B40" s="115" t="s">
        <v>513</v>
      </c>
      <c r="C40" s="31">
        <v>112.6</v>
      </c>
      <c r="D40" s="32">
        <v>10</v>
      </c>
      <c r="E40" s="31">
        <f t="shared" si="3"/>
        <v>1126</v>
      </c>
      <c r="F40" s="52">
        <v>10</v>
      </c>
      <c r="G40" s="53" t="s">
        <v>8</v>
      </c>
      <c r="H40" s="53" t="s">
        <v>7</v>
      </c>
      <c r="I40" s="34" t="s">
        <v>8</v>
      </c>
      <c r="J40" s="33"/>
      <c r="K40" s="1"/>
    </row>
    <row r="41" spans="1:11" ht="14.6" x14ac:dyDescent="0.4">
      <c r="A41" s="11" t="s">
        <v>514</v>
      </c>
      <c r="B41" s="113" t="s">
        <v>515</v>
      </c>
      <c r="C41" s="9">
        <v>120</v>
      </c>
      <c r="D41" s="10">
        <v>10</v>
      </c>
      <c r="E41" s="9">
        <f t="shared" si="3"/>
        <v>1200</v>
      </c>
      <c r="F41" s="46">
        <v>10</v>
      </c>
      <c r="G41" s="50" t="s">
        <v>8</v>
      </c>
      <c r="H41" s="34" t="s">
        <v>8</v>
      </c>
      <c r="I41" s="34" t="s">
        <v>8</v>
      </c>
      <c r="K41" s="1"/>
    </row>
    <row r="42" spans="1:11" s="6" customFormat="1" ht="14.6" x14ac:dyDescent="0.4">
      <c r="A42" s="11" t="s">
        <v>24</v>
      </c>
      <c r="B42" s="113" t="s">
        <v>516</v>
      </c>
      <c r="C42" s="9">
        <v>163</v>
      </c>
      <c r="D42" s="10">
        <v>12</v>
      </c>
      <c r="E42" s="9">
        <f t="shared" si="3"/>
        <v>1956</v>
      </c>
      <c r="F42" s="46">
        <v>12</v>
      </c>
      <c r="G42" s="50" t="s">
        <v>8</v>
      </c>
      <c r="H42" s="34" t="s">
        <v>8</v>
      </c>
      <c r="I42" s="34" t="s">
        <v>8</v>
      </c>
      <c r="K42" s="1"/>
    </row>
    <row r="43" spans="1:11" ht="14.6" x14ac:dyDescent="0.4">
      <c r="A43" s="11" t="s">
        <v>25</v>
      </c>
      <c r="B43" s="113" t="s">
        <v>517</v>
      </c>
      <c r="C43" s="9">
        <v>700</v>
      </c>
      <c r="D43" s="10">
        <v>13</v>
      </c>
      <c r="E43" s="9">
        <f t="shared" si="3"/>
        <v>9100</v>
      </c>
      <c r="F43" s="46">
        <v>12</v>
      </c>
      <c r="G43" s="34" t="s">
        <v>7</v>
      </c>
      <c r="H43" s="34" t="s">
        <v>7</v>
      </c>
      <c r="I43" s="34" t="s">
        <v>7</v>
      </c>
      <c r="K43" s="1"/>
    </row>
    <row r="44" spans="1:11" ht="14.6" x14ac:dyDescent="0.4">
      <c r="A44" s="11" t="s">
        <v>30</v>
      </c>
      <c r="B44" s="113" t="s">
        <v>518</v>
      </c>
      <c r="C44" s="9">
        <v>210</v>
      </c>
      <c r="D44" s="10">
        <v>9</v>
      </c>
      <c r="E44" s="9">
        <f t="shared" si="3"/>
        <v>1890</v>
      </c>
      <c r="F44" s="46">
        <v>9</v>
      </c>
      <c r="G44" s="34" t="s">
        <v>7</v>
      </c>
      <c r="H44" s="34" t="s">
        <v>8</v>
      </c>
      <c r="I44" s="34" t="s">
        <v>7</v>
      </c>
      <c r="K44" s="1"/>
    </row>
    <row r="45" spans="1:11" ht="14.6" x14ac:dyDescent="0.4">
      <c r="A45" s="11" t="s">
        <v>35</v>
      </c>
      <c r="B45" s="113" t="s">
        <v>519</v>
      </c>
      <c r="C45" s="9">
        <v>300</v>
      </c>
      <c r="D45" s="10">
        <v>9</v>
      </c>
      <c r="E45" s="9">
        <f t="shared" si="3"/>
        <v>2700</v>
      </c>
      <c r="F45" s="46">
        <v>8</v>
      </c>
      <c r="G45" s="34" t="s">
        <v>7</v>
      </c>
      <c r="H45" s="34" t="s">
        <v>7</v>
      </c>
      <c r="I45" s="34" t="s">
        <v>8</v>
      </c>
      <c r="J45" s="6"/>
      <c r="K45" s="1"/>
    </row>
    <row r="46" spans="1:11" ht="14.6" x14ac:dyDescent="0.4">
      <c r="A46" s="11" t="s">
        <v>534</v>
      </c>
      <c r="B46" s="113" t="s">
        <v>535</v>
      </c>
      <c r="C46" s="9">
        <v>4300</v>
      </c>
      <c r="D46" s="10">
        <v>12</v>
      </c>
      <c r="E46" s="9">
        <f t="shared" ref="E46" si="4">C46*D46</f>
        <v>51600</v>
      </c>
      <c r="F46" s="46">
        <v>8</v>
      </c>
      <c r="G46" s="34" t="s">
        <v>7</v>
      </c>
      <c r="H46" s="34" t="s">
        <v>7</v>
      </c>
      <c r="I46" s="34" t="s">
        <v>7</v>
      </c>
      <c r="J46" s="6"/>
      <c r="K46" s="1"/>
    </row>
    <row r="47" spans="1:11" ht="14.6" x14ac:dyDescent="0.4">
      <c r="A47" s="249" t="s">
        <v>469</v>
      </c>
      <c r="B47" s="250" t="s">
        <v>520</v>
      </c>
      <c r="C47" s="251">
        <v>410</v>
      </c>
      <c r="D47" s="252">
        <v>10</v>
      </c>
      <c r="E47" s="251">
        <f t="shared" si="3"/>
        <v>4100</v>
      </c>
      <c r="F47" s="253">
        <v>0</v>
      </c>
      <c r="G47" s="58" t="s">
        <v>7</v>
      </c>
      <c r="H47" s="58" t="s">
        <v>10</v>
      </c>
      <c r="I47" s="58" t="s">
        <v>8</v>
      </c>
      <c r="J47" s="6"/>
      <c r="K47" s="1"/>
    </row>
    <row r="48" spans="1:11" x14ac:dyDescent="0.4">
      <c r="A48" s="5"/>
      <c r="B48" s="113"/>
      <c r="C48" s="9"/>
      <c r="D48" s="10"/>
      <c r="E48" s="9"/>
      <c r="F48" s="46"/>
    </row>
    <row r="49" spans="1:11" x14ac:dyDescent="0.4">
      <c r="A49" s="59" t="s">
        <v>56</v>
      </c>
      <c r="B49" s="114"/>
      <c r="C49" s="47"/>
      <c r="D49" s="48"/>
      <c r="E49" s="47"/>
      <c r="F49" s="49"/>
      <c r="G49" s="44"/>
      <c r="H49" s="44"/>
      <c r="I49" s="44"/>
    </row>
    <row r="50" spans="1:11" ht="14.6" x14ac:dyDescent="0.4">
      <c r="A50" s="11" t="s">
        <v>9</v>
      </c>
      <c r="B50" s="113" t="s">
        <v>521</v>
      </c>
      <c r="C50" s="9">
        <v>435</v>
      </c>
      <c r="D50" s="10">
        <v>12</v>
      </c>
      <c r="E50" s="9">
        <f t="shared" ref="E50:E58" si="5">C50*D50</f>
        <v>5220</v>
      </c>
      <c r="F50" s="46">
        <v>12</v>
      </c>
      <c r="G50" s="34" t="s">
        <v>7</v>
      </c>
      <c r="H50" s="34" t="s">
        <v>10</v>
      </c>
      <c r="I50" s="34" t="s">
        <v>8</v>
      </c>
      <c r="K50" s="1"/>
    </row>
    <row r="51" spans="1:11" ht="14.6" x14ac:dyDescent="0.4">
      <c r="A51" s="11" t="s">
        <v>11</v>
      </c>
      <c r="B51" s="113" t="s">
        <v>522</v>
      </c>
      <c r="C51" s="9">
        <v>30</v>
      </c>
      <c r="D51" s="10">
        <v>9</v>
      </c>
      <c r="E51" s="9">
        <f t="shared" si="5"/>
        <v>270</v>
      </c>
      <c r="F51" s="46">
        <v>9</v>
      </c>
      <c r="G51" s="34" t="s">
        <v>8</v>
      </c>
      <c r="H51" s="34" t="s">
        <v>8</v>
      </c>
      <c r="I51" s="34" t="s">
        <v>8</v>
      </c>
      <c r="J51" s="6"/>
      <c r="K51" s="1"/>
    </row>
    <row r="52" spans="1:11" ht="14.6" x14ac:dyDescent="0.4">
      <c r="A52" s="11" t="s">
        <v>15</v>
      </c>
      <c r="B52" s="113" t="s">
        <v>523</v>
      </c>
      <c r="C52" s="9">
        <v>87.4</v>
      </c>
      <c r="D52" s="10">
        <v>6</v>
      </c>
      <c r="E52" s="9">
        <f t="shared" si="5"/>
        <v>524.40000000000009</v>
      </c>
      <c r="F52" s="46">
        <v>6</v>
      </c>
      <c r="G52" s="34" t="s">
        <v>8</v>
      </c>
      <c r="H52" s="34" t="s">
        <v>7</v>
      </c>
      <c r="I52" s="34" t="s">
        <v>8</v>
      </c>
      <c r="J52" s="6"/>
      <c r="K52" s="1"/>
    </row>
    <row r="53" spans="1:11" ht="14.6" x14ac:dyDescent="0.4">
      <c r="A53" s="11" t="s">
        <v>17</v>
      </c>
      <c r="B53" s="113" t="s">
        <v>524</v>
      </c>
      <c r="C53" s="9">
        <v>300</v>
      </c>
      <c r="D53" s="10">
        <v>12</v>
      </c>
      <c r="E53" s="9">
        <f t="shared" si="5"/>
        <v>3600</v>
      </c>
      <c r="F53" s="46">
        <v>5</v>
      </c>
      <c r="G53" s="34" t="s">
        <v>7</v>
      </c>
      <c r="H53" s="34" t="s">
        <v>8</v>
      </c>
      <c r="I53" s="34" t="s">
        <v>8</v>
      </c>
      <c r="K53" s="1"/>
    </row>
    <row r="54" spans="1:11" ht="14.6" x14ac:dyDescent="0.4">
      <c r="A54" s="11" t="s">
        <v>20</v>
      </c>
      <c r="B54" s="113" t="s">
        <v>526</v>
      </c>
      <c r="C54" s="9">
        <v>148</v>
      </c>
      <c r="D54" s="10">
        <v>9</v>
      </c>
      <c r="E54" s="9">
        <f t="shared" si="5"/>
        <v>1332</v>
      </c>
      <c r="F54" s="46">
        <v>9</v>
      </c>
      <c r="G54" s="34" t="s">
        <v>8</v>
      </c>
      <c r="H54" s="34" t="s">
        <v>8</v>
      </c>
      <c r="I54" s="34" t="s">
        <v>8</v>
      </c>
      <c r="K54" s="1"/>
    </row>
    <row r="55" spans="1:11" s="29" customFormat="1" ht="14.6" x14ac:dyDescent="0.4">
      <c r="A55" s="11" t="s">
        <v>26</v>
      </c>
      <c r="B55" s="113" t="s">
        <v>527</v>
      </c>
      <c r="C55" s="9">
        <v>165.5</v>
      </c>
      <c r="D55" s="10">
        <v>12</v>
      </c>
      <c r="E55" s="9">
        <f t="shared" si="5"/>
        <v>1986</v>
      </c>
      <c r="F55" s="46">
        <v>12</v>
      </c>
      <c r="G55" s="34" t="s">
        <v>8</v>
      </c>
      <c r="H55" s="34" t="s">
        <v>8</v>
      </c>
      <c r="I55" s="34" t="s">
        <v>8</v>
      </c>
      <c r="J55" s="6"/>
      <c r="K55" s="1"/>
    </row>
    <row r="56" spans="1:11" ht="14.6" x14ac:dyDescent="0.4">
      <c r="A56" s="11" t="s">
        <v>31</v>
      </c>
      <c r="B56" s="113" t="s">
        <v>528</v>
      </c>
      <c r="C56" s="9">
        <v>260</v>
      </c>
      <c r="D56" s="10">
        <v>12</v>
      </c>
      <c r="E56" s="9">
        <f t="shared" si="5"/>
        <v>3120</v>
      </c>
      <c r="F56" s="46">
        <v>12</v>
      </c>
      <c r="G56" s="34" t="s">
        <v>8</v>
      </c>
      <c r="H56" s="34" t="s">
        <v>8</v>
      </c>
      <c r="I56" s="34" t="s">
        <v>7</v>
      </c>
      <c r="K56" s="1"/>
    </row>
    <row r="57" spans="1:11" ht="14.6" x14ac:dyDescent="0.4">
      <c r="A57" s="5" t="s">
        <v>41</v>
      </c>
      <c r="B57" s="113" t="s">
        <v>529</v>
      </c>
      <c r="C57" s="9">
        <v>540</v>
      </c>
      <c r="D57" s="10">
        <v>20</v>
      </c>
      <c r="E57" s="9">
        <f t="shared" si="5"/>
        <v>10800</v>
      </c>
      <c r="F57" s="46">
        <v>0</v>
      </c>
      <c r="G57" s="34" t="s">
        <v>7</v>
      </c>
      <c r="H57" s="34" t="s">
        <v>8</v>
      </c>
      <c r="I57" s="34" t="s">
        <v>8</v>
      </c>
      <c r="K57" s="1"/>
    </row>
    <row r="58" spans="1:11" ht="14.6" x14ac:dyDescent="0.4">
      <c r="A58" s="11" t="s">
        <v>42</v>
      </c>
      <c r="B58" s="113" t="s">
        <v>530</v>
      </c>
      <c r="C58" s="9">
        <v>557</v>
      </c>
      <c r="D58" s="10">
        <v>12</v>
      </c>
      <c r="E58" s="9">
        <f t="shared" si="5"/>
        <v>6684</v>
      </c>
      <c r="F58" s="46">
        <v>12</v>
      </c>
      <c r="G58" s="34" t="s">
        <v>8</v>
      </c>
      <c r="H58" s="34" t="s">
        <v>8</v>
      </c>
      <c r="I58" s="34" t="s">
        <v>7</v>
      </c>
      <c r="K58" s="1"/>
    </row>
    <row r="59" spans="1:11" x14ac:dyDescent="0.4">
      <c r="A59" s="11"/>
      <c r="B59" s="113"/>
      <c r="C59" s="9"/>
      <c r="D59" s="10"/>
      <c r="E59" s="9"/>
    </row>
    <row r="60" spans="1:11" ht="28.4" customHeight="1" x14ac:dyDescent="0.4">
      <c r="A60" s="28" t="s">
        <v>471</v>
      </c>
      <c r="B60" s="56"/>
      <c r="C60" s="54">
        <v>2915</v>
      </c>
      <c r="D60" s="28"/>
      <c r="E60" s="28"/>
      <c r="F60" s="55"/>
      <c r="G60" s="56"/>
      <c r="H60" s="56"/>
      <c r="I60" s="60"/>
    </row>
    <row r="61" spans="1:11" ht="28.4" customHeight="1" x14ac:dyDescent="0.4">
      <c r="A61" s="28" t="s">
        <v>472</v>
      </c>
      <c r="B61" s="56"/>
      <c r="C61" s="54">
        <v>1875</v>
      </c>
      <c r="D61" s="28"/>
      <c r="E61" s="28"/>
      <c r="F61" s="55"/>
      <c r="G61" s="56"/>
      <c r="H61" s="56"/>
      <c r="I61" s="60"/>
    </row>
    <row r="62" spans="1:11" ht="28.4" customHeight="1" x14ac:dyDescent="0.4">
      <c r="A62" s="28" t="s">
        <v>470</v>
      </c>
      <c r="B62" s="56"/>
      <c r="C62" s="54">
        <f>SUM(C11:C58)</f>
        <v>16492.18</v>
      </c>
      <c r="D62" s="28"/>
      <c r="E62" s="28"/>
      <c r="F62" s="55"/>
      <c r="G62" s="56"/>
      <c r="H62" s="56"/>
      <c r="I62" s="60"/>
    </row>
    <row r="63" spans="1:11" ht="28.4" customHeight="1" x14ac:dyDescent="0.4">
      <c r="A63" s="28" t="s">
        <v>557</v>
      </c>
      <c r="B63" s="56"/>
      <c r="C63" s="54">
        <f>SUM(E11:E58)</f>
        <v>197732.44</v>
      </c>
      <c r="D63" s="28"/>
      <c r="E63" s="28"/>
      <c r="F63" s="55"/>
      <c r="G63" s="56"/>
      <c r="H63" s="56"/>
      <c r="I63" s="60"/>
    </row>
    <row r="64" spans="1:11" x14ac:dyDescent="0.4">
      <c r="C64" s="46"/>
    </row>
    <row r="69" spans="1:9" x14ac:dyDescent="0.4">
      <c r="E69" s="3" t="s">
        <v>473</v>
      </c>
    </row>
    <row r="70" spans="1:9" x14ac:dyDescent="0.4">
      <c r="E70" s="3" t="s">
        <v>474</v>
      </c>
    </row>
    <row r="71" spans="1:9" x14ac:dyDescent="0.4">
      <c r="E71" s="3" t="s">
        <v>475</v>
      </c>
    </row>
    <row r="72" spans="1:9" x14ac:dyDescent="0.4">
      <c r="A72" s="61" t="s">
        <v>556</v>
      </c>
      <c r="B72" s="61"/>
      <c r="C72" s="119"/>
      <c r="D72" s="119"/>
      <c r="E72" s="35" t="s">
        <v>476</v>
      </c>
      <c r="F72" s="57"/>
      <c r="G72" s="58"/>
      <c r="H72" s="58"/>
      <c r="I72" s="120"/>
    </row>
  </sheetData>
  <sheetProtection algorithmName="SHA-512" hashValue="JfFek1Xu8XjuU+4jfmikZGw1rh+4KrygM3a3AfBhOZzb5sNMhoIWxTlIcAe8QDJi6JIC2IixbmhJYwNeNQWfJg==" saltValue="jKk1aPoeOshTVf/97BJ3kw==" spinCount="100000" sheet="1" objects="1" scenarios="1" selectLockedCells="1" selectUnlockedCells="1"/>
  <mergeCells count="3">
    <mergeCell ref="A6:I6"/>
    <mergeCell ref="A1:I1"/>
    <mergeCell ref="A3:I3"/>
  </mergeCells>
  <conditionalFormatting sqref="G7:G8 G18:G19 G28:G29 G37:G38 G48:G49 G59:G1048576">
    <cfRule type="cellIs" dxfId="12" priority="32" operator="equal">
      <formula>"sim"</formula>
    </cfRule>
  </conditionalFormatting>
  <conditionalFormatting sqref="G9:G10 G17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9:G11 G17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9:G11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18:H19 H28:H29 H37:H38 H48:H49 H59:H1048576">
    <cfRule type="containsText" dxfId="11" priority="28" operator="containsText" text="TALVEZ">
      <formula>NOT(ISERROR(SEARCH("TALVEZ",H18)))</formula>
    </cfRule>
    <cfRule type="containsText" dxfId="10" priority="31" operator="containsText" text="SIM">
      <formula>NOT(ISERROR(SEARCH("SIM",H18)))</formula>
    </cfRule>
  </conditionalFormatting>
  <conditionalFormatting sqref="H7:I8">
    <cfRule type="containsText" dxfId="9" priority="9" operator="containsText" text="TALVEZ">
      <formula>NOT(ISERROR(SEARCH("TALVEZ",H7)))</formula>
    </cfRule>
    <cfRule type="containsText" dxfId="8" priority="10" operator="containsText" text="SIM">
      <formula>NOT(ISERROR(SEARCH("SIM",H7)))</formula>
    </cfRule>
  </conditionalFormatting>
  <conditionalFormatting sqref="I19">
    <cfRule type="containsText" dxfId="7" priority="7" operator="containsText" text="TALVEZ">
      <formula>NOT(ISERROR(SEARCH("TALVEZ",I19)))</formula>
    </cfRule>
    <cfRule type="containsText" dxfId="6" priority="8" operator="containsText" text="SIM">
      <formula>NOT(ISERROR(SEARCH("SIM",I19)))</formula>
    </cfRule>
  </conditionalFormatting>
  <conditionalFormatting sqref="I29">
    <cfRule type="containsText" dxfId="5" priority="5" operator="containsText" text="TALVEZ">
      <formula>NOT(ISERROR(SEARCH("TALVEZ",I29)))</formula>
    </cfRule>
    <cfRule type="containsText" dxfId="4" priority="6" operator="containsText" text="SIM">
      <formula>NOT(ISERROR(SEARCH("SIM",I29)))</formula>
    </cfRule>
  </conditionalFormatting>
  <conditionalFormatting sqref="I38">
    <cfRule type="containsText" dxfId="3" priority="3" operator="containsText" text="TALVEZ">
      <formula>NOT(ISERROR(SEARCH("TALVEZ",I38)))</formula>
    </cfRule>
    <cfRule type="containsText" dxfId="2" priority="4" operator="containsText" text="SIM">
      <formula>NOT(ISERROR(SEARCH("SIM",I38)))</formula>
    </cfRule>
  </conditionalFormatting>
  <conditionalFormatting sqref="I49">
    <cfRule type="containsText" dxfId="1" priority="1" operator="containsText" text="TALVEZ">
      <formula>NOT(ISERROR(SEARCH("TALVEZ",I49)))</formula>
    </cfRule>
    <cfRule type="containsText" dxfId="0" priority="2" operator="containsText" text="SIM">
      <formula>NOT(ISERROR(SEARCH("SIM",I49)))</formula>
    </cfRule>
  </conditionalFormatting>
  <printOptions horizontalCentered="1"/>
  <pageMargins left="0.39370078740157483" right="0.39370078740157483" top="0.39370078740157483" bottom="0.39370078740157483" header="0" footer="0"/>
  <pageSetup paperSize="9" scale="64" fitToHeight="0" orientation="landscape" r:id="rId1"/>
  <ignoredErrors>
    <ignoredError sqref="C62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BA269"/>
  <sheetViews>
    <sheetView zoomScale="70" zoomScaleNormal="70" zoomScalePageLayoutView="4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E36" sqref="E36"/>
    </sheetView>
  </sheetViews>
  <sheetFormatPr defaultColWidth="5.69140625" defaultRowHeight="14.15" outlineLevelRow="3" x14ac:dyDescent="0.4"/>
  <cols>
    <col min="1" max="1" width="7.84375" style="5" bestFit="1" customWidth="1"/>
    <col min="2" max="2" width="69.84375" style="5" bestFit="1" customWidth="1"/>
    <col min="3" max="3" width="10.765625" style="3" bestFit="1" customWidth="1"/>
    <col min="4" max="4" width="8.69140625" style="199" customWidth="1"/>
    <col min="5" max="5" width="15.69140625" style="200" customWidth="1"/>
    <col min="6" max="53" width="4.69140625" style="5" customWidth="1"/>
    <col min="54" max="16384" width="5.69140625" style="5"/>
  </cols>
  <sheetData>
    <row r="1" spans="1:53" ht="29.25" customHeight="1" x14ac:dyDescent="0.4">
      <c r="A1" s="231" t="s">
        <v>552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  <c r="AM1" s="232"/>
      <c r="AN1" s="232"/>
      <c r="AO1" s="232"/>
      <c r="AP1" s="232"/>
      <c r="AQ1" s="232"/>
      <c r="AR1" s="232"/>
      <c r="AS1" s="232"/>
      <c r="AT1" s="232"/>
      <c r="AU1" s="232"/>
      <c r="AV1" s="232"/>
      <c r="AW1" s="232"/>
      <c r="AX1" s="232"/>
      <c r="AY1" s="232"/>
      <c r="AZ1" s="232"/>
      <c r="BA1" s="232"/>
    </row>
    <row r="2" spans="1:53" ht="29.25" customHeight="1" x14ac:dyDescent="0.4">
      <c r="A2" s="235" t="s">
        <v>0</v>
      </c>
      <c r="B2" s="235" t="s">
        <v>68</v>
      </c>
      <c r="C2" s="233" t="s">
        <v>69</v>
      </c>
      <c r="D2" s="237" t="s">
        <v>551</v>
      </c>
      <c r="E2" s="237"/>
      <c r="F2" s="225" t="s">
        <v>57</v>
      </c>
      <c r="G2" s="226"/>
      <c r="H2" s="226"/>
      <c r="I2" s="227"/>
      <c r="J2" s="225" t="s">
        <v>58</v>
      </c>
      <c r="K2" s="226"/>
      <c r="L2" s="226"/>
      <c r="M2" s="227"/>
      <c r="N2" s="225" t="s">
        <v>59</v>
      </c>
      <c r="O2" s="226"/>
      <c r="P2" s="226"/>
      <c r="Q2" s="227"/>
      <c r="R2" s="225" t="s">
        <v>60</v>
      </c>
      <c r="S2" s="226"/>
      <c r="T2" s="226"/>
      <c r="U2" s="227"/>
      <c r="V2" s="225" t="s">
        <v>61</v>
      </c>
      <c r="W2" s="226"/>
      <c r="X2" s="226"/>
      <c r="Y2" s="227"/>
      <c r="Z2" s="225" t="s">
        <v>62</v>
      </c>
      <c r="AA2" s="226"/>
      <c r="AB2" s="226"/>
      <c r="AC2" s="227"/>
      <c r="AD2" s="225" t="s">
        <v>63</v>
      </c>
      <c r="AE2" s="226"/>
      <c r="AF2" s="226"/>
      <c r="AG2" s="227"/>
      <c r="AH2" s="225" t="s">
        <v>64</v>
      </c>
      <c r="AI2" s="226"/>
      <c r="AJ2" s="226"/>
      <c r="AK2" s="227"/>
      <c r="AL2" s="225" t="s">
        <v>65</v>
      </c>
      <c r="AM2" s="226"/>
      <c r="AN2" s="226"/>
      <c r="AO2" s="227"/>
      <c r="AP2" s="225" t="s">
        <v>66</v>
      </c>
      <c r="AQ2" s="226"/>
      <c r="AR2" s="226"/>
      <c r="AS2" s="227"/>
      <c r="AT2" s="225" t="s">
        <v>67</v>
      </c>
      <c r="AU2" s="226"/>
      <c r="AV2" s="226"/>
      <c r="AW2" s="227"/>
      <c r="AX2" s="225" t="s">
        <v>536</v>
      </c>
      <c r="AY2" s="226"/>
      <c r="AZ2" s="226"/>
      <c r="BA2" s="227"/>
    </row>
    <row r="3" spans="1:53" ht="14.6" thickBot="1" x14ac:dyDescent="0.45">
      <c r="A3" s="236"/>
      <c r="B3" s="236"/>
      <c r="C3" s="234"/>
      <c r="D3" s="123" t="s">
        <v>549</v>
      </c>
      <c r="E3" s="123" t="s">
        <v>550</v>
      </c>
      <c r="F3" s="238"/>
      <c r="G3" s="239"/>
      <c r="H3" s="239"/>
      <c r="I3" s="240"/>
      <c r="J3" s="241"/>
      <c r="K3" s="242"/>
      <c r="L3" s="242"/>
      <c r="M3" s="243"/>
      <c r="N3" s="228"/>
      <c r="O3" s="229"/>
      <c r="P3" s="229"/>
      <c r="Q3" s="230"/>
      <c r="R3" s="228"/>
      <c r="S3" s="229"/>
      <c r="T3" s="229"/>
      <c r="U3" s="230"/>
      <c r="V3" s="228"/>
      <c r="W3" s="229"/>
      <c r="X3" s="229"/>
      <c r="Y3" s="230"/>
      <c r="Z3" s="228"/>
      <c r="AA3" s="229"/>
      <c r="AB3" s="229"/>
      <c r="AC3" s="230"/>
      <c r="AD3" s="228"/>
      <c r="AE3" s="229"/>
      <c r="AF3" s="229"/>
      <c r="AG3" s="230"/>
      <c r="AH3" s="228"/>
      <c r="AI3" s="229"/>
      <c r="AJ3" s="229"/>
      <c r="AK3" s="230"/>
      <c r="AL3" s="228"/>
      <c r="AM3" s="229"/>
      <c r="AN3" s="229"/>
      <c r="AO3" s="230"/>
      <c r="AP3" s="228"/>
      <c r="AQ3" s="229"/>
      <c r="AR3" s="229"/>
      <c r="AS3" s="230"/>
      <c r="AT3" s="228"/>
      <c r="AU3" s="229"/>
      <c r="AV3" s="229"/>
      <c r="AW3" s="230"/>
      <c r="AX3" s="228"/>
      <c r="AY3" s="229"/>
      <c r="AZ3" s="229"/>
      <c r="BA3" s="230"/>
    </row>
    <row r="4" spans="1:53" x14ac:dyDescent="0.4">
      <c r="A4" s="124">
        <v>1</v>
      </c>
      <c r="B4" s="125" t="s">
        <v>532</v>
      </c>
      <c r="C4" s="126">
        <v>49</v>
      </c>
      <c r="D4" s="127">
        <f>E4/ORÇAMENTO!$K$125</f>
        <v>0.12576317497224251</v>
      </c>
      <c r="E4" s="128">
        <f>O253+O254+O255+O256+O257-0.01</f>
        <v>177995.82346864961</v>
      </c>
      <c r="F4" s="129"/>
      <c r="G4" s="130"/>
      <c r="H4" s="130"/>
      <c r="I4" s="130"/>
      <c r="J4" s="130"/>
      <c r="K4" s="130"/>
      <c r="L4" s="131"/>
      <c r="M4" s="132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  <c r="AZ4" s="133"/>
      <c r="BA4" s="133"/>
    </row>
    <row r="5" spans="1:53" outlineLevel="1" x14ac:dyDescent="0.4">
      <c r="A5" s="134" t="s">
        <v>70</v>
      </c>
      <c r="B5" s="135" t="s">
        <v>71</v>
      </c>
      <c r="C5" s="136">
        <f>SUM(C6:C8)</f>
        <v>28</v>
      </c>
      <c r="D5" s="137">
        <f>E5/ORÇAMENTO!$K$125</f>
        <v>1.6314139790805596E-2</v>
      </c>
      <c r="E5" s="138">
        <f>O253</f>
        <v>23089.817403926234</v>
      </c>
      <c r="F5" s="139"/>
      <c r="G5" s="140"/>
      <c r="H5" s="140"/>
      <c r="I5" s="141"/>
      <c r="J5" s="133"/>
      <c r="K5" s="133"/>
      <c r="L5" s="142"/>
      <c r="M5" s="132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133"/>
      <c r="AX5" s="133"/>
      <c r="AY5" s="133"/>
      <c r="AZ5" s="133"/>
      <c r="BA5" s="133"/>
    </row>
    <row r="6" spans="1:53" outlineLevel="2" x14ac:dyDescent="0.4">
      <c r="A6" s="143" t="s">
        <v>72</v>
      </c>
      <c r="B6" s="133" t="s">
        <v>73</v>
      </c>
      <c r="C6" s="144">
        <v>21</v>
      </c>
      <c r="D6" s="145"/>
      <c r="E6" s="146"/>
      <c r="F6" s="147"/>
      <c r="G6" s="148"/>
      <c r="H6" s="149"/>
      <c r="I6" s="133"/>
      <c r="J6" s="133"/>
      <c r="K6" s="133"/>
      <c r="L6" s="142"/>
      <c r="M6" s="132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</row>
    <row r="7" spans="1:53" outlineLevel="2" x14ac:dyDescent="0.4">
      <c r="A7" s="143" t="s">
        <v>74</v>
      </c>
      <c r="B7" s="133" t="s">
        <v>75</v>
      </c>
      <c r="C7" s="144">
        <v>5</v>
      </c>
      <c r="D7" s="145"/>
      <c r="E7" s="146"/>
      <c r="F7" s="150"/>
      <c r="G7" s="133"/>
      <c r="H7" s="133"/>
      <c r="I7" s="151"/>
      <c r="J7" s="133"/>
      <c r="K7" s="133"/>
      <c r="L7" s="142"/>
      <c r="M7" s="132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</row>
    <row r="8" spans="1:53" outlineLevel="2" x14ac:dyDescent="0.4">
      <c r="A8" s="143" t="s">
        <v>76</v>
      </c>
      <c r="B8" s="133" t="s">
        <v>77</v>
      </c>
      <c r="C8" s="144">
        <v>2</v>
      </c>
      <c r="D8" s="145"/>
      <c r="E8" s="146"/>
      <c r="F8" s="150"/>
      <c r="G8" s="133"/>
      <c r="H8" s="133"/>
      <c r="I8" s="151"/>
      <c r="J8" s="133"/>
      <c r="K8" s="133"/>
      <c r="L8" s="142"/>
      <c r="M8" s="132"/>
      <c r="N8" s="133"/>
      <c r="O8" s="133"/>
      <c r="P8" s="133"/>
      <c r="Q8" s="133"/>
      <c r="R8" s="133"/>
      <c r="S8" s="133"/>
      <c r="T8" s="133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</row>
    <row r="9" spans="1:53" outlineLevel="1" x14ac:dyDescent="0.4">
      <c r="A9" s="134" t="s">
        <v>78</v>
      </c>
      <c r="B9" s="135" t="s">
        <v>79</v>
      </c>
      <c r="C9" s="136">
        <f>SUM(C10:C12)</f>
        <v>35</v>
      </c>
      <c r="D9" s="137">
        <f>E9/ORÇAMENTO!$K$125</f>
        <v>2.4777462210545796E-2</v>
      </c>
      <c r="E9" s="138">
        <f>O254</f>
        <v>35068.173100773347</v>
      </c>
      <c r="F9" s="139"/>
      <c r="G9" s="140"/>
      <c r="H9" s="140"/>
      <c r="I9" s="140"/>
      <c r="J9" s="141"/>
      <c r="K9" s="133"/>
      <c r="L9" s="142"/>
      <c r="M9" s="132"/>
      <c r="N9" s="133"/>
      <c r="O9" s="133"/>
      <c r="P9" s="133"/>
      <c r="Q9" s="133"/>
      <c r="R9" s="133"/>
      <c r="S9" s="133"/>
      <c r="T9" s="133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33"/>
      <c r="AX9" s="133"/>
      <c r="AY9" s="133"/>
      <c r="AZ9" s="133"/>
      <c r="BA9" s="133"/>
    </row>
    <row r="10" spans="1:53" outlineLevel="2" x14ac:dyDescent="0.4">
      <c r="A10" s="143" t="s">
        <v>80</v>
      </c>
      <c r="B10" s="133" t="s">
        <v>81</v>
      </c>
      <c r="C10" s="144">
        <v>28</v>
      </c>
      <c r="D10" s="145"/>
      <c r="E10" s="146"/>
      <c r="F10" s="147"/>
      <c r="G10" s="148"/>
      <c r="H10" s="148"/>
      <c r="I10" s="149"/>
      <c r="J10" s="133"/>
      <c r="K10" s="133"/>
      <c r="L10" s="142"/>
      <c r="M10" s="132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</row>
    <row r="11" spans="1:53" outlineLevel="2" x14ac:dyDescent="0.4">
      <c r="A11" s="143" t="s">
        <v>82</v>
      </c>
      <c r="B11" s="133" t="s">
        <v>75</v>
      </c>
      <c r="C11" s="144">
        <v>5</v>
      </c>
      <c r="D11" s="145"/>
      <c r="E11" s="146"/>
      <c r="F11" s="150"/>
      <c r="G11" s="133"/>
      <c r="H11" s="133"/>
      <c r="I11" s="133"/>
      <c r="J11" s="151"/>
      <c r="K11" s="133"/>
      <c r="L11" s="142"/>
      <c r="M11" s="132"/>
      <c r="N11" s="133"/>
      <c r="O11" s="133"/>
      <c r="P11" s="133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</row>
    <row r="12" spans="1:53" outlineLevel="2" x14ac:dyDescent="0.4">
      <c r="A12" s="143" t="s">
        <v>83</v>
      </c>
      <c r="B12" s="133" t="s">
        <v>77</v>
      </c>
      <c r="C12" s="144">
        <v>2</v>
      </c>
      <c r="D12" s="145"/>
      <c r="E12" s="146"/>
      <c r="F12" s="150"/>
      <c r="G12" s="133"/>
      <c r="H12" s="133"/>
      <c r="I12" s="133"/>
      <c r="J12" s="151"/>
      <c r="K12" s="133"/>
      <c r="L12" s="142"/>
      <c r="M12" s="132"/>
      <c r="N12" s="133"/>
      <c r="O12" s="133"/>
      <c r="P12" s="133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  <c r="AJ12" s="133"/>
      <c r="AK12" s="133"/>
      <c r="AL12" s="133"/>
      <c r="AM12" s="133"/>
      <c r="AN12" s="133"/>
      <c r="AO12" s="133"/>
      <c r="AP12" s="133"/>
      <c r="AQ12" s="133"/>
      <c r="AR12" s="133"/>
      <c r="AS12" s="133"/>
      <c r="AT12" s="133"/>
      <c r="AU12" s="133"/>
      <c r="AV12" s="133"/>
      <c r="AW12" s="133"/>
      <c r="AX12" s="133"/>
      <c r="AY12" s="133"/>
      <c r="AZ12" s="133"/>
      <c r="BA12" s="133"/>
    </row>
    <row r="13" spans="1:53" outlineLevel="1" x14ac:dyDescent="0.4">
      <c r="A13" s="134" t="s">
        <v>84</v>
      </c>
      <c r="B13" s="135" t="s">
        <v>85</v>
      </c>
      <c r="C13" s="136">
        <v>28</v>
      </c>
      <c r="D13" s="137">
        <f>E13/ORÇAMENTO!$K$125</f>
        <v>6.2938335942016199E-2</v>
      </c>
      <c r="E13" s="138">
        <f>O255+O256</f>
        <v>89078.229268768599</v>
      </c>
      <c r="F13" s="139"/>
      <c r="G13" s="140"/>
      <c r="H13" s="140"/>
      <c r="I13" s="140"/>
      <c r="J13" s="141"/>
      <c r="K13" s="133"/>
      <c r="L13" s="142"/>
      <c r="M13" s="132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/>
      <c r="AA13" s="133"/>
      <c r="AB13" s="133"/>
      <c r="AC13" s="133"/>
      <c r="AD13" s="133"/>
      <c r="AE13" s="133"/>
      <c r="AF13" s="133"/>
      <c r="AG13" s="133"/>
      <c r="AH13" s="133"/>
      <c r="AI13" s="133"/>
      <c r="AJ13" s="133"/>
      <c r="AK13" s="133"/>
      <c r="AL13" s="133"/>
      <c r="AM13" s="133"/>
      <c r="AN13" s="133"/>
      <c r="AO13" s="133"/>
      <c r="AP13" s="133"/>
      <c r="AQ13" s="133"/>
      <c r="AR13" s="133"/>
      <c r="AS13" s="133"/>
      <c r="AT13" s="133"/>
      <c r="AU13" s="133"/>
      <c r="AV13" s="133"/>
      <c r="AW13" s="133"/>
      <c r="AX13" s="133"/>
      <c r="AY13" s="133"/>
      <c r="AZ13" s="133"/>
      <c r="BA13" s="133"/>
    </row>
    <row r="14" spans="1:53" outlineLevel="2" x14ac:dyDescent="0.4">
      <c r="A14" s="134" t="s">
        <v>86</v>
      </c>
      <c r="B14" s="135" t="s">
        <v>87</v>
      </c>
      <c r="C14" s="136">
        <f>SUM(C15:C17)</f>
        <v>35</v>
      </c>
      <c r="D14" s="137">
        <f>E14/ORÇAMENTO!$K$125</f>
        <v>3.1240083010047007E-2</v>
      </c>
      <c r="E14" s="138">
        <f>O255</f>
        <v>44214.884856632962</v>
      </c>
      <c r="F14" s="139"/>
      <c r="G14" s="140"/>
      <c r="H14" s="140"/>
      <c r="I14" s="140"/>
      <c r="J14" s="141"/>
      <c r="K14" s="133"/>
      <c r="L14" s="142"/>
      <c r="M14" s="132"/>
      <c r="N14" s="133"/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3"/>
      <c r="AU14" s="133"/>
      <c r="AV14" s="133"/>
      <c r="AW14" s="133"/>
      <c r="AX14" s="133"/>
      <c r="AY14" s="133"/>
      <c r="AZ14" s="133"/>
      <c r="BA14" s="133"/>
    </row>
    <row r="15" spans="1:53" outlineLevel="3" x14ac:dyDescent="0.4">
      <c r="A15" s="143" t="s">
        <v>88</v>
      </c>
      <c r="B15" s="133" t="s">
        <v>89</v>
      </c>
      <c r="C15" s="144">
        <v>28</v>
      </c>
      <c r="D15" s="145"/>
      <c r="E15" s="146"/>
      <c r="F15" s="147"/>
      <c r="G15" s="148"/>
      <c r="H15" s="148"/>
      <c r="I15" s="149"/>
      <c r="J15" s="133"/>
      <c r="K15" s="133"/>
      <c r="L15" s="142"/>
      <c r="M15" s="132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3"/>
      <c r="AD15" s="133"/>
      <c r="AE15" s="133"/>
      <c r="AF15" s="133"/>
      <c r="AG15" s="133"/>
      <c r="AH15" s="133"/>
      <c r="AI15" s="133"/>
      <c r="AJ15" s="133"/>
      <c r="AK15" s="133"/>
      <c r="AL15" s="133"/>
      <c r="AM15" s="133"/>
      <c r="AN15" s="133"/>
      <c r="AO15" s="133"/>
      <c r="AP15" s="133"/>
      <c r="AQ15" s="133"/>
      <c r="AR15" s="133"/>
      <c r="AS15" s="133"/>
      <c r="AT15" s="133"/>
      <c r="AU15" s="133"/>
      <c r="AV15" s="133"/>
      <c r="AW15" s="133"/>
      <c r="AX15" s="133"/>
      <c r="AY15" s="133"/>
      <c r="AZ15" s="133"/>
      <c r="BA15" s="133"/>
    </row>
    <row r="16" spans="1:53" outlineLevel="3" x14ac:dyDescent="0.4">
      <c r="A16" s="143" t="s">
        <v>90</v>
      </c>
      <c r="B16" s="133" t="s">
        <v>75</v>
      </c>
      <c r="C16" s="144">
        <v>5</v>
      </c>
      <c r="D16" s="145"/>
      <c r="E16" s="146"/>
      <c r="F16" s="150"/>
      <c r="G16" s="133"/>
      <c r="H16" s="133"/>
      <c r="I16" s="133"/>
      <c r="J16" s="151"/>
      <c r="K16" s="133"/>
      <c r="L16" s="142"/>
      <c r="M16" s="132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133"/>
      <c r="AH16" s="133"/>
      <c r="AI16" s="133"/>
      <c r="AJ16" s="133"/>
      <c r="AK16" s="133"/>
      <c r="AL16" s="133"/>
      <c r="AM16" s="133"/>
      <c r="AN16" s="133"/>
      <c r="AO16" s="133"/>
      <c r="AP16" s="133"/>
      <c r="AQ16" s="133"/>
      <c r="AR16" s="133"/>
      <c r="AS16" s="133"/>
      <c r="AT16" s="133"/>
      <c r="AU16" s="133"/>
      <c r="AV16" s="133"/>
      <c r="AW16" s="133"/>
      <c r="AX16" s="133"/>
      <c r="AY16" s="133"/>
      <c r="AZ16" s="133"/>
      <c r="BA16" s="133"/>
    </row>
    <row r="17" spans="1:53" outlineLevel="3" x14ac:dyDescent="0.4">
      <c r="A17" s="143" t="s">
        <v>91</v>
      </c>
      <c r="B17" s="133" t="s">
        <v>77</v>
      </c>
      <c r="C17" s="144">
        <v>2</v>
      </c>
      <c r="D17" s="145"/>
      <c r="E17" s="146"/>
      <c r="F17" s="150"/>
      <c r="G17" s="133"/>
      <c r="H17" s="133"/>
      <c r="I17" s="133"/>
      <c r="J17" s="151"/>
      <c r="K17" s="133"/>
      <c r="L17" s="142"/>
      <c r="M17" s="132"/>
      <c r="N17" s="133"/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3"/>
      <c r="AU17" s="133"/>
      <c r="AV17" s="133"/>
      <c r="AW17" s="133"/>
      <c r="AX17" s="133"/>
      <c r="AY17" s="133"/>
      <c r="AZ17" s="133"/>
      <c r="BA17" s="133"/>
    </row>
    <row r="18" spans="1:53" outlineLevel="2" x14ac:dyDescent="0.4">
      <c r="A18" s="134" t="s">
        <v>92</v>
      </c>
      <c r="B18" s="135" t="s">
        <v>93</v>
      </c>
      <c r="C18" s="136">
        <f>SUM(C19:C21)</f>
        <v>35</v>
      </c>
      <c r="D18" s="137">
        <f>E18/ORÇAMENTO!$K$125</f>
        <v>3.1698252931969186E-2</v>
      </c>
      <c r="E18" s="138">
        <f>O256</f>
        <v>44863.344412135637</v>
      </c>
      <c r="F18" s="139"/>
      <c r="G18" s="140"/>
      <c r="H18" s="140"/>
      <c r="I18" s="140"/>
      <c r="J18" s="141"/>
      <c r="K18" s="133"/>
      <c r="L18" s="142"/>
      <c r="M18" s="132"/>
      <c r="N18" s="133"/>
      <c r="O18" s="133"/>
      <c r="P18" s="133"/>
      <c r="Q18" s="133"/>
      <c r="R18" s="133"/>
      <c r="S18" s="133"/>
      <c r="T18" s="133"/>
      <c r="U18" s="133"/>
      <c r="V18" s="133"/>
      <c r="W18" s="133"/>
      <c r="X18" s="133"/>
      <c r="Y18" s="133"/>
      <c r="Z18" s="133"/>
      <c r="AA18" s="133"/>
      <c r="AB18" s="133"/>
      <c r="AC18" s="133"/>
      <c r="AD18" s="133"/>
      <c r="AE18" s="133"/>
      <c r="AF18" s="133"/>
      <c r="AG18" s="133"/>
      <c r="AH18" s="133"/>
      <c r="AI18" s="133"/>
      <c r="AJ18" s="133"/>
      <c r="AK18" s="133"/>
      <c r="AL18" s="133"/>
      <c r="AM18" s="133"/>
      <c r="AN18" s="133"/>
      <c r="AO18" s="133"/>
      <c r="AP18" s="133"/>
      <c r="AQ18" s="133"/>
      <c r="AR18" s="133"/>
      <c r="AS18" s="133"/>
      <c r="AT18" s="133"/>
      <c r="AU18" s="133"/>
      <c r="AV18" s="133"/>
      <c r="AW18" s="133"/>
      <c r="AX18" s="133"/>
      <c r="AY18" s="133"/>
      <c r="AZ18" s="133"/>
      <c r="BA18" s="133"/>
    </row>
    <row r="19" spans="1:53" outlineLevel="3" x14ac:dyDescent="0.4">
      <c r="A19" s="143" t="s">
        <v>94</v>
      </c>
      <c r="B19" s="133" t="s">
        <v>95</v>
      </c>
      <c r="C19" s="144">
        <v>28</v>
      </c>
      <c r="D19" s="145"/>
      <c r="E19" s="146"/>
      <c r="F19" s="147"/>
      <c r="G19" s="148"/>
      <c r="H19" s="148"/>
      <c r="I19" s="149"/>
      <c r="J19" s="133"/>
      <c r="K19" s="133"/>
      <c r="L19" s="142"/>
      <c r="M19" s="132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133"/>
      <c r="AC19" s="133"/>
      <c r="AD19" s="133"/>
      <c r="AE19" s="133"/>
      <c r="AF19" s="133"/>
      <c r="AG19" s="133"/>
      <c r="AH19" s="133"/>
      <c r="AI19" s="133"/>
      <c r="AJ19" s="133"/>
      <c r="AK19" s="133"/>
      <c r="AL19" s="133"/>
      <c r="AM19" s="133"/>
      <c r="AN19" s="133"/>
      <c r="AO19" s="133"/>
      <c r="AP19" s="133"/>
      <c r="AQ19" s="133"/>
      <c r="AR19" s="133"/>
      <c r="AS19" s="133"/>
      <c r="AT19" s="133"/>
      <c r="AU19" s="133"/>
      <c r="AV19" s="133"/>
      <c r="AW19" s="133"/>
      <c r="AX19" s="133"/>
      <c r="AY19" s="133"/>
      <c r="AZ19" s="133"/>
      <c r="BA19" s="133"/>
    </row>
    <row r="20" spans="1:53" outlineLevel="3" x14ac:dyDescent="0.4">
      <c r="A20" s="143" t="s">
        <v>96</v>
      </c>
      <c r="B20" s="133" t="s">
        <v>75</v>
      </c>
      <c r="C20" s="144">
        <v>5</v>
      </c>
      <c r="D20" s="145"/>
      <c r="E20" s="146"/>
      <c r="F20" s="150"/>
      <c r="G20" s="133"/>
      <c r="H20" s="133"/>
      <c r="I20" s="133"/>
      <c r="J20" s="151"/>
      <c r="K20" s="133"/>
      <c r="L20" s="142"/>
      <c r="M20" s="132"/>
      <c r="N20" s="133"/>
      <c r="O20" s="133"/>
      <c r="P20" s="133"/>
      <c r="Q20" s="133"/>
      <c r="R20" s="133"/>
      <c r="S20" s="133"/>
      <c r="T20" s="133"/>
      <c r="U20" s="133"/>
      <c r="V20" s="133"/>
      <c r="W20" s="133"/>
      <c r="X20" s="133"/>
      <c r="Y20" s="133"/>
      <c r="Z20" s="133"/>
      <c r="AA20" s="133"/>
      <c r="AB20" s="133"/>
      <c r="AC20" s="133"/>
      <c r="AD20" s="133"/>
      <c r="AE20" s="133"/>
      <c r="AF20" s="133"/>
      <c r="AG20" s="133"/>
      <c r="AH20" s="133"/>
      <c r="AI20" s="133"/>
      <c r="AJ20" s="133"/>
      <c r="AK20" s="133"/>
      <c r="AL20" s="133"/>
      <c r="AM20" s="133"/>
      <c r="AN20" s="133"/>
      <c r="AO20" s="133"/>
      <c r="AP20" s="133"/>
      <c r="AQ20" s="133"/>
      <c r="AR20" s="133"/>
      <c r="AS20" s="133"/>
      <c r="AT20" s="133"/>
      <c r="AU20" s="133"/>
      <c r="AV20" s="133"/>
      <c r="AW20" s="133"/>
      <c r="AX20" s="133"/>
      <c r="AY20" s="133"/>
      <c r="AZ20" s="133"/>
      <c r="BA20" s="133"/>
    </row>
    <row r="21" spans="1:53" outlineLevel="3" x14ac:dyDescent="0.4">
      <c r="A21" s="143" t="s">
        <v>97</v>
      </c>
      <c r="B21" s="133" t="s">
        <v>77</v>
      </c>
      <c r="C21" s="144">
        <v>2</v>
      </c>
      <c r="D21" s="145"/>
      <c r="E21" s="146"/>
      <c r="F21" s="150"/>
      <c r="G21" s="133"/>
      <c r="H21" s="133"/>
      <c r="I21" s="133"/>
      <c r="J21" s="151"/>
      <c r="K21" s="133"/>
      <c r="L21" s="142"/>
      <c r="M21" s="132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  <c r="AA21" s="133"/>
      <c r="AB21" s="133"/>
      <c r="AC21" s="133"/>
      <c r="AD21" s="133"/>
      <c r="AE21" s="133"/>
      <c r="AF21" s="133"/>
      <c r="AG21" s="133"/>
      <c r="AH21" s="133"/>
      <c r="AI21" s="133"/>
      <c r="AJ21" s="133"/>
      <c r="AK21" s="133"/>
      <c r="AL21" s="133"/>
      <c r="AM21" s="133"/>
      <c r="AN21" s="133"/>
      <c r="AO21" s="133"/>
      <c r="AP21" s="133"/>
      <c r="AQ21" s="133"/>
      <c r="AR21" s="133"/>
      <c r="AS21" s="133"/>
      <c r="AT21" s="133"/>
      <c r="AU21" s="133"/>
      <c r="AV21" s="133"/>
      <c r="AW21" s="133"/>
      <c r="AX21" s="133"/>
      <c r="AY21" s="133"/>
      <c r="AZ21" s="133"/>
      <c r="BA21" s="133"/>
    </row>
    <row r="22" spans="1:53" outlineLevel="1" x14ac:dyDescent="0.4">
      <c r="A22" s="134" t="s">
        <v>98</v>
      </c>
      <c r="B22" s="135" t="s">
        <v>99</v>
      </c>
      <c r="C22" s="136">
        <f>SUM(C23:C25)</f>
        <v>28</v>
      </c>
      <c r="D22" s="137">
        <f>E22/ORÇAMENTO!$K$125</f>
        <v>2.1733244094387622E-2</v>
      </c>
      <c r="E22" s="138">
        <f>O257</f>
        <v>30759.613695181441</v>
      </c>
      <c r="F22" s="150"/>
      <c r="G22" s="133"/>
      <c r="H22" s="133"/>
      <c r="I22" s="152"/>
      <c r="J22" s="140"/>
      <c r="K22" s="140"/>
      <c r="L22" s="153"/>
      <c r="M22" s="132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  <c r="AD22" s="133"/>
      <c r="AE22" s="133"/>
      <c r="AF22" s="133"/>
      <c r="AG22" s="133"/>
      <c r="AH22" s="133"/>
      <c r="AI22" s="133"/>
      <c r="AJ22" s="133"/>
      <c r="AK22" s="133"/>
      <c r="AL22" s="133"/>
      <c r="AM22" s="133"/>
      <c r="AN22" s="133"/>
      <c r="AO22" s="133"/>
      <c r="AP22" s="133"/>
      <c r="AQ22" s="133"/>
      <c r="AR22" s="133"/>
      <c r="AS22" s="133"/>
      <c r="AT22" s="133"/>
      <c r="AU22" s="133"/>
      <c r="AV22" s="133"/>
      <c r="AW22" s="133"/>
      <c r="AX22" s="133"/>
      <c r="AY22" s="133"/>
      <c r="AZ22" s="133"/>
      <c r="BA22" s="133"/>
    </row>
    <row r="23" spans="1:53" outlineLevel="2" x14ac:dyDescent="0.4">
      <c r="A23" s="143" t="s">
        <v>100</v>
      </c>
      <c r="B23" s="133" t="s">
        <v>101</v>
      </c>
      <c r="C23" s="144">
        <v>21</v>
      </c>
      <c r="D23" s="145"/>
      <c r="E23" s="146"/>
      <c r="F23" s="150"/>
      <c r="G23" s="133"/>
      <c r="H23" s="133"/>
      <c r="I23" s="154"/>
      <c r="J23" s="148"/>
      <c r="K23" s="149"/>
      <c r="L23" s="142"/>
      <c r="M23" s="132"/>
      <c r="N23" s="133"/>
      <c r="O23" s="133"/>
      <c r="P23" s="133"/>
      <c r="Q23" s="133"/>
      <c r="R23" s="133"/>
      <c r="S23" s="133"/>
      <c r="T23" s="133"/>
      <c r="U23" s="133"/>
      <c r="V23" s="133"/>
      <c r="W23" s="133"/>
      <c r="X23" s="133"/>
      <c r="Y23" s="133"/>
      <c r="Z23" s="133"/>
      <c r="AA23" s="133"/>
      <c r="AB23" s="133"/>
      <c r="AC23" s="133"/>
      <c r="AD23" s="133"/>
      <c r="AE23" s="133"/>
      <c r="AF23" s="133"/>
      <c r="AG23" s="133"/>
      <c r="AH23" s="133"/>
      <c r="AI23" s="133"/>
      <c r="AJ23" s="133"/>
      <c r="AK23" s="133"/>
      <c r="AL23" s="133"/>
      <c r="AM23" s="133"/>
      <c r="AN23" s="133"/>
      <c r="AO23" s="133"/>
      <c r="AP23" s="133"/>
      <c r="AQ23" s="133"/>
      <c r="AR23" s="133"/>
      <c r="AS23" s="133"/>
      <c r="AT23" s="133"/>
      <c r="AU23" s="133"/>
      <c r="AV23" s="133"/>
      <c r="AW23" s="133"/>
      <c r="AX23" s="133"/>
      <c r="AY23" s="133"/>
      <c r="AZ23" s="133"/>
      <c r="BA23" s="133"/>
    </row>
    <row r="24" spans="1:53" outlineLevel="2" x14ac:dyDescent="0.4">
      <c r="A24" s="143" t="s">
        <v>102</v>
      </c>
      <c r="B24" s="133" t="s">
        <v>75</v>
      </c>
      <c r="C24" s="144">
        <v>5</v>
      </c>
      <c r="D24" s="145"/>
      <c r="E24" s="146"/>
      <c r="F24" s="150"/>
      <c r="G24" s="133"/>
      <c r="H24" s="133"/>
      <c r="I24" s="133"/>
      <c r="J24" s="133"/>
      <c r="K24" s="133"/>
      <c r="L24" s="155"/>
      <c r="M24" s="132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  <c r="AO24" s="133"/>
      <c r="AP24" s="133"/>
      <c r="AQ24" s="133"/>
      <c r="AR24" s="133"/>
      <c r="AS24" s="133"/>
      <c r="AT24" s="133"/>
      <c r="AU24" s="133"/>
      <c r="AV24" s="133"/>
      <c r="AW24" s="133"/>
      <c r="AX24" s="133"/>
      <c r="AY24" s="133"/>
      <c r="AZ24" s="133"/>
      <c r="BA24" s="133"/>
    </row>
    <row r="25" spans="1:53" ht="14.6" outlineLevel="2" thickBot="1" x14ac:dyDescent="0.45">
      <c r="A25" s="143" t="s">
        <v>103</v>
      </c>
      <c r="B25" s="133" t="s">
        <v>77</v>
      </c>
      <c r="C25" s="144">
        <v>2</v>
      </c>
      <c r="D25" s="145"/>
      <c r="E25" s="146"/>
      <c r="F25" s="156"/>
      <c r="G25" s="157"/>
      <c r="H25" s="157"/>
      <c r="I25" s="157"/>
      <c r="J25" s="157"/>
      <c r="K25" s="157"/>
      <c r="L25" s="158"/>
      <c r="M25" s="159"/>
      <c r="N25" s="160"/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60"/>
      <c r="Z25" s="160"/>
      <c r="AA25" s="160"/>
      <c r="AB25" s="160"/>
      <c r="AC25" s="160"/>
      <c r="AD25" s="160"/>
      <c r="AE25" s="160"/>
      <c r="AF25" s="160"/>
      <c r="AG25" s="160"/>
      <c r="AH25" s="160"/>
      <c r="AI25" s="160"/>
      <c r="AJ25" s="160"/>
      <c r="AK25" s="160"/>
      <c r="AL25" s="160"/>
      <c r="AM25" s="160"/>
      <c r="AN25" s="160"/>
      <c r="AO25" s="160"/>
      <c r="AP25" s="160"/>
      <c r="AQ25" s="160"/>
      <c r="AR25" s="160"/>
      <c r="AS25" s="160"/>
      <c r="AT25" s="160"/>
      <c r="AU25" s="160"/>
      <c r="AV25" s="160"/>
      <c r="AW25" s="160"/>
      <c r="AX25" s="160"/>
      <c r="AY25" s="160"/>
      <c r="AZ25" s="160"/>
      <c r="BA25" s="133"/>
    </row>
    <row r="26" spans="1:53" ht="14.6" thickBot="1" x14ac:dyDescent="0.45">
      <c r="A26" s="124">
        <v>2</v>
      </c>
      <c r="B26" s="161" t="s">
        <v>104</v>
      </c>
      <c r="C26" s="126">
        <v>301</v>
      </c>
      <c r="D26" s="127">
        <f>E26/ORÇAMENTO!$K$125</f>
        <v>0.87423682172625905</v>
      </c>
      <c r="E26" s="162">
        <f>O258+O259+O260+O261+O262+O263+O264+O265+O266+O267+O268</f>
        <v>1237329.6318586555</v>
      </c>
      <c r="F26" s="163"/>
      <c r="G26" s="164"/>
      <c r="H26" s="164"/>
      <c r="I26" s="165"/>
      <c r="J26" s="166"/>
      <c r="K26" s="167"/>
      <c r="L26" s="167"/>
      <c r="M26" s="167"/>
      <c r="N26" s="167"/>
      <c r="O26" s="167"/>
      <c r="P26" s="167"/>
      <c r="Q26" s="167"/>
      <c r="R26" s="167"/>
      <c r="S26" s="167"/>
      <c r="T26" s="167"/>
      <c r="U26" s="167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0"/>
      <c r="AH26" s="130"/>
      <c r="AI26" s="130"/>
      <c r="AJ26" s="130"/>
      <c r="AK26" s="130"/>
      <c r="AL26" s="130"/>
      <c r="AM26" s="130"/>
      <c r="AN26" s="130"/>
      <c r="AO26" s="130"/>
      <c r="AP26" s="130"/>
      <c r="AQ26" s="130"/>
      <c r="AR26" s="130"/>
      <c r="AS26" s="130"/>
      <c r="AT26" s="130"/>
      <c r="AU26" s="130"/>
      <c r="AV26" s="130"/>
      <c r="AW26" s="130"/>
      <c r="AX26" s="130"/>
      <c r="AY26" s="130"/>
      <c r="AZ26" s="131"/>
      <c r="BA26" s="132"/>
    </row>
    <row r="27" spans="1:53" outlineLevel="1" x14ac:dyDescent="0.4">
      <c r="A27" s="134" t="s">
        <v>105</v>
      </c>
      <c r="B27" s="135" t="s">
        <v>46</v>
      </c>
      <c r="C27" s="136">
        <v>77</v>
      </c>
      <c r="D27" s="137">
        <f>E27/ORÇAMENTO!$K$125</f>
        <v>0.19433300152875899</v>
      </c>
      <c r="E27" s="168">
        <f>SUM(E28:E64)</f>
        <v>275044.44478187151</v>
      </c>
      <c r="F27" s="132"/>
      <c r="G27" s="133"/>
      <c r="H27" s="133"/>
      <c r="I27" s="169"/>
      <c r="J27" s="170"/>
      <c r="K27" s="171"/>
      <c r="L27" s="171"/>
      <c r="M27" s="171"/>
      <c r="N27" s="171"/>
      <c r="O27" s="171"/>
      <c r="P27" s="171"/>
      <c r="Q27" s="171"/>
      <c r="R27" s="171"/>
      <c r="S27" s="171"/>
      <c r="T27" s="172"/>
      <c r="U27" s="132"/>
      <c r="V27" s="132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  <c r="AT27" s="133"/>
      <c r="AU27" s="133"/>
      <c r="AV27" s="133"/>
      <c r="AW27" s="133"/>
      <c r="AX27" s="133"/>
      <c r="AY27" s="133"/>
      <c r="AZ27" s="142"/>
      <c r="BA27" s="132"/>
    </row>
    <row r="28" spans="1:53" outlineLevel="2" x14ac:dyDescent="0.4">
      <c r="A28" s="134" t="s">
        <v>106</v>
      </c>
      <c r="B28" s="135" t="s">
        <v>107</v>
      </c>
      <c r="C28" s="136">
        <f>SUM(C29:C31)</f>
        <v>28</v>
      </c>
      <c r="D28" s="137">
        <f>E28/ORÇAMENTO!$K$125</f>
        <v>3.215309130505499E-2</v>
      </c>
      <c r="E28" s="168">
        <f>C29*$O$258/$M$258</f>
        <v>45507.088741748958</v>
      </c>
      <c r="F28" s="132"/>
      <c r="G28" s="133"/>
      <c r="H28" s="133"/>
      <c r="I28" s="169"/>
      <c r="J28" s="139"/>
      <c r="K28" s="140"/>
      <c r="L28" s="140"/>
      <c r="M28" s="141"/>
      <c r="N28" s="133"/>
      <c r="O28" s="133"/>
      <c r="P28" s="133"/>
      <c r="Q28" s="133"/>
      <c r="R28" s="133"/>
      <c r="S28" s="133"/>
      <c r="T28" s="142"/>
      <c r="U28" s="132"/>
      <c r="V28" s="132"/>
      <c r="W28" s="133"/>
      <c r="X28" s="133"/>
      <c r="Y28" s="133"/>
      <c r="Z28" s="133"/>
      <c r="AA28" s="133"/>
      <c r="AB28" s="133"/>
      <c r="AC28" s="133"/>
      <c r="AD28" s="133"/>
      <c r="AE28" s="133"/>
      <c r="AF28" s="133"/>
      <c r="AG28" s="133"/>
      <c r="AH28" s="133"/>
      <c r="AI28" s="133"/>
      <c r="AJ28" s="133"/>
      <c r="AK28" s="133"/>
      <c r="AL28" s="133"/>
      <c r="AM28" s="133"/>
      <c r="AN28" s="133"/>
      <c r="AO28" s="133"/>
      <c r="AP28" s="133"/>
      <c r="AQ28" s="133"/>
      <c r="AR28" s="133"/>
      <c r="AS28" s="133"/>
      <c r="AT28" s="133"/>
      <c r="AU28" s="133"/>
      <c r="AV28" s="133"/>
      <c r="AW28" s="133"/>
      <c r="AX28" s="133"/>
      <c r="AY28" s="133"/>
      <c r="AZ28" s="142"/>
      <c r="BA28" s="132"/>
    </row>
    <row r="29" spans="1:53" outlineLevel="3" x14ac:dyDescent="0.4">
      <c r="A29" s="143" t="s">
        <v>108</v>
      </c>
      <c r="B29" s="133" t="s">
        <v>109</v>
      </c>
      <c r="C29" s="144">
        <v>21</v>
      </c>
      <c r="D29" s="145"/>
      <c r="E29" s="173"/>
      <c r="F29" s="132"/>
      <c r="G29" s="133"/>
      <c r="H29" s="133"/>
      <c r="I29" s="169"/>
      <c r="J29" s="147"/>
      <c r="K29" s="149"/>
      <c r="L29" s="174"/>
      <c r="M29" s="133"/>
      <c r="N29" s="133"/>
      <c r="O29" s="133"/>
      <c r="P29" s="133"/>
      <c r="Q29" s="133"/>
      <c r="R29" s="133"/>
      <c r="S29" s="133"/>
      <c r="T29" s="142"/>
      <c r="U29" s="132"/>
      <c r="V29" s="132"/>
      <c r="W29" s="133"/>
      <c r="X29" s="133"/>
      <c r="Y29" s="133"/>
      <c r="Z29" s="133"/>
      <c r="AA29" s="133"/>
      <c r="AB29" s="133"/>
      <c r="AC29" s="133"/>
      <c r="AD29" s="133"/>
      <c r="AE29" s="133"/>
      <c r="AF29" s="133"/>
      <c r="AG29" s="133"/>
      <c r="AH29" s="133"/>
      <c r="AI29" s="133"/>
      <c r="AJ29" s="133"/>
      <c r="AK29" s="133"/>
      <c r="AL29" s="133"/>
      <c r="AM29" s="133"/>
      <c r="AN29" s="133"/>
      <c r="AO29" s="133"/>
      <c r="AP29" s="133"/>
      <c r="AQ29" s="133"/>
      <c r="AR29" s="133"/>
      <c r="AS29" s="133"/>
      <c r="AT29" s="133"/>
      <c r="AU29" s="133"/>
      <c r="AV29" s="133"/>
      <c r="AW29" s="133"/>
      <c r="AX29" s="133"/>
      <c r="AY29" s="133"/>
      <c r="AZ29" s="142"/>
      <c r="BA29" s="132"/>
    </row>
    <row r="30" spans="1:53" outlineLevel="3" x14ac:dyDescent="0.4">
      <c r="A30" s="143" t="s">
        <v>110</v>
      </c>
      <c r="B30" s="133" t="s">
        <v>75</v>
      </c>
      <c r="C30" s="144">
        <v>5</v>
      </c>
      <c r="D30" s="145"/>
      <c r="E30" s="173"/>
      <c r="F30" s="132"/>
      <c r="G30" s="133"/>
      <c r="H30" s="133"/>
      <c r="I30" s="169"/>
      <c r="J30" s="150"/>
      <c r="K30" s="133"/>
      <c r="L30" s="133"/>
      <c r="M30" s="151"/>
      <c r="N30" s="133"/>
      <c r="O30" s="133"/>
      <c r="P30" s="133"/>
      <c r="Q30" s="133"/>
      <c r="R30" s="133"/>
      <c r="S30" s="133"/>
      <c r="T30" s="142"/>
      <c r="U30" s="132"/>
      <c r="V30" s="132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  <c r="AJ30" s="133"/>
      <c r="AK30" s="133"/>
      <c r="AL30" s="133"/>
      <c r="AM30" s="133"/>
      <c r="AN30" s="133"/>
      <c r="AO30" s="133"/>
      <c r="AP30" s="133"/>
      <c r="AQ30" s="133"/>
      <c r="AR30" s="133"/>
      <c r="AS30" s="133"/>
      <c r="AT30" s="133"/>
      <c r="AU30" s="133"/>
      <c r="AV30" s="133"/>
      <c r="AW30" s="133"/>
      <c r="AX30" s="133"/>
      <c r="AY30" s="133"/>
      <c r="AZ30" s="142"/>
      <c r="BA30" s="132"/>
    </row>
    <row r="31" spans="1:53" outlineLevel="3" x14ac:dyDescent="0.4">
      <c r="A31" s="143" t="s">
        <v>111</v>
      </c>
      <c r="B31" s="133" t="s">
        <v>77</v>
      </c>
      <c r="C31" s="144">
        <v>2</v>
      </c>
      <c r="D31" s="145"/>
      <c r="E31" s="173"/>
      <c r="F31" s="132"/>
      <c r="G31" s="133"/>
      <c r="H31" s="133"/>
      <c r="I31" s="169"/>
      <c r="J31" s="150"/>
      <c r="K31" s="133"/>
      <c r="L31" s="133"/>
      <c r="M31" s="151"/>
      <c r="N31" s="133"/>
      <c r="O31" s="133"/>
      <c r="P31" s="133"/>
      <c r="Q31" s="133"/>
      <c r="R31" s="133"/>
      <c r="S31" s="133"/>
      <c r="T31" s="142"/>
      <c r="U31" s="132"/>
      <c r="V31" s="132"/>
      <c r="W31" s="133"/>
      <c r="X31" s="133"/>
      <c r="Y31" s="133"/>
      <c r="Z31" s="133"/>
      <c r="AA31" s="133"/>
      <c r="AB31" s="133"/>
      <c r="AC31" s="133"/>
      <c r="AD31" s="133"/>
      <c r="AE31" s="133"/>
      <c r="AF31" s="133"/>
      <c r="AG31" s="133"/>
      <c r="AH31" s="133"/>
      <c r="AI31" s="133"/>
      <c r="AJ31" s="133"/>
      <c r="AK31" s="133"/>
      <c r="AL31" s="133"/>
      <c r="AM31" s="133"/>
      <c r="AN31" s="133"/>
      <c r="AO31" s="133"/>
      <c r="AP31" s="133"/>
      <c r="AQ31" s="133"/>
      <c r="AR31" s="133"/>
      <c r="AS31" s="133"/>
      <c r="AT31" s="133"/>
      <c r="AU31" s="133"/>
      <c r="AV31" s="133"/>
      <c r="AW31" s="133"/>
      <c r="AX31" s="133"/>
      <c r="AY31" s="133"/>
      <c r="AZ31" s="142"/>
      <c r="BA31" s="132"/>
    </row>
    <row r="32" spans="1:53" outlineLevel="2" x14ac:dyDescent="0.4">
      <c r="A32" s="134" t="s">
        <v>112</v>
      </c>
      <c r="B32" s="135" t="s">
        <v>113</v>
      </c>
      <c r="C32" s="136">
        <f>SUM(C33:C35)</f>
        <v>8</v>
      </c>
      <c r="D32" s="137">
        <f>E32/ORÇAMENTO!$K$125</f>
        <v>7.5105853555325411E-3</v>
      </c>
      <c r="E32" s="168">
        <f>C33*$O$259/$M$259</f>
        <v>10629.922673188357</v>
      </c>
      <c r="F32" s="132"/>
      <c r="G32" s="133"/>
      <c r="H32" s="133"/>
      <c r="I32" s="169"/>
      <c r="J32" s="150"/>
      <c r="K32" s="133"/>
      <c r="L32" s="152"/>
      <c r="M32" s="141"/>
      <c r="N32" s="133"/>
      <c r="O32" s="133"/>
      <c r="P32" s="133"/>
      <c r="Q32" s="133"/>
      <c r="R32" s="133"/>
      <c r="S32" s="133"/>
      <c r="T32" s="142"/>
      <c r="U32" s="132"/>
      <c r="V32" s="132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/>
      <c r="AQ32" s="133"/>
      <c r="AR32" s="133"/>
      <c r="AS32" s="133"/>
      <c r="AT32" s="133"/>
      <c r="AU32" s="133"/>
      <c r="AV32" s="133"/>
      <c r="AW32" s="133"/>
      <c r="AX32" s="133"/>
      <c r="AY32" s="133"/>
      <c r="AZ32" s="142"/>
      <c r="BA32" s="132"/>
    </row>
    <row r="33" spans="1:53" outlineLevel="3" x14ac:dyDescent="0.4">
      <c r="A33" s="143" t="s">
        <v>114</v>
      </c>
      <c r="B33" s="133" t="s">
        <v>115</v>
      </c>
      <c r="C33" s="144">
        <v>5</v>
      </c>
      <c r="D33" s="145"/>
      <c r="E33" s="173"/>
      <c r="F33" s="132"/>
      <c r="G33" s="133"/>
      <c r="H33" s="133"/>
      <c r="I33" s="169"/>
      <c r="J33" s="150"/>
      <c r="K33" s="133"/>
      <c r="L33" s="154"/>
      <c r="M33" s="149"/>
      <c r="N33" s="133"/>
      <c r="O33" s="133"/>
      <c r="P33" s="133"/>
      <c r="Q33" s="133"/>
      <c r="R33" s="133"/>
      <c r="S33" s="133"/>
      <c r="T33" s="142"/>
      <c r="U33" s="132"/>
      <c r="V33" s="132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3"/>
      <c r="AH33" s="133"/>
      <c r="AI33" s="133"/>
      <c r="AJ33" s="133"/>
      <c r="AK33" s="133"/>
      <c r="AL33" s="133"/>
      <c r="AM33" s="133"/>
      <c r="AN33" s="133"/>
      <c r="AO33" s="133"/>
      <c r="AP33" s="133"/>
      <c r="AQ33" s="133"/>
      <c r="AR33" s="133"/>
      <c r="AS33" s="133"/>
      <c r="AT33" s="133"/>
      <c r="AU33" s="133"/>
      <c r="AV33" s="133"/>
      <c r="AW33" s="133"/>
      <c r="AX33" s="133"/>
      <c r="AY33" s="133"/>
      <c r="AZ33" s="142"/>
      <c r="BA33" s="132"/>
    </row>
    <row r="34" spans="1:53" outlineLevel="3" x14ac:dyDescent="0.4">
      <c r="A34" s="143" t="s">
        <v>116</v>
      </c>
      <c r="B34" s="133" t="s">
        <v>75</v>
      </c>
      <c r="C34" s="144">
        <v>2</v>
      </c>
      <c r="D34" s="145"/>
      <c r="E34" s="173"/>
      <c r="F34" s="132"/>
      <c r="G34" s="133"/>
      <c r="H34" s="133"/>
      <c r="I34" s="169"/>
      <c r="J34" s="150"/>
      <c r="K34" s="133"/>
      <c r="L34" s="133"/>
      <c r="M34" s="151"/>
      <c r="N34" s="133"/>
      <c r="O34" s="133"/>
      <c r="P34" s="133"/>
      <c r="Q34" s="133"/>
      <c r="R34" s="133"/>
      <c r="S34" s="133"/>
      <c r="T34" s="142"/>
      <c r="U34" s="132"/>
      <c r="V34" s="132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33"/>
      <c r="AI34" s="133"/>
      <c r="AJ34" s="133"/>
      <c r="AK34" s="133"/>
      <c r="AL34" s="133"/>
      <c r="AM34" s="133"/>
      <c r="AN34" s="133"/>
      <c r="AO34" s="133"/>
      <c r="AP34" s="133"/>
      <c r="AQ34" s="133"/>
      <c r="AR34" s="133"/>
      <c r="AS34" s="133"/>
      <c r="AT34" s="133"/>
      <c r="AU34" s="133"/>
      <c r="AV34" s="133"/>
      <c r="AW34" s="133"/>
      <c r="AX34" s="133"/>
      <c r="AY34" s="133"/>
      <c r="AZ34" s="142"/>
      <c r="BA34" s="132"/>
    </row>
    <row r="35" spans="1:53" outlineLevel="3" x14ac:dyDescent="0.4">
      <c r="A35" s="143" t="s">
        <v>117</v>
      </c>
      <c r="B35" s="133" t="s">
        <v>77</v>
      </c>
      <c r="C35" s="144">
        <v>1</v>
      </c>
      <c r="D35" s="145"/>
      <c r="E35" s="173"/>
      <c r="F35" s="132"/>
      <c r="G35" s="133"/>
      <c r="H35" s="133"/>
      <c r="I35" s="169"/>
      <c r="J35" s="150"/>
      <c r="K35" s="133"/>
      <c r="L35" s="133"/>
      <c r="M35" s="151"/>
      <c r="N35" s="133"/>
      <c r="O35" s="133"/>
      <c r="P35" s="133"/>
      <c r="Q35" s="133"/>
      <c r="R35" s="133"/>
      <c r="S35" s="133"/>
      <c r="T35" s="142"/>
      <c r="U35" s="132"/>
      <c r="V35" s="132"/>
      <c r="W35" s="133"/>
      <c r="X35" s="133"/>
      <c r="Y35" s="133"/>
      <c r="Z35" s="133"/>
      <c r="AA35" s="133"/>
      <c r="AB35" s="133"/>
      <c r="AC35" s="133"/>
      <c r="AD35" s="133"/>
      <c r="AE35" s="133"/>
      <c r="AF35" s="133"/>
      <c r="AG35" s="133"/>
      <c r="AH35" s="133"/>
      <c r="AI35" s="133"/>
      <c r="AJ35" s="133"/>
      <c r="AK35" s="133"/>
      <c r="AL35" s="133"/>
      <c r="AM35" s="133"/>
      <c r="AN35" s="133"/>
      <c r="AO35" s="133"/>
      <c r="AP35" s="133"/>
      <c r="AQ35" s="133"/>
      <c r="AR35" s="133"/>
      <c r="AS35" s="133"/>
      <c r="AT35" s="133"/>
      <c r="AU35" s="133"/>
      <c r="AV35" s="133"/>
      <c r="AW35" s="133"/>
      <c r="AX35" s="133"/>
      <c r="AY35" s="133"/>
      <c r="AZ35" s="142"/>
      <c r="BA35" s="132"/>
    </row>
    <row r="36" spans="1:53" outlineLevel="2" x14ac:dyDescent="0.4">
      <c r="A36" s="134" t="s">
        <v>118</v>
      </c>
      <c r="B36" s="135" t="s">
        <v>119</v>
      </c>
      <c r="C36" s="136">
        <f>SUM(C37:C39)</f>
        <v>21</v>
      </c>
      <c r="D36" s="137">
        <f>E36/ORÇAMENTO!$K$125</f>
        <v>2.1029642509598413E-2</v>
      </c>
      <c r="E36" s="168">
        <f>C37*$O$260/$M$260</f>
        <v>29763.78845853293</v>
      </c>
      <c r="F36" s="132"/>
      <c r="G36" s="133"/>
      <c r="H36" s="133"/>
      <c r="I36" s="169"/>
      <c r="J36" s="150"/>
      <c r="K36" s="133"/>
      <c r="L36" s="133"/>
      <c r="M36" s="152"/>
      <c r="N36" s="140"/>
      <c r="O36" s="141"/>
      <c r="P36" s="133"/>
      <c r="Q36" s="133"/>
      <c r="R36" s="133"/>
      <c r="S36" s="133"/>
      <c r="T36" s="142"/>
      <c r="U36" s="132"/>
      <c r="V36" s="132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33"/>
      <c r="AI36" s="133"/>
      <c r="AJ36" s="133"/>
      <c r="AK36" s="133"/>
      <c r="AL36" s="133"/>
      <c r="AM36" s="133"/>
      <c r="AN36" s="133"/>
      <c r="AO36" s="133"/>
      <c r="AP36" s="133"/>
      <c r="AQ36" s="133"/>
      <c r="AR36" s="133"/>
      <c r="AS36" s="133"/>
      <c r="AT36" s="133"/>
      <c r="AU36" s="133"/>
      <c r="AV36" s="133"/>
      <c r="AW36" s="133"/>
      <c r="AX36" s="133"/>
      <c r="AY36" s="133"/>
      <c r="AZ36" s="142"/>
      <c r="BA36" s="132"/>
    </row>
    <row r="37" spans="1:53" outlineLevel="3" x14ac:dyDescent="0.4">
      <c r="A37" s="143" t="s">
        <v>120</v>
      </c>
      <c r="B37" s="133" t="s">
        <v>121</v>
      </c>
      <c r="C37" s="144">
        <v>14</v>
      </c>
      <c r="D37" s="145"/>
      <c r="E37" s="173"/>
      <c r="F37" s="132"/>
      <c r="G37" s="133"/>
      <c r="H37" s="133"/>
      <c r="I37" s="169"/>
      <c r="J37" s="150"/>
      <c r="K37" s="133"/>
      <c r="L37" s="133"/>
      <c r="M37" s="154"/>
      <c r="N37" s="149"/>
      <c r="O37" s="133"/>
      <c r="P37" s="133"/>
      <c r="Q37" s="133"/>
      <c r="R37" s="133"/>
      <c r="S37" s="133"/>
      <c r="T37" s="142"/>
      <c r="U37" s="132"/>
      <c r="V37" s="132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33"/>
      <c r="AI37" s="133"/>
      <c r="AJ37" s="133"/>
      <c r="AK37" s="133"/>
      <c r="AL37" s="133"/>
      <c r="AM37" s="133"/>
      <c r="AN37" s="133"/>
      <c r="AO37" s="133"/>
      <c r="AP37" s="133"/>
      <c r="AQ37" s="133"/>
      <c r="AR37" s="133"/>
      <c r="AS37" s="133"/>
      <c r="AT37" s="133"/>
      <c r="AU37" s="133"/>
      <c r="AV37" s="133"/>
      <c r="AW37" s="133"/>
      <c r="AX37" s="133"/>
      <c r="AY37" s="133"/>
      <c r="AZ37" s="142"/>
      <c r="BA37" s="132"/>
    </row>
    <row r="38" spans="1:53" outlineLevel="3" x14ac:dyDescent="0.4">
      <c r="A38" s="143" t="s">
        <v>122</v>
      </c>
      <c r="B38" s="133" t="s">
        <v>75</v>
      </c>
      <c r="C38" s="144">
        <v>5</v>
      </c>
      <c r="D38" s="145"/>
      <c r="E38" s="173"/>
      <c r="F38" s="132"/>
      <c r="G38" s="133"/>
      <c r="H38" s="133"/>
      <c r="I38" s="169"/>
      <c r="J38" s="150"/>
      <c r="K38" s="133"/>
      <c r="L38" s="133"/>
      <c r="M38" s="133"/>
      <c r="N38" s="133"/>
      <c r="O38" s="151"/>
      <c r="P38" s="133"/>
      <c r="Q38" s="133"/>
      <c r="R38" s="133"/>
      <c r="S38" s="133"/>
      <c r="T38" s="142"/>
      <c r="U38" s="132"/>
      <c r="V38" s="132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  <c r="AI38" s="133"/>
      <c r="AJ38" s="133"/>
      <c r="AK38" s="133"/>
      <c r="AL38" s="133"/>
      <c r="AM38" s="133"/>
      <c r="AN38" s="133"/>
      <c r="AO38" s="133"/>
      <c r="AP38" s="133"/>
      <c r="AQ38" s="133"/>
      <c r="AR38" s="133"/>
      <c r="AS38" s="133"/>
      <c r="AT38" s="133"/>
      <c r="AU38" s="133"/>
      <c r="AV38" s="133"/>
      <c r="AW38" s="133"/>
      <c r="AX38" s="133"/>
      <c r="AY38" s="133"/>
      <c r="AZ38" s="142"/>
      <c r="BA38" s="132"/>
    </row>
    <row r="39" spans="1:53" outlineLevel="3" x14ac:dyDescent="0.4">
      <c r="A39" s="143" t="s">
        <v>123</v>
      </c>
      <c r="B39" s="133" t="s">
        <v>77</v>
      </c>
      <c r="C39" s="144">
        <v>2</v>
      </c>
      <c r="D39" s="145"/>
      <c r="E39" s="173"/>
      <c r="F39" s="132"/>
      <c r="G39" s="133"/>
      <c r="H39" s="133"/>
      <c r="I39" s="169"/>
      <c r="J39" s="150"/>
      <c r="K39" s="133"/>
      <c r="L39" s="133"/>
      <c r="M39" s="133"/>
      <c r="N39" s="133"/>
      <c r="O39" s="151"/>
      <c r="P39" s="133"/>
      <c r="Q39" s="133"/>
      <c r="R39" s="133"/>
      <c r="S39" s="133"/>
      <c r="T39" s="142"/>
      <c r="U39" s="132"/>
      <c r="V39" s="132"/>
      <c r="W39" s="133"/>
      <c r="X39" s="133"/>
      <c r="Y39" s="133"/>
      <c r="Z39" s="133"/>
      <c r="AA39" s="133"/>
      <c r="AB39" s="133"/>
      <c r="AC39" s="133"/>
      <c r="AD39" s="133"/>
      <c r="AE39" s="133"/>
      <c r="AF39" s="133"/>
      <c r="AG39" s="133"/>
      <c r="AH39" s="133"/>
      <c r="AI39" s="133"/>
      <c r="AJ39" s="133"/>
      <c r="AK39" s="133"/>
      <c r="AL39" s="133"/>
      <c r="AM39" s="133"/>
      <c r="AN39" s="133"/>
      <c r="AO39" s="133"/>
      <c r="AP39" s="133"/>
      <c r="AQ39" s="133"/>
      <c r="AR39" s="133"/>
      <c r="AS39" s="133"/>
      <c r="AT39" s="133"/>
      <c r="AU39" s="133"/>
      <c r="AV39" s="133"/>
      <c r="AW39" s="133"/>
      <c r="AX39" s="133"/>
      <c r="AY39" s="133"/>
      <c r="AZ39" s="142"/>
      <c r="BA39" s="132"/>
    </row>
    <row r="40" spans="1:53" outlineLevel="2" x14ac:dyDescent="0.4">
      <c r="A40" s="134" t="s">
        <v>124</v>
      </c>
      <c r="B40" s="135" t="s">
        <v>125</v>
      </c>
      <c r="C40" s="136">
        <f>SUM(C41:C43)</f>
        <v>8</v>
      </c>
      <c r="D40" s="137">
        <f>E40/ORÇAMENTO!$K$125</f>
        <v>7.5105855926764116E-3</v>
      </c>
      <c r="E40" s="168">
        <f>C41*$O$261/$M$261</f>
        <v>10629.923008824115</v>
      </c>
      <c r="F40" s="132"/>
      <c r="G40" s="133"/>
      <c r="H40" s="133"/>
      <c r="I40" s="169"/>
      <c r="J40" s="150"/>
      <c r="K40" s="133"/>
      <c r="L40" s="133"/>
      <c r="M40" s="135"/>
      <c r="N40" s="133"/>
      <c r="O40" s="133"/>
      <c r="P40" s="133"/>
      <c r="Q40" s="133"/>
      <c r="R40" s="133"/>
      <c r="S40" s="133"/>
      <c r="T40" s="142"/>
      <c r="U40" s="132"/>
      <c r="V40" s="132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  <c r="AJ40" s="133"/>
      <c r="AK40" s="133"/>
      <c r="AL40" s="133"/>
      <c r="AM40" s="133"/>
      <c r="AN40" s="133"/>
      <c r="AO40" s="133"/>
      <c r="AP40" s="133"/>
      <c r="AQ40" s="133"/>
      <c r="AR40" s="133"/>
      <c r="AS40" s="133"/>
      <c r="AT40" s="133"/>
      <c r="AU40" s="133"/>
      <c r="AV40" s="133"/>
      <c r="AW40" s="133"/>
      <c r="AX40" s="133"/>
      <c r="AY40" s="133"/>
      <c r="AZ40" s="142"/>
      <c r="BA40" s="132"/>
    </row>
    <row r="41" spans="1:53" outlineLevel="3" x14ac:dyDescent="0.4">
      <c r="A41" s="143" t="s">
        <v>126</v>
      </c>
      <c r="B41" s="133" t="s">
        <v>127</v>
      </c>
      <c r="C41" s="144">
        <v>5</v>
      </c>
      <c r="D41" s="145"/>
      <c r="E41" s="173"/>
      <c r="F41" s="132"/>
      <c r="G41" s="133"/>
      <c r="H41" s="133"/>
      <c r="I41" s="169"/>
      <c r="J41" s="150"/>
      <c r="K41" s="133"/>
      <c r="L41" s="133"/>
      <c r="M41" s="175"/>
      <c r="N41" s="133"/>
      <c r="O41" s="133"/>
      <c r="P41" s="133"/>
      <c r="Q41" s="133"/>
      <c r="R41" s="133"/>
      <c r="S41" s="133"/>
      <c r="T41" s="142"/>
      <c r="U41" s="132"/>
      <c r="V41" s="132"/>
      <c r="W41" s="133"/>
      <c r="X41" s="133"/>
      <c r="Y41" s="133"/>
      <c r="Z41" s="133"/>
      <c r="AA41" s="133"/>
      <c r="AB41" s="133"/>
      <c r="AC41" s="133"/>
      <c r="AD41" s="133"/>
      <c r="AE41" s="133"/>
      <c r="AF41" s="133"/>
      <c r="AG41" s="133"/>
      <c r="AH41" s="133"/>
      <c r="AI41" s="133"/>
      <c r="AJ41" s="133"/>
      <c r="AK41" s="133"/>
      <c r="AL41" s="133"/>
      <c r="AM41" s="133"/>
      <c r="AN41" s="133"/>
      <c r="AO41" s="133"/>
      <c r="AP41" s="133"/>
      <c r="AQ41" s="133"/>
      <c r="AR41" s="133"/>
      <c r="AS41" s="133"/>
      <c r="AT41" s="133"/>
      <c r="AU41" s="133"/>
      <c r="AV41" s="133"/>
      <c r="AW41" s="133"/>
      <c r="AX41" s="133"/>
      <c r="AY41" s="133"/>
      <c r="AZ41" s="142"/>
      <c r="BA41" s="132"/>
    </row>
    <row r="42" spans="1:53" outlineLevel="3" x14ac:dyDescent="0.4">
      <c r="A42" s="143" t="s">
        <v>128</v>
      </c>
      <c r="B42" s="133" t="s">
        <v>75</v>
      </c>
      <c r="C42" s="144">
        <v>2</v>
      </c>
      <c r="D42" s="145"/>
      <c r="E42" s="173"/>
      <c r="F42" s="132"/>
      <c r="G42" s="133"/>
      <c r="H42" s="133"/>
      <c r="I42" s="169"/>
      <c r="J42" s="150"/>
      <c r="K42" s="133"/>
      <c r="L42" s="133"/>
      <c r="M42" s="151"/>
      <c r="N42" s="133"/>
      <c r="O42" s="133"/>
      <c r="P42" s="133"/>
      <c r="Q42" s="133"/>
      <c r="R42" s="133"/>
      <c r="S42" s="133"/>
      <c r="T42" s="142"/>
      <c r="U42" s="132"/>
      <c r="V42" s="132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  <c r="AJ42" s="133"/>
      <c r="AK42" s="133"/>
      <c r="AL42" s="133"/>
      <c r="AM42" s="133"/>
      <c r="AN42" s="133"/>
      <c r="AO42" s="133"/>
      <c r="AP42" s="133"/>
      <c r="AQ42" s="133"/>
      <c r="AR42" s="133"/>
      <c r="AS42" s="133"/>
      <c r="AT42" s="133"/>
      <c r="AU42" s="133"/>
      <c r="AV42" s="133"/>
      <c r="AW42" s="133"/>
      <c r="AX42" s="133"/>
      <c r="AY42" s="133"/>
      <c r="AZ42" s="142"/>
      <c r="BA42" s="132"/>
    </row>
    <row r="43" spans="1:53" outlineLevel="3" x14ac:dyDescent="0.4">
      <c r="A43" s="143" t="s">
        <v>129</v>
      </c>
      <c r="B43" s="133" t="s">
        <v>77</v>
      </c>
      <c r="C43" s="144">
        <v>1</v>
      </c>
      <c r="D43" s="145"/>
      <c r="E43" s="173"/>
      <c r="F43" s="132"/>
      <c r="G43" s="133"/>
      <c r="H43" s="133"/>
      <c r="I43" s="169"/>
      <c r="J43" s="150"/>
      <c r="K43" s="133"/>
      <c r="L43" s="133"/>
      <c r="M43" s="151"/>
      <c r="N43" s="133"/>
      <c r="O43" s="133"/>
      <c r="P43" s="133"/>
      <c r="Q43" s="133"/>
      <c r="R43" s="133"/>
      <c r="S43" s="133"/>
      <c r="T43" s="142"/>
      <c r="U43" s="132"/>
      <c r="V43" s="132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  <c r="AJ43" s="133"/>
      <c r="AK43" s="133"/>
      <c r="AL43" s="133"/>
      <c r="AM43" s="133"/>
      <c r="AN43" s="133"/>
      <c r="AO43" s="133"/>
      <c r="AP43" s="133"/>
      <c r="AQ43" s="133"/>
      <c r="AR43" s="133"/>
      <c r="AS43" s="133"/>
      <c r="AT43" s="133"/>
      <c r="AU43" s="133"/>
      <c r="AV43" s="133"/>
      <c r="AW43" s="133"/>
      <c r="AX43" s="133"/>
      <c r="AY43" s="133"/>
      <c r="AZ43" s="142"/>
      <c r="BA43" s="132"/>
    </row>
    <row r="44" spans="1:53" outlineLevel="2" x14ac:dyDescent="0.4">
      <c r="A44" s="134" t="s">
        <v>130</v>
      </c>
      <c r="B44" s="135" t="s">
        <v>131</v>
      </c>
      <c r="C44" s="136">
        <f>SUM(C45:C47)</f>
        <v>7</v>
      </c>
      <c r="D44" s="137">
        <f>E44/ORÇAMENTO!$K$125</f>
        <v>8.7227641182401668E-3</v>
      </c>
      <c r="E44" s="168">
        <f>C45*$O$262/$M$262</f>
        <v>12345.550138119757</v>
      </c>
      <c r="F44" s="132"/>
      <c r="G44" s="133"/>
      <c r="H44" s="133"/>
      <c r="I44" s="169"/>
      <c r="J44" s="150"/>
      <c r="K44" s="133"/>
      <c r="L44" s="133"/>
      <c r="M44" s="133"/>
      <c r="N44" s="135"/>
      <c r="O44" s="133"/>
      <c r="P44" s="133"/>
      <c r="Q44" s="133"/>
      <c r="R44" s="133"/>
      <c r="S44" s="133"/>
      <c r="T44" s="142"/>
      <c r="U44" s="132"/>
      <c r="V44" s="132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  <c r="AJ44" s="133"/>
      <c r="AK44" s="133"/>
      <c r="AL44" s="133"/>
      <c r="AM44" s="133"/>
      <c r="AN44" s="133"/>
      <c r="AO44" s="133"/>
      <c r="AP44" s="133"/>
      <c r="AQ44" s="133"/>
      <c r="AR44" s="133"/>
      <c r="AS44" s="133"/>
      <c r="AT44" s="133"/>
      <c r="AU44" s="133"/>
      <c r="AV44" s="133"/>
      <c r="AW44" s="133"/>
      <c r="AX44" s="133"/>
      <c r="AY44" s="133"/>
      <c r="AZ44" s="142"/>
      <c r="BA44" s="132"/>
    </row>
    <row r="45" spans="1:53" outlineLevel="3" x14ac:dyDescent="0.4">
      <c r="A45" s="143" t="s">
        <v>132</v>
      </c>
      <c r="B45" s="133" t="s">
        <v>133</v>
      </c>
      <c r="C45" s="144">
        <v>4</v>
      </c>
      <c r="D45" s="145"/>
      <c r="E45" s="173"/>
      <c r="F45" s="132"/>
      <c r="G45" s="133"/>
      <c r="H45" s="133"/>
      <c r="I45" s="169"/>
      <c r="J45" s="150"/>
      <c r="K45" s="133"/>
      <c r="L45" s="133"/>
      <c r="M45" s="133"/>
      <c r="N45" s="175"/>
      <c r="O45" s="133"/>
      <c r="P45" s="133"/>
      <c r="Q45" s="133"/>
      <c r="R45" s="133"/>
      <c r="S45" s="133"/>
      <c r="T45" s="142"/>
      <c r="U45" s="132"/>
      <c r="V45" s="132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  <c r="AI45" s="133"/>
      <c r="AJ45" s="133"/>
      <c r="AK45" s="133"/>
      <c r="AL45" s="133"/>
      <c r="AM45" s="133"/>
      <c r="AN45" s="133"/>
      <c r="AO45" s="133"/>
      <c r="AP45" s="133"/>
      <c r="AQ45" s="133"/>
      <c r="AR45" s="133"/>
      <c r="AS45" s="133"/>
      <c r="AT45" s="133"/>
      <c r="AU45" s="133"/>
      <c r="AV45" s="133"/>
      <c r="AW45" s="133"/>
      <c r="AX45" s="133"/>
      <c r="AY45" s="133"/>
      <c r="AZ45" s="142"/>
      <c r="BA45" s="132"/>
    </row>
    <row r="46" spans="1:53" outlineLevel="3" x14ac:dyDescent="0.4">
      <c r="A46" s="143" t="s">
        <v>134</v>
      </c>
      <c r="B46" s="133" t="s">
        <v>75</v>
      </c>
      <c r="C46" s="144">
        <v>2</v>
      </c>
      <c r="D46" s="145"/>
      <c r="E46" s="173"/>
      <c r="F46" s="132"/>
      <c r="G46" s="133"/>
      <c r="H46" s="133"/>
      <c r="I46" s="169"/>
      <c r="J46" s="150"/>
      <c r="K46" s="133"/>
      <c r="L46" s="133"/>
      <c r="M46" s="133"/>
      <c r="N46" s="151"/>
      <c r="O46" s="133"/>
      <c r="P46" s="133"/>
      <c r="Q46" s="133"/>
      <c r="R46" s="133"/>
      <c r="S46" s="133"/>
      <c r="T46" s="142"/>
      <c r="U46" s="132"/>
      <c r="V46" s="132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  <c r="AJ46" s="133"/>
      <c r="AK46" s="133"/>
      <c r="AL46" s="133"/>
      <c r="AM46" s="133"/>
      <c r="AN46" s="133"/>
      <c r="AO46" s="133"/>
      <c r="AP46" s="133"/>
      <c r="AQ46" s="133"/>
      <c r="AR46" s="133"/>
      <c r="AS46" s="133"/>
      <c r="AT46" s="133"/>
      <c r="AU46" s="133"/>
      <c r="AV46" s="133"/>
      <c r="AW46" s="133"/>
      <c r="AX46" s="133"/>
      <c r="AY46" s="133"/>
      <c r="AZ46" s="142"/>
      <c r="BA46" s="132"/>
    </row>
    <row r="47" spans="1:53" outlineLevel="3" x14ac:dyDescent="0.4">
      <c r="A47" s="143" t="s">
        <v>135</v>
      </c>
      <c r="B47" s="133" t="s">
        <v>77</v>
      </c>
      <c r="C47" s="144">
        <v>1</v>
      </c>
      <c r="D47" s="145"/>
      <c r="E47" s="173"/>
      <c r="F47" s="132"/>
      <c r="G47" s="133"/>
      <c r="H47" s="133"/>
      <c r="I47" s="169"/>
      <c r="J47" s="150"/>
      <c r="K47" s="133"/>
      <c r="L47" s="133"/>
      <c r="M47" s="133"/>
      <c r="N47" s="151"/>
      <c r="O47" s="133"/>
      <c r="P47" s="133"/>
      <c r="Q47" s="133"/>
      <c r="R47" s="133"/>
      <c r="S47" s="133"/>
      <c r="T47" s="142"/>
      <c r="U47" s="132"/>
      <c r="V47" s="132"/>
      <c r="W47" s="133"/>
      <c r="X47" s="133"/>
      <c r="Y47" s="133"/>
      <c r="Z47" s="133"/>
      <c r="AA47" s="133"/>
      <c r="AB47" s="133"/>
      <c r="AC47" s="133"/>
      <c r="AD47" s="133"/>
      <c r="AE47" s="133"/>
      <c r="AF47" s="133"/>
      <c r="AG47" s="133"/>
      <c r="AH47" s="133"/>
      <c r="AI47" s="133"/>
      <c r="AJ47" s="133"/>
      <c r="AK47" s="133"/>
      <c r="AL47" s="133"/>
      <c r="AM47" s="133"/>
      <c r="AN47" s="133"/>
      <c r="AO47" s="133"/>
      <c r="AP47" s="133"/>
      <c r="AQ47" s="133"/>
      <c r="AR47" s="133"/>
      <c r="AS47" s="133"/>
      <c r="AT47" s="133"/>
      <c r="AU47" s="133"/>
      <c r="AV47" s="133"/>
      <c r="AW47" s="133"/>
      <c r="AX47" s="133"/>
      <c r="AY47" s="133"/>
      <c r="AZ47" s="142"/>
      <c r="BA47" s="132"/>
    </row>
    <row r="48" spans="1:53" outlineLevel="2" x14ac:dyDescent="0.4">
      <c r="A48" s="134" t="s">
        <v>136</v>
      </c>
      <c r="B48" s="135" t="s">
        <v>137</v>
      </c>
      <c r="C48" s="136">
        <f>SUM(C49:C51)</f>
        <v>7</v>
      </c>
      <c r="D48" s="137">
        <f>E48/ORÇAMENTO!$K$125</f>
        <v>6.0084685483774696E-3</v>
      </c>
      <c r="E48" s="168">
        <f>C49*$O$263/$M$263</f>
        <v>8503.9385121278738</v>
      </c>
      <c r="F48" s="132"/>
      <c r="G48" s="133"/>
      <c r="H48" s="133"/>
      <c r="I48" s="169"/>
      <c r="J48" s="150"/>
      <c r="K48" s="133"/>
      <c r="L48" s="133"/>
      <c r="M48" s="133"/>
      <c r="N48" s="133"/>
      <c r="O48" s="135"/>
      <c r="P48" s="133"/>
      <c r="Q48" s="133"/>
      <c r="R48" s="133"/>
      <c r="S48" s="133"/>
      <c r="T48" s="142"/>
      <c r="U48" s="132"/>
      <c r="V48" s="132"/>
      <c r="W48" s="133"/>
      <c r="X48" s="133"/>
      <c r="Y48" s="133"/>
      <c r="Z48" s="133"/>
      <c r="AA48" s="133"/>
      <c r="AB48" s="133"/>
      <c r="AC48" s="133"/>
      <c r="AD48" s="133"/>
      <c r="AE48" s="133"/>
      <c r="AF48" s="133"/>
      <c r="AG48" s="133"/>
      <c r="AH48" s="133"/>
      <c r="AI48" s="133"/>
      <c r="AJ48" s="133"/>
      <c r="AK48" s="133"/>
      <c r="AL48" s="133"/>
      <c r="AM48" s="133"/>
      <c r="AN48" s="133"/>
      <c r="AO48" s="133"/>
      <c r="AP48" s="133"/>
      <c r="AQ48" s="133"/>
      <c r="AR48" s="133"/>
      <c r="AS48" s="133"/>
      <c r="AT48" s="133"/>
      <c r="AU48" s="133"/>
      <c r="AV48" s="133"/>
      <c r="AW48" s="133"/>
      <c r="AX48" s="133"/>
      <c r="AY48" s="133"/>
      <c r="AZ48" s="142"/>
      <c r="BA48" s="132"/>
    </row>
    <row r="49" spans="1:53" outlineLevel="3" x14ac:dyDescent="0.4">
      <c r="A49" s="143" t="s">
        <v>138</v>
      </c>
      <c r="B49" s="133" t="s">
        <v>139</v>
      </c>
      <c r="C49" s="144">
        <v>4</v>
      </c>
      <c r="D49" s="145"/>
      <c r="E49" s="173"/>
      <c r="F49" s="132"/>
      <c r="G49" s="133"/>
      <c r="H49" s="133"/>
      <c r="I49" s="169"/>
      <c r="J49" s="150"/>
      <c r="K49" s="133"/>
      <c r="L49" s="133"/>
      <c r="M49" s="133"/>
      <c r="N49" s="133"/>
      <c r="O49" s="175"/>
      <c r="P49" s="133"/>
      <c r="Q49" s="133"/>
      <c r="R49" s="133"/>
      <c r="S49" s="133"/>
      <c r="T49" s="142"/>
      <c r="U49" s="132"/>
      <c r="V49" s="132"/>
      <c r="W49" s="133"/>
      <c r="X49" s="133"/>
      <c r="Y49" s="133"/>
      <c r="Z49" s="133"/>
      <c r="AA49" s="133"/>
      <c r="AB49" s="133"/>
      <c r="AC49" s="133"/>
      <c r="AD49" s="133"/>
      <c r="AE49" s="133"/>
      <c r="AF49" s="133"/>
      <c r="AG49" s="133"/>
      <c r="AH49" s="133"/>
      <c r="AI49" s="133"/>
      <c r="AJ49" s="133"/>
      <c r="AK49" s="133"/>
      <c r="AL49" s="133"/>
      <c r="AM49" s="133"/>
      <c r="AN49" s="133"/>
      <c r="AO49" s="133"/>
      <c r="AP49" s="133"/>
      <c r="AQ49" s="133"/>
      <c r="AR49" s="133"/>
      <c r="AS49" s="133"/>
      <c r="AT49" s="133"/>
      <c r="AU49" s="133"/>
      <c r="AV49" s="133"/>
      <c r="AW49" s="133"/>
      <c r="AX49" s="133"/>
      <c r="AY49" s="133"/>
      <c r="AZ49" s="142"/>
      <c r="BA49" s="132"/>
    </row>
    <row r="50" spans="1:53" outlineLevel="3" x14ac:dyDescent="0.4">
      <c r="A50" s="143" t="s">
        <v>140</v>
      </c>
      <c r="B50" s="133" t="s">
        <v>75</v>
      </c>
      <c r="C50" s="144">
        <v>2</v>
      </c>
      <c r="D50" s="145"/>
      <c r="E50" s="173"/>
      <c r="F50" s="132"/>
      <c r="G50" s="133"/>
      <c r="H50" s="133"/>
      <c r="I50" s="169"/>
      <c r="J50" s="150"/>
      <c r="K50" s="133"/>
      <c r="L50" s="133"/>
      <c r="M50" s="133"/>
      <c r="N50" s="133"/>
      <c r="O50" s="151"/>
      <c r="P50" s="133"/>
      <c r="Q50" s="133"/>
      <c r="R50" s="133"/>
      <c r="S50" s="133"/>
      <c r="T50" s="142"/>
      <c r="U50" s="132"/>
      <c r="V50" s="132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3"/>
      <c r="AL50" s="133"/>
      <c r="AM50" s="133"/>
      <c r="AN50" s="133"/>
      <c r="AO50" s="133"/>
      <c r="AP50" s="133"/>
      <c r="AQ50" s="133"/>
      <c r="AR50" s="133"/>
      <c r="AS50" s="133"/>
      <c r="AT50" s="133"/>
      <c r="AU50" s="133"/>
      <c r="AV50" s="133"/>
      <c r="AW50" s="133"/>
      <c r="AX50" s="133"/>
      <c r="AY50" s="133"/>
      <c r="AZ50" s="142"/>
      <c r="BA50" s="132"/>
    </row>
    <row r="51" spans="1:53" outlineLevel="3" x14ac:dyDescent="0.4">
      <c r="A51" s="143" t="s">
        <v>141</v>
      </c>
      <c r="B51" s="133" t="s">
        <v>77</v>
      </c>
      <c r="C51" s="144">
        <v>1</v>
      </c>
      <c r="D51" s="145"/>
      <c r="E51" s="173"/>
      <c r="F51" s="132"/>
      <c r="G51" s="133"/>
      <c r="H51" s="133"/>
      <c r="I51" s="169"/>
      <c r="J51" s="150"/>
      <c r="K51" s="133"/>
      <c r="L51" s="133"/>
      <c r="M51" s="133"/>
      <c r="N51" s="133"/>
      <c r="O51" s="151"/>
      <c r="P51" s="133"/>
      <c r="Q51" s="133"/>
      <c r="R51" s="133"/>
      <c r="S51" s="133"/>
      <c r="T51" s="142"/>
      <c r="U51" s="132"/>
      <c r="V51" s="132"/>
      <c r="W51" s="133"/>
      <c r="X51" s="133"/>
      <c r="Y51" s="133"/>
      <c r="Z51" s="133"/>
      <c r="AA51" s="133"/>
      <c r="AB51" s="133"/>
      <c r="AC51" s="133"/>
      <c r="AD51" s="133"/>
      <c r="AE51" s="133"/>
      <c r="AF51" s="133"/>
      <c r="AG51" s="133"/>
      <c r="AH51" s="133"/>
      <c r="AI51" s="133"/>
      <c r="AJ51" s="133"/>
      <c r="AK51" s="133"/>
      <c r="AL51" s="133"/>
      <c r="AM51" s="133"/>
      <c r="AN51" s="133"/>
      <c r="AO51" s="133"/>
      <c r="AP51" s="133"/>
      <c r="AQ51" s="133"/>
      <c r="AR51" s="133"/>
      <c r="AS51" s="133"/>
      <c r="AT51" s="133"/>
      <c r="AU51" s="133"/>
      <c r="AV51" s="133"/>
      <c r="AW51" s="133"/>
      <c r="AX51" s="133"/>
      <c r="AY51" s="133"/>
      <c r="AZ51" s="142"/>
      <c r="BA51" s="132"/>
    </row>
    <row r="52" spans="1:53" outlineLevel="2" x14ac:dyDescent="0.4">
      <c r="A52" s="134" t="s">
        <v>142</v>
      </c>
      <c r="B52" s="135" t="s">
        <v>143</v>
      </c>
      <c r="C52" s="136">
        <f>SUM(C53:C55)</f>
        <v>7</v>
      </c>
      <c r="D52" s="137">
        <f>E52/ORÇAMENTO!$K$125</f>
        <v>6.0084685483774696E-3</v>
      </c>
      <c r="E52" s="168">
        <f>C53*$O$265/$M$265</f>
        <v>8503.9385121278738</v>
      </c>
      <c r="F52" s="132"/>
      <c r="G52" s="133"/>
      <c r="H52" s="133"/>
      <c r="I52" s="169"/>
      <c r="J52" s="150"/>
      <c r="K52" s="133"/>
      <c r="L52" s="133"/>
      <c r="M52" s="133"/>
      <c r="N52" s="135"/>
      <c r="O52" s="133"/>
      <c r="P52" s="133"/>
      <c r="Q52" s="133"/>
      <c r="R52" s="133"/>
      <c r="S52" s="133"/>
      <c r="T52" s="142"/>
      <c r="U52" s="132"/>
      <c r="V52" s="132"/>
      <c r="W52" s="133"/>
      <c r="X52" s="133"/>
      <c r="Y52" s="133"/>
      <c r="Z52" s="133"/>
      <c r="AA52" s="133"/>
      <c r="AB52" s="133"/>
      <c r="AC52" s="133"/>
      <c r="AD52" s="133"/>
      <c r="AE52" s="133"/>
      <c r="AF52" s="133"/>
      <c r="AG52" s="133"/>
      <c r="AH52" s="133"/>
      <c r="AI52" s="133"/>
      <c r="AJ52" s="133"/>
      <c r="AK52" s="133"/>
      <c r="AL52" s="133"/>
      <c r="AM52" s="133"/>
      <c r="AN52" s="133"/>
      <c r="AO52" s="133"/>
      <c r="AP52" s="133"/>
      <c r="AQ52" s="133"/>
      <c r="AR52" s="133"/>
      <c r="AS52" s="133"/>
      <c r="AT52" s="133"/>
      <c r="AU52" s="133"/>
      <c r="AV52" s="133"/>
      <c r="AW52" s="133"/>
      <c r="AX52" s="133"/>
      <c r="AY52" s="133"/>
      <c r="AZ52" s="142"/>
      <c r="BA52" s="132"/>
    </row>
    <row r="53" spans="1:53" outlineLevel="3" x14ac:dyDescent="0.4">
      <c r="A53" s="143" t="s">
        <v>144</v>
      </c>
      <c r="B53" s="133" t="s">
        <v>145</v>
      </c>
      <c r="C53" s="144">
        <v>4</v>
      </c>
      <c r="D53" s="145"/>
      <c r="E53" s="173"/>
      <c r="F53" s="132"/>
      <c r="G53" s="133"/>
      <c r="H53" s="133"/>
      <c r="I53" s="169"/>
      <c r="J53" s="150"/>
      <c r="K53" s="133"/>
      <c r="L53" s="133"/>
      <c r="M53" s="133"/>
      <c r="N53" s="175"/>
      <c r="O53" s="133"/>
      <c r="P53" s="133"/>
      <c r="Q53" s="133"/>
      <c r="R53" s="133"/>
      <c r="S53" s="133"/>
      <c r="T53" s="142"/>
      <c r="U53" s="132"/>
      <c r="V53" s="132"/>
      <c r="W53" s="133"/>
      <c r="X53" s="133"/>
      <c r="Y53" s="133"/>
      <c r="Z53" s="133"/>
      <c r="AA53" s="133"/>
      <c r="AB53" s="133"/>
      <c r="AC53" s="133"/>
      <c r="AD53" s="133"/>
      <c r="AE53" s="133"/>
      <c r="AF53" s="133"/>
      <c r="AG53" s="133"/>
      <c r="AH53" s="133"/>
      <c r="AI53" s="133"/>
      <c r="AJ53" s="133"/>
      <c r="AK53" s="133"/>
      <c r="AL53" s="133"/>
      <c r="AM53" s="133"/>
      <c r="AN53" s="133"/>
      <c r="AO53" s="133"/>
      <c r="AP53" s="133"/>
      <c r="AQ53" s="133"/>
      <c r="AR53" s="133"/>
      <c r="AS53" s="133"/>
      <c r="AT53" s="133"/>
      <c r="AU53" s="133"/>
      <c r="AV53" s="133"/>
      <c r="AW53" s="133"/>
      <c r="AX53" s="133"/>
      <c r="AY53" s="133"/>
      <c r="AZ53" s="142"/>
      <c r="BA53" s="132"/>
    </row>
    <row r="54" spans="1:53" outlineLevel="3" x14ac:dyDescent="0.4">
      <c r="A54" s="143" t="s">
        <v>146</v>
      </c>
      <c r="B54" s="133" t="s">
        <v>75</v>
      </c>
      <c r="C54" s="144">
        <v>2</v>
      </c>
      <c r="D54" s="145"/>
      <c r="E54" s="173"/>
      <c r="F54" s="132"/>
      <c r="G54" s="133"/>
      <c r="H54" s="133"/>
      <c r="I54" s="169"/>
      <c r="J54" s="150"/>
      <c r="K54" s="133"/>
      <c r="L54" s="133"/>
      <c r="M54" s="133"/>
      <c r="N54" s="151"/>
      <c r="O54" s="133"/>
      <c r="P54" s="133"/>
      <c r="Q54" s="133"/>
      <c r="R54" s="133"/>
      <c r="S54" s="133"/>
      <c r="T54" s="142"/>
      <c r="U54" s="132"/>
      <c r="V54" s="132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W54" s="133"/>
      <c r="AX54" s="133"/>
      <c r="AY54" s="133"/>
      <c r="AZ54" s="142"/>
      <c r="BA54" s="132"/>
    </row>
    <row r="55" spans="1:53" outlineLevel="3" x14ac:dyDescent="0.4">
      <c r="A55" s="143" t="s">
        <v>147</v>
      </c>
      <c r="B55" s="133" t="s">
        <v>77</v>
      </c>
      <c r="C55" s="144">
        <v>1</v>
      </c>
      <c r="D55" s="145"/>
      <c r="E55" s="173"/>
      <c r="F55" s="132"/>
      <c r="G55" s="133"/>
      <c r="H55" s="133"/>
      <c r="I55" s="169"/>
      <c r="J55" s="150"/>
      <c r="K55" s="133"/>
      <c r="L55" s="133"/>
      <c r="M55" s="133"/>
      <c r="N55" s="151"/>
      <c r="O55" s="133"/>
      <c r="P55" s="133"/>
      <c r="Q55" s="133"/>
      <c r="R55" s="133"/>
      <c r="S55" s="133"/>
      <c r="T55" s="142"/>
      <c r="U55" s="132"/>
      <c r="V55" s="132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33"/>
      <c r="AR55" s="133"/>
      <c r="AS55" s="133"/>
      <c r="AT55" s="133"/>
      <c r="AU55" s="133"/>
      <c r="AV55" s="133"/>
      <c r="AW55" s="133"/>
      <c r="AX55" s="133"/>
      <c r="AY55" s="133"/>
      <c r="AZ55" s="142"/>
      <c r="BA55" s="132"/>
    </row>
    <row r="56" spans="1:53" outlineLevel="2" x14ac:dyDescent="0.4">
      <c r="A56" s="134" t="s">
        <v>148</v>
      </c>
      <c r="B56" s="135" t="s">
        <v>463</v>
      </c>
      <c r="C56" s="136">
        <f>SUM(C57:C59)</f>
        <v>56</v>
      </c>
      <c r="D56" s="137">
        <f>E56/ORÇAMENTO!$K$125</f>
        <v>9.5198326000684702E-2</v>
      </c>
      <c r="E56" s="168">
        <f>C57*$O$266/$M$266</f>
        <v>134736.61453814904</v>
      </c>
      <c r="F56" s="132"/>
      <c r="G56" s="133"/>
      <c r="H56" s="133"/>
      <c r="I56" s="169"/>
      <c r="J56" s="150"/>
      <c r="K56" s="133"/>
      <c r="L56" s="133"/>
      <c r="M56" s="152"/>
      <c r="N56" s="140"/>
      <c r="O56" s="140"/>
      <c r="P56" s="140"/>
      <c r="Q56" s="140"/>
      <c r="R56" s="140"/>
      <c r="S56" s="141"/>
      <c r="T56" s="142"/>
      <c r="U56" s="132"/>
      <c r="V56" s="132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33"/>
      <c r="AV56" s="133"/>
      <c r="AW56" s="133"/>
      <c r="AX56" s="133"/>
      <c r="AY56" s="133"/>
      <c r="AZ56" s="142"/>
      <c r="BA56" s="132"/>
    </row>
    <row r="57" spans="1:53" outlineLevel="3" x14ac:dyDescent="0.4">
      <c r="A57" s="143" t="s">
        <v>150</v>
      </c>
      <c r="B57" s="133" t="s">
        <v>151</v>
      </c>
      <c r="C57" s="144">
        <v>42</v>
      </c>
      <c r="D57" s="145"/>
      <c r="E57" s="173"/>
      <c r="F57" s="132"/>
      <c r="G57" s="133"/>
      <c r="H57" s="133"/>
      <c r="I57" s="169"/>
      <c r="J57" s="150"/>
      <c r="K57" s="133"/>
      <c r="L57" s="133"/>
      <c r="M57" s="154"/>
      <c r="N57" s="148"/>
      <c r="O57" s="148"/>
      <c r="P57" s="148"/>
      <c r="Q57" s="148"/>
      <c r="R57" s="149"/>
      <c r="S57" s="133"/>
      <c r="T57" s="142"/>
      <c r="U57" s="132"/>
      <c r="V57" s="132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33"/>
      <c r="AV57" s="133"/>
      <c r="AW57" s="133"/>
      <c r="AX57" s="133"/>
      <c r="AY57" s="133"/>
      <c r="AZ57" s="142"/>
      <c r="BA57" s="132"/>
    </row>
    <row r="58" spans="1:53" outlineLevel="3" x14ac:dyDescent="0.4">
      <c r="A58" s="143" t="s">
        <v>152</v>
      </c>
      <c r="B58" s="133" t="s">
        <v>75</v>
      </c>
      <c r="C58" s="144">
        <v>12</v>
      </c>
      <c r="D58" s="145"/>
      <c r="E58" s="173"/>
      <c r="F58" s="132"/>
      <c r="G58" s="133"/>
      <c r="H58" s="133"/>
      <c r="I58" s="169"/>
      <c r="J58" s="150"/>
      <c r="K58" s="133"/>
      <c r="L58" s="133"/>
      <c r="M58" s="133"/>
      <c r="N58" s="133"/>
      <c r="O58" s="133"/>
      <c r="P58" s="133"/>
      <c r="Q58" s="133"/>
      <c r="R58" s="176"/>
      <c r="S58" s="177"/>
      <c r="T58" s="142"/>
      <c r="U58" s="132"/>
      <c r="V58" s="132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33"/>
      <c r="AV58" s="133"/>
      <c r="AW58" s="133"/>
      <c r="AX58" s="133"/>
      <c r="AY58" s="133"/>
      <c r="AZ58" s="142"/>
      <c r="BA58" s="132"/>
    </row>
    <row r="59" spans="1:53" outlineLevel="3" x14ac:dyDescent="0.4">
      <c r="A59" s="143" t="s">
        <v>153</v>
      </c>
      <c r="B59" s="133" t="s">
        <v>77</v>
      </c>
      <c r="C59" s="144">
        <v>2</v>
      </c>
      <c r="D59" s="145"/>
      <c r="E59" s="173"/>
      <c r="F59" s="132"/>
      <c r="G59" s="133"/>
      <c r="H59" s="133"/>
      <c r="I59" s="169"/>
      <c r="J59" s="150"/>
      <c r="K59" s="133"/>
      <c r="L59" s="133"/>
      <c r="M59" s="133"/>
      <c r="N59" s="133"/>
      <c r="O59" s="133"/>
      <c r="P59" s="133"/>
      <c r="Q59" s="133"/>
      <c r="R59" s="133"/>
      <c r="S59" s="151"/>
      <c r="T59" s="142"/>
      <c r="U59" s="132"/>
      <c r="V59" s="132"/>
      <c r="W59" s="133"/>
      <c r="X59" s="133"/>
      <c r="Y59" s="133"/>
      <c r="Z59" s="133"/>
      <c r="AA59" s="133"/>
      <c r="AB59" s="133"/>
      <c r="AC59" s="133"/>
      <c r="AD59" s="133"/>
      <c r="AE59" s="133"/>
      <c r="AF59" s="133"/>
      <c r="AG59" s="133"/>
      <c r="AH59" s="133"/>
      <c r="AI59" s="133"/>
      <c r="AJ59" s="133"/>
      <c r="AK59" s="133"/>
      <c r="AL59" s="133"/>
      <c r="AM59" s="133"/>
      <c r="AN59" s="133"/>
      <c r="AO59" s="133"/>
      <c r="AP59" s="133"/>
      <c r="AQ59" s="133"/>
      <c r="AR59" s="133"/>
      <c r="AS59" s="133"/>
      <c r="AT59" s="133"/>
      <c r="AU59" s="133"/>
      <c r="AV59" s="133"/>
      <c r="AW59" s="133"/>
      <c r="AX59" s="133"/>
      <c r="AY59" s="133"/>
      <c r="AZ59" s="142"/>
      <c r="BA59" s="132"/>
    </row>
    <row r="60" spans="1:53" outlineLevel="2" x14ac:dyDescent="0.4">
      <c r="A60" s="134" t="s">
        <v>154</v>
      </c>
      <c r="B60" s="135" t="s">
        <v>155</v>
      </c>
      <c r="C60" s="136">
        <f>SUM(C61:C63)</f>
        <v>5</v>
      </c>
      <c r="D60" s="137">
        <f>E60/ORÇAMENTO!$K$125</f>
        <v>2.680484194684263E-3</v>
      </c>
      <c r="E60" s="168">
        <f>C61*$O$267/$M$267</f>
        <v>3793.7575258642341</v>
      </c>
      <c r="F60" s="132"/>
      <c r="G60" s="133"/>
      <c r="H60" s="133"/>
      <c r="I60" s="169"/>
      <c r="J60" s="150"/>
      <c r="K60" s="133"/>
      <c r="L60" s="133"/>
      <c r="M60" s="135"/>
      <c r="N60" s="133"/>
      <c r="O60" s="133"/>
      <c r="P60" s="133"/>
      <c r="Q60" s="133"/>
      <c r="R60" s="133"/>
      <c r="S60" s="133"/>
      <c r="T60" s="142"/>
      <c r="U60" s="132"/>
      <c r="V60" s="132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33"/>
      <c r="AV60" s="133"/>
      <c r="AW60" s="133"/>
      <c r="AX60" s="133"/>
      <c r="AY60" s="133"/>
      <c r="AZ60" s="142"/>
      <c r="BA60" s="132"/>
    </row>
    <row r="61" spans="1:53" outlineLevel="3" x14ac:dyDescent="0.4">
      <c r="A61" s="143" t="s">
        <v>156</v>
      </c>
      <c r="B61" s="133" t="s">
        <v>157</v>
      </c>
      <c r="C61" s="144">
        <v>2</v>
      </c>
      <c r="D61" s="145"/>
      <c r="E61" s="173"/>
      <c r="F61" s="132"/>
      <c r="G61" s="133"/>
      <c r="H61" s="133"/>
      <c r="I61" s="169"/>
      <c r="J61" s="150"/>
      <c r="K61" s="133"/>
      <c r="L61" s="133"/>
      <c r="M61" s="175"/>
      <c r="N61" s="133"/>
      <c r="O61" s="133"/>
      <c r="P61" s="133"/>
      <c r="Q61" s="133"/>
      <c r="R61" s="133"/>
      <c r="S61" s="133"/>
      <c r="T61" s="142"/>
      <c r="U61" s="132"/>
      <c r="V61" s="132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33"/>
      <c r="AV61" s="133"/>
      <c r="AW61" s="133"/>
      <c r="AX61" s="133"/>
      <c r="AY61" s="133"/>
      <c r="AZ61" s="142"/>
      <c r="BA61" s="132"/>
    </row>
    <row r="62" spans="1:53" outlineLevel="3" x14ac:dyDescent="0.4">
      <c r="A62" s="143" t="s">
        <v>158</v>
      </c>
      <c r="B62" s="133" t="s">
        <v>75</v>
      </c>
      <c r="C62" s="144">
        <v>2</v>
      </c>
      <c r="D62" s="145"/>
      <c r="E62" s="173"/>
      <c r="F62" s="132"/>
      <c r="G62" s="133"/>
      <c r="H62" s="133"/>
      <c r="I62" s="169"/>
      <c r="J62" s="150"/>
      <c r="K62" s="133"/>
      <c r="L62" s="133"/>
      <c r="M62" s="151"/>
      <c r="N62" s="133"/>
      <c r="O62" s="133"/>
      <c r="P62" s="133"/>
      <c r="Q62" s="133"/>
      <c r="R62" s="133"/>
      <c r="S62" s="133"/>
      <c r="T62" s="142"/>
      <c r="U62" s="132"/>
      <c r="V62" s="132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33"/>
      <c r="AV62" s="133"/>
      <c r="AW62" s="133"/>
      <c r="AX62" s="133"/>
      <c r="AY62" s="133"/>
      <c r="AZ62" s="142"/>
      <c r="BA62" s="132"/>
    </row>
    <row r="63" spans="1:53" outlineLevel="3" x14ac:dyDescent="0.4">
      <c r="A63" s="143" t="s">
        <v>159</v>
      </c>
      <c r="B63" s="133" t="s">
        <v>77</v>
      </c>
      <c r="C63" s="144">
        <v>1</v>
      </c>
      <c r="D63" s="145"/>
      <c r="E63" s="173"/>
      <c r="F63" s="132"/>
      <c r="G63" s="133"/>
      <c r="H63" s="133"/>
      <c r="I63" s="169"/>
      <c r="J63" s="150"/>
      <c r="K63" s="133"/>
      <c r="L63" s="133"/>
      <c r="M63" s="151"/>
      <c r="N63" s="133"/>
      <c r="O63" s="133"/>
      <c r="P63" s="133"/>
      <c r="Q63" s="133"/>
      <c r="R63" s="133"/>
      <c r="S63" s="133"/>
      <c r="T63" s="142"/>
      <c r="U63" s="132"/>
      <c r="V63" s="132"/>
      <c r="W63" s="133"/>
      <c r="X63" s="133"/>
      <c r="Y63" s="133"/>
      <c r="Z63" s="133"/>
      <c r="AA63" s="133"/>
      <c r="AB63" s="133"/>
      <c r="AC63" s="133"/>
      <c r="AD63" s="133"/>
      <c r="AE63" s="133"/>
      <c r="AF63" s="133"/>
      <c r="AG63" s="133"/>
      <c r="AH63" s="133"/>
      <c r="AI63" s="133"/>
      <c r="AJ63" s="133"/>
      <c r="AK63" s="133"/>
      <c r="AL63" s="133"/>
      <c r="AM63" s="133"/>
      <c r="AN63" s="133"/>
      <c r="AO63" s="133"/>
      <c r="AP63" s="133"/>
      <c r="AQ63" s="133"/>
      <c r="AR63" s="133"/>
      <c r="AS63" s="133"/>
      <c r="AT63" s="133"/>
      <c r="AU63" s="133"/>
      <c r="AV63" s="133"/>
      <c r="AW63" s="133"/>
      <c r="AX63" s="133"/>
      <c r="AY63" s="133"/>
      <c r="AZ63" s="142"/>
      <c r="BA63" s="132"/>
    </row>
    <row r="64" spans="1:53" outlineLevel="2" x14ac:dyDescent="0.4">
      <c r="A64" s="134" t="s">
        <v>160</v>
      </c>
      <c r="B64" s="135" t="s">
        <v>161</v>
      </c>
      <c r="C64" s="136">
        <f>SUM(C65:C67)</f>
        <v>9</v>
      </c>
      <c r="D64" s="137">
        <f>E64/ORÇAMENTO!$K$125</f>
        <v>7.5105853555325411E-3</v>
      </c>
      <c r="E64" s="168">
        <f>C65*$O$268/$M$268</f>
        <v>10629.922673188357</v>
      </c>
      <c r="F64" s="132"/>
      <c r="G64" s="133"/>
      <c r="H64" s="133"/>
      <c r="I64" s="169"/>
      <c r="J64" s="150"/>
      <c r="K64" s="133"/>
      <c r="L64" s="133"/>
      <c r="M64" s="133"/>
      <c r="N64" s="133"/>
      <c r="O64" s="133"/>
      <c r="P64" s="135"/>
      <c r="Q64" s="133"/>
      <c r="R64" s="133"/>
      <c r="S64" s="133"/>
      <c r="T64" s="178"/>
      <c r="U64" s="132"/>
      <c r="V64" s="132"/>
      <c r="W64" s="133"/>
      <c r="X64" s="133"/>
      <c r="Y64" s="133"/>
      <c r="Z64" s="133"/>
      <c r="AA64" s="133"/>
      <c r="AB64" s="133"/>
      <c r="AC64" s="133"/>
      <c r="AD64" s="133"/>
      <c r="AE64" s="133"/>
      <c r="AF64" s="133"/>
      <c r="AG64" s="133"/>
      <c r="AH64" s="133"/>
      <c r="AI64" s="133"/>
      <c r="AJ64" s="133"/>
      <c r="AK64" s="133"/>
      <c r="AL64" s="133"/>
      <c r="AM64" s="133"/>
      <c r="AN64" s="133"/>
      <c r="AO64" s="133"/>
      <c r="AP64" s="133"/>
      <c r="AQ64" s="133"/>
      <c r="AR64" s="133"/>
      <c r="AS64" s="133"/>
      <c r="AT64" s="133"/>
      <c r="AU64" s="133"/>
      <c r="AV64" s="133"/>
      <c r="AW64" s="133"/>
      <c r="AX64" s="133"/>
      <c r="AY64" s="133"/>
      <c r="AZ64" s="142"/>
      <c r="BA64" s="132"/>
    </row>
    <row r="65" spans="1:53" outlineLevel="3" x14ac:dyDescent="0.4">
      <c r="A65" s="143" t="s">
        <v>162</v>
      </c>
      <c r="B65" s="133" t="s">
        <v>163</v>
      </c>
      <c r="C65" s="144">
        <f>2+3</f>
        <v>5</v>
      </c>
      <c r="D65" s="145"/>
      <c r="E65" s="173"/>
      <c r="F65" s="132"/>
      <c r="G65" s="133"/>
      <c r="H65" s="133"/>
      <c r="I65" s="169"/>
      <c r="J65" s="150"/>
      <c r="K65" s="133"/>
      <c r="L65" s="133"/>
      <c r="M65" s="133"/>
      <c r="N65" s="133"/>
      <c r="O65" s="133"/>
      <c r="P65" s="175"/>
      <c r="Q65" s="133"/>
      <c r="R65" s="133"/>
      <c r="S65" s="133"/>
      <c r="T65" s="179"/>
      <c r="U65" s="132"/>
      <c r="V65" s="132"/>
      <c r="W65" s="133"/>
      <c r="X65" s="133"/>
      <c r="Y65" s="133"/>
      <c r="Z65" s="133"/>
      <c r="AA65" s="133"/>
      <c r="AB65" s="133"/>
      <c r="AC65" s="133"/>
      <c r="AD65" s="133"/>
      <c r="AE65" s="133"/>
      <c r="AF65" s="133"/>
      <c r="AG65" s="133"/>
      <c r="AH65" s="133"/>
      <c r="AI65" s="133"/>
      <c r="AJ65" s="133"/>
      <c r="AK65" s="133"/>
      <c r="AL65" s="133"/>
      <c r="AM65" s="133"/>
      <c r="AN65" s="133"/>
      <c r="AO65" s="133"/>
      <c r="AP65" s="133"/>
      <c r="AQ65" s="133"/>
      <c r="AR65" s="133"/>
      <c r="AS65" s="133"/>
      <c r="AT65" s="133"/>
      <c r="AU65" s="133"/>
      <c r="AV65" s="133"/>
      <c r="AW65" s="133"/>
      <c r="AX65" s="133"/>
      <c r="AY65" s="133"/>
      <c r="AZ65" s="142"/>
      <c r="BA65" s="132"/>
    </row>
    <row r="66" spans="1:53" outlineLevel="3" x14ac:dyDescent="0.4">
      <c r="A66" s="143" t="s">
        <v>164</v>
      </c>
      <c r="B66" s="133" t="s">
        <v>75</v>
      </c>
      <c r="C66" s="144">
        <v>2</v>
      </c>
      <c r="D66" s="145"/>
      <c r="E66" s="173"/>
      <c r="F66" s="132"/>
      <c r="G66" s="133"/>
      <c r="H66" s="133"/>
      <c r="I66" s="169"/>
      <c r="J66" s="150"/>
      <c r="K66" s="133"/>
      <c r="L66" s="133"/>
      <c r="M66" s="133"/>
      <c r="N66" s="133"/>
      <c r="O66" s="133"/>
      <c r="P66" s="151"/>
      <c r="Q66" s="133"/>
      <c r="R66" s="133"/>
      <c r="S66" s="133"/>
      <c r="T66" s="155"/>
      <c r="U66" s="132"/>
      <c r="V66" s="132"/>
      <c r="W66" s="133"/>
      <c r="X66" s="133"/>
      <c r="Y66" s="133"/>
      <c r="Z66" s="133"/>
      <c r="AA66" s="133"/>
      <c r="AB66" s="133"/>
      <c r="AC66" s="133"/>
      <c r="AD66" s="133"/>
      <c r="AE66" s="133"/>
      <c r="AF66" s="133"/>
      <c r="AG66" s="133"/>
      <c r="AH66" s="133"/>
      <c r="AI66" s="133"/>
      <c r="AJ66" s="133"/>
      <c r="AK66" s="133"/>
      <c r="AL66" s="133"/>
      <c r="AM66" s="133"/>
      <c r="AN66" s="133"/>
      <c r="AO66" s="133"/>
      <c r="AP66" s="133"/>
      <c r="AQ66" s="133"/>
      <c r="AR66" s="133"/>
      <c r="AS66" s="133"/>
      <c r="AT66" s="133"/>
      <c r="AU66" s="133"/>
      <c r="AV66" s="133"/>
      <c r="AW66" s="133"/>
      <c r="AX66" s="133"/>
      <c r="AY66" s="133"/>
      <c r="AZ66" s="142"/>
      <c r="BA66" s="132"/>
    </row>
    <row r="67" spans="1:53" ht="14.6" outlineLevel="3" thickBot="1" x14ac:dyDescent="0.45">
      <c r="A67" s="143" t="s">
        <v>165</v>
      </c>
      <c r="B67" s="133" t="s">
        <v>77</v>
      </c>
      <c r="C67" s="144">
        <v>2</v>
      </c>
      <c r="D67" s="145"/>
      <c r="E67" s="173"/>
      <c r="F67" s="132"/>
      <c r="G67" s="133"/>
      <c r="H67" s="133"/>
      <c r="I67" s="169"/>
      <c r="J67" s="156"/>
      <c r="K67" s="157"/>
      <c r="L67" s="157"/>
      <c r="M67" s="157"/>
      <c r="N67" s="157"/>
      <c r="O67" s="157"/>
      <c r="P67" s="180"/>
      <c r="Q67" s="157"/>
      <c r="R67" s="157"/>
      <c r="S67" s="157"/>
      <c r="T67" s="158"/>
      <c r="U67" s="159"/>
      <c r="V67" s="159"/>
      <c r="W67" s="160"/>
      <c r="X67" s="160"/>
      <c r="Y67" s="160"/>
      <c r="Z67" s="160"/>
      <c r="AA67" s="160"/>
      <c r="AB67" s="160"/>
      <c r="AC67" s="133"/>
      <c r="AD67" s="133"/>
      <c r="AE67" s="133"/>
      <c r="AF67" s="133"/>
      <c r="AG67" s="133"/>
      <c r="AH67" s="133"/>
      <c r="AI67" s="133"/>
      <c r="AJ67" s="133"/>
      <c r="AK67" s="133"/>
      <c r="AL67" s="133"/>
      <c r="AM67" s="133"/>
      <c r="AN67" s="133"/>
      <c r="AO67" s="133"/>
      <c r="AP67" s="133"/>
      <c r="AQ67" s="133"/>
      <c r="AR67" s="133"/>
      <c r="AS67" s="133"/>
      <c r="AT67" s="133"/>
      <c r="AU67" s="133"/>
      <c r="AV67" s="133"/>
      <c r="AW67" s="133"/>
      <c r="AX67" s="133"/>
      <c r="AY67" s="133"/>
      <c r="AZ67" s="142"/>
      <c r="BA67" s="132"/>
    </row>
    <row r="68" spans="1:53" ht="14.6" outlineLevel="1" x14ac:dyDescent="0.4">
      <c r="A68" s="134" t="s">
        <v>166</v>
      </c>
      <c r="B68" s="135" t="s">
        <v>47</v>
      </c>
      <c r="C68" s="136">
        <v>77</v>
      </c>
      <c r="D68" s="137">
        <f>E68/ORÇAMENTO!$K$125</f>
        <v>0.17798794996480394</v>
      </c>
      <c r="E68" s="168">
        <f>SUM(E69:E112)</f>
        <v>251910.87715839312</v>
      </c>
      <c r="F68" s="132"/>
      <c r="G68" s="133"/>
      <c r="H68" s="133"/>
      <c r="I68" s="169"/>
      <c r="J68" s="181"/>
      <c r="K68" s="164"/>
      <c r="L68" s="164"/>
      <c r="M68" s="182"/>
      <c r="N68" s="182"/>
      <c r="O68" s="182"/>
      <c r="P68" s="170"/>
      <c r="Q68" s="171"/>
      <c r="R68" s="171"/>
      <c r="S68" s="171"/>
      <c r="T68" s="171"/>
      <c r="U68" s="171"/>
      <c r="V68" s="171"/>
      <c r="W68" s="171"/>
      <c r="X68" s="171"/>
      <c r="Y68" s="171"/>
      <c r="Z68" s="183"/>
      <c r="AA68" s="132"/>
      <c r="AB68" s="132"/>
      <c r="AC68" s="132"/>
      <c r="AD68" s="184"/>
      <c r="AE68" s="184"/>
      <c r="AF68" s="184"/>
      <c r="AG68" s="184"/>
      <c r="AH68" s="184"/>
      <c r="AI68" s="184"/>
      <c r="AJ68" s="133"/>
      <c r="AK68" s="133"/>
      <c r="AL68" s="133"/>
      <c r="AM68" s="133"/>
      <c r="AN68" s="133"/>
      <c r="AO68" s="133"/>
      <c r="AP68" s="133"/>
      <c r="AQ68" s="133"/>
      <c r="AR68" s="133"/>
      <c r="AS68" s="133"/>
      <c r="AT68" s="133"/>
      <c r="AU68" s="133"/>
      <c r="AV68" s="133"/>
      <c r="AW68" s="133"/>
      <c r="AX68" s="133"/>
      <c r="AY68" s="133"/>
      <c r="AZ68" s="142"/>
      <c r="BA68" s="132"/>
    </row>
    <row r="69" spans="1:53" ht="14.6" outlineLevel="2" x14ac:dyDescent="0.4">
      <c r="A69" s="134" t="s">
        <v>167</v>
      </c>
      <c r="B69" s="135" t="s">
        <v>107</v>
      </c>
      <c r="C69" s="136">
        <f>SUM(C70:C72)</f>
        <v>21</v>
      </c>
      <c r="D69" s="137">
        <f>E69/ORÇAMENTO!$K$125</f>
        <v>2.1435394203369994E-2</v>
      </c>
      <c r="E69" s="168">
        <f>C70*$O$258/$M$258</f>
        <v>30338.059161165969</v>
      </c>
      <c r="F69" s="132"/>
      <c r="G69" s="133"/>
      <c r="H69" s="133"/>
      <c r="I69" s="169"/>
      <c r="J69" s="150"/>
      <c r="K69" s="133"/>
      <c r="L69" s="133"/>
      <c r="M69" s="184"/>
      <c r="N69" s="184"/>
      <c r="O69" s="184"/>
      <c r="P69" s="139"/>
      <c r="Q69" s="140"/>
      <c r="R69" s="141"/>
      <c r="S69" s="133"/>
      <c r="T69" s="133"/>
      <c r="U69" s="133"/>
      <c r="V69" s="133"/>
      <c r="W69" s="133"/>
      <c r="X69" s="133"/>
      <c r="Y69" s="133"/>
      <c r="Z69" s="185"/>
      <c r="AA69" s="132"/>
      <c r="AB69" s="132"/>
      <c r="AC69" s="132"/>
      <c r="AD69" s="184"/>
      <c r="AE69" s="184"/>
      <c r="AF69" s="184"/>
      <c r="AG69" s="184"/>
      <c r="AH69" s="184"/>
      <c r="AI69" s="184"/>
      <c r="AJ69" s="133"/>
      <c r="AK69" s="133"/>
      <c r="AL69" s="133"/>
      <c r="AM69" s="133"/>
      <c r="AN69" s="133"/>
      <c r="AO69" s="133"/>
      <c r="AP69" s="133"/>
      <c r="AQ69" s="133"/>
      <c r="AR69" s="133"/>
      <c r="AS69" s="133"/>
      <c r="AT69" s="133"/>
      <c r="AU69" s="133"/>
      <c r="AV69" s="133"/>
      <c r="AW69" s="133"/>
      <c r="AX69" s="133"/>
      <c r="AY69" s="133"/>
      <c r="AZ69" s="142"/>
      <c r="BA69" s="132"/>
    </row>
    <row r="70" spans="1:53" ht="14.6" outlineLevel="3" x14ac:dyDescent="0.4">
      <c r="A70" s="143" t="s">
        <v>168</v>
      </c>
      <c r="B70" s="133" t="s">
        <v>109</v>
      </c>
      <c r="C70" s="144">
        <v>14</v>
      </c>
      <c r="D70" s="145"/>
      <c r="E70" s="173"/>
      <c r="F70" s="132"/>
      <c r="G70" s="133"/>
      <c r="H70" s="133"/>
      <c r="I70" s="169"/>
      <c r="J70" s="150"/>
      <c r="K70" s="133"/>
      <c r="L70" s="133"/>
      <c r="M70" s="184"/>
      <c r="N70" s="184"/>
      <c r="O70" s="184"/>
      <c r="P70" s="147"/>
      <c r="Q70" s="149"/>
      <c r="R70" s="133"/>
      <c r="S70" s="133"/>
      <c r="T70" s="133"/>
      <c r="U70" s="133"/>
      <c r="V70" s="133"/>
      <c r="W70" s="133"/>
      <c r="X70" s="133"/>
      <c r="Y70" s="133"/>
      <c r="Z70" s="185"/>
      <c r="AA70" s="132"/>
      <c r="AB70" s="132"/>
      <c r="AC70" s="132"/>
      <c r="AD70" s="184"/>
      <c r="AE70" s="184"/>
      <c r="AF70" s="184"/>
      <c r="AG70" s="184"/>
      <c r="AH70" s="184"/>
      <c r="AI70" s="184"/>
      <c r="AJ70" s="133"/>
      <c r="AK70" s="133"/>
      <c r="AL70" s="133"/>
      <c r="AM70" s="133"/>
      <c r="AN70" s="133"/>
      <c r="AO70" s="133"/>
      <c r="AP70" s="133"/>
      <c r="AQ70" s="133"/>
      <c r="AR70" s="133"/>
      <c r="AS70" s="133"/>
      <c r="AT70" s="133"/>
      <c r="AU70" s="133"/>
      <c r="AV70" s="133"/>
      <c r="AW70" s="133"/>
      <c r="AX70" s="133"/>
      <c r="AY70" s="133"/>
      <c r="AZ70" s="142"/>
      <c r="BA70" s="132"/>
    </row>
    <row r="71" spans="1:53" ht="14.6" outlineLevel="3" x14ac:dyDescent="0.4">
      <c r="A71" s="143" t="s">
        <v>169</v>
      </c>
      <c r="B71" s="133" t="s">
        <v>75</v>
      </c>
      <c r="C71" s="144">
        <v>5</v>
      </c>
      <c r="D71" s="145"/>
      <c r="E71" s="173"/>
      <c r="F71" s="132"/>
      <c r="G71" s="133"/>
      <c r="H71" s="133"/>
      <c r="I71" s="169"/>
      <c r="J71" s="150"/>
      <c r="K71" s="133"/>
      <c r="L71" s="133"/>
      <c r="M71" s="184"/>
      <c r="N71" s="184"/>
      <c r="O71" s="184"/>
      <c r="P71" s="150"/>
      <c r="Q71" s="133"/>
      <c r="R71" s="151"/>
      <c r="S71" s="133"/>
      <c r="T71" s="133"/>
      <c r="U71" s="133"/>
      <c r="V71" s="133"/>
      <c r="W71" s="133"/>
      <c r="X71" s="133"/>
      <c r="Y71" s="133"/>
      <c r="Z71" s="185"/>
      <c r="AA71" s="132"/>
      <c r="AB71" s="132"/>
      <c r="AC71" s="132"/>
      <c r="AD71" s="184"/>
      <c r="AE71" s="184"/>
      <c r="AF71" s="184"/>
      <c r="AG71" s="184"/>
      <c r="AH71" s="184"/>
      <c r="AI71" s="184"/>
      <c r="AJ71" s="133"/>
      <c r="AK71" s="133"/>
      <c r="AL71" s="133"/>
      <c r="AM71" s="133"/>
      <c r="AN71" s="133"/>
      <c r="AO71" s="133"/>
      <c r="AP71" s="133"/>
      <c r="AQ71" s="133"/>
      <c r="AR71" s="133"/>
      <c r="AS71" s="133"/>
      <c r="AT71" s="133"/>
      <c r="AU71" s="133"/>
      <c r="AV71" s="133"/>
      <c r="AW71" s="133"/>
      <c r="AX71" s="133"/>
      <c r="AY71" s="133"/>
      <c r="AZ71" s="142"/>
      <c r="BA71" s="132"/>
    </row>
    <row r="72" spans="1:53" ht="14.6" outlineLevel="3" x14ac:dyDescent="0.4">
      <c r="A72" s="143" t="s">
        <v>170</v>
      </c>
      <c r="B72" s="133" t="s">
        <v>77</v>
      </c>
      <c r="C72" s="144">
        <v>2</v>
      </c>
      <c r="D72" s="145"/>
      <c r="E72" s="173"/>
      <c r="F72" s="132"/>
      <c r="G72" s="133"/>
      <c r="H72" s="133"/>
      <c r="I72" s="169"/>
      <c r="J72" s="150"/>
      <c r="K72" s="133"/>
      <c r="L72" s="133"/>
      <c r="M72" s="184"/>
      <c r="N72" s="184"/>
      <c r="O72" s="184"/>
      <c r="P72" s="150"/>
      <c r="Q72" s="133"/>
      <c r="R72" s="151"/>
      <c r="S72" s="133"/>
      <c r="T72" s="133"/>
      <c r="U72" s="133"/>
      <c r="V72" s="133"/>
      <c r="W72" s="133"/>
      <c r="X72" s="133"/>
      <c r="Y72" s="133"/>
      <c r="Z72" s="185"/>
      <c r="AA72" s="132"/>
      <c r="AB72" s="132"/>
      <c r="AC72" s="132"/>
      <c r="AD72" s="184"/>
      <c r="AE72" s="184"/>
      <c r="AF72" s="184"/>
      <c r="AG72" s="184"/>
      <c r="AH72" s="184"/>
      <c r="AI72" s="184"/>
      <c r="AJ72" s="133"/>
      <c r="AK72" s="133"/>
      <c r="AL72" s="133"/>
      <c r="AM72" s="133"/>
      <c r="AN72" s="133"/>
      <c r="AO72" s="133"/>
      <c r="AP72" s="133"/>
      <c r="AQ72" s="133"/>
      <c r="AR72" s="133"/>
      <c r="AS72" s="133"/>
      <c r="AT72" s="133"/>
      <c r="AU72" s="133"/>
      <c r="AV72" s="133"/>
      <c r="AW72" s="133"/>
      <c r="AX72" s="133"/>
      <c r="AY72" s="133"/>
      <c r="AZ72" s="142"/>
      <c r="BA72" s="132"/>
    </row>
    <row r="73" spans="1:53" ht="14.6" outlineLevel="2" x14ac:dyDescent="0.4">
      <c r="A73" s="134" t="s">
        <v>171</v>
      </c>
      <c r="B73" s="135" t="s">
        <v>113</v>
      </c>
      <c r="C73" s="136">
        <f>SUM(C74:C76)</f>
        <v>7</v>
      </c>
      <c r="D73" s="137">
        <f>E73/ORÇAMENTO!$K$125</f>
        <v>6.0084682844260334E-3</v>
      </c>
      <c r="E73" s="168">
        <f>C74*$O$259/$M$259</f>
        <v>8503.9381385506858</v>
      </c>
      <c r="F73" s="132"/>
      <c r="G73" s="133"/>
      <c r="H73" s="133"/>
      <c r="I73" s="169"/>
      <c r="J73" s="150"/>
      <c r="K73" s="133"/>
      <c r="L73" s="133"/>
      <c r="M73" s="184"/>
      <c r="N73" s="184"/>
      <c r="O73" s="184"/>
      <c r="P73" s="150"/>
      <c r="Q73" s="133"/>
      <c r="R73" s="133"/>
      <c r="S73" s="135"/>
      <c r="T73" s="133"/>
      <c r="U73" s="133"/>
      <c r="V73" s="133"/>
      <c r="W73" s="133"/>
      <c r="X73" s="133"/>
      <c r="Y73" s="133"/>
      <c r="Z73" s="185"/>
      <c r="AA73" s="132"/>
      <c r="AB73" s="132"/>
      <c r="AC73" s="132"/>
      <c r="AD73" s="184"/>
      <c r="AE73" s="184"/>
      <c r="AF73" s="184"/>
      <c r="AG73" s="184"/>
      <c r="AH73" s="184"/>
      <c r="AI73" s="184"/>
      <c r="AJ73" s="133"/>
      <c r="AK73" s="133"/>
      <c r="AL73" s="133"/>
      <c r="AM73" s="133"/>
      <c r="AN73" s="133"/>
      <c r="AO73" s="133"/>
      <c r="AP73" s="133"/>
      <c r="AQ73" s="133"/>
      <c r="AR73" s="133"/>
      <c r="AS73" s="133"/>
      <c r="AT73" s="133"/>
      <c r="AU73" s="133"/>
      <c r="AV73" s="133"/>
      <c r="AW73" s="133"/>
      <c r="AX73" s="133"/>
      <c r="AY73" s="133"/>
      <c r="AZ73" s="142"/>
      <c r="BA73" s="132"/>
    </row>
    <row r="74" spans="1:53" ht="14.6" outlineLevel="3" x14ac:dyDescent="0.4">
      <c r="A74" s="143" t="s">
        <v>172</v>
      </c>
      <c r="B74" s="133" t="s">
        <v>115</v>
      </c>
      <c r="C74" s="144">
        <v>4</v>
      </c>
      <c r="D74" s="145"/>
      <c r="E74" s="173"/>
      <c r="F74" s="132"/>
      <c r="G74" s="133"/>
      <c r="H74" s="133"/>
      <c r="I74" s="169"/>
      <c r="J74" s="150"/>
      <c r="K74" s="133"/>
      <c r="L74" s="133"/>
      <c r="M74" s="184"/>
      <c r="N74" s="184"/>
      <c r="O74" s="184"/>
      <c r="P74" s="150"/>
      <c r="Q74" s="133"/>
      <c r="R74" s="133"/>
      <c r="S74" s="175"/>
      <c r="T74" s="133"/>
      <c r="U74" s="133"/>
      <c r="V74" s="133"/>
      <c r="W74" s="133"/>
      <c r="X74" s="133"/>
      <c r="Y74" s="133"/>
      <c r="Z74" s="185"/>
      <c r="AA74" s="132"/>
      <c r="AB74" s="132"/>
      <c r="AC74" s="132"/>
      <c r="AD74" s="184"/>
      <c r="AE74" s="184"/>
      <c r="AF74" s="184"/>
      <c r="AG74" s="184"/>
      <c r="AH74" s="184"/>
      <c r="AI74" s="184"/>
      <c r="AJ74" s="133"/>
      <c r="AK74" s="133"/>
      <c r="AL74" s="133"/>
      <c r="AM74" s="133"/>
      <c r="AN74" s="133"/>
      <c r="AO74" s="133"/>
      <c r="AP74" s="133"/>
      <c r="AQ74" s="133"/>
      <c r="AR74" s="133"/>
      <c r="AS74" s="133"/>
      <c r="AT74" s="133"/>
      <c r="AU74" s="133"/>
      <c r="AV74" s="133"/>
      <c r="AW74" s="133"/>
      <c r="AX74" s="133"/>
      <c r="AY74" s="133"/>
      <c r="AZ74" s="142"/>
      <c r="BA74" s="132"/>
    </row>
    <row r="75" spans="1:53" ht="14.6" outlineLevel="3" x14ac:dyDescent="0.4">
      <c r="A75" s="143" t="s">
        <v>173</v>
      </c>
      <c r="B75" s="133" t="s">
        <v>75</v>
      </c>
      <c r="C75" s="144">
        <v>2</v>
      </c>
      <c r="D75" s="145"/>
      <c r="E75" s="173"/>
      <c r="F75" s="132"/>
      <c r="G75" s="133"/>
      <c r="H75" s="133"/>
      <c r="I75" s="169"/>
      <c r="J75" s="150"/>
      <c r="K75" s="133"/>
      <c r="L75" s="133"/>
      <c r="M75" s="184"/>
      <c r="N75" s="184"/>
      <c r="O75" s="184"/>
      <c r="P75" s="150"/>
      <c r="Q75" s="133"/>
      <c r="R75" s="133"/>
      <c r="S75" s="151"/>
      <c r="T75" s="133"/>
      <c r="U75" s="133"/>
      <c r="V75" s="133"/>
      <c r="W75" s="133"/>
      <c r="X75" s="133"/>
      <c r="Y75" s="133"/>
      <c r="Z75" s="185"/>
      <c r="AA75" s="132"/>
      <c r="AB75" s="132"/>
      <c r="AC75" s="132"/>
      <c r="AD75" s="184"/>
      <c r="AE75" s="184"/>
      <c r="AF75" s="184"/>
      <c r="AG75" s="184"/>
      <c r="AH75" s="184"/>
      <c r="AI75" s="184"/>
      <c r="AJ75" s="133"/>
      <c r="AK75" s="133"/>
      <c r="AL75" s="133"/>
      <c r="AM75" s="133"/>
      <c r="AN75" s="133"/>
      <c r="AO75" s="133"/>
      <c r="AP75" s="133"/>
      <c r="AQ75" s="133"/>
      <c r="AR75" s="133"/>
      <c r="AS75" s="133"/>
      <c r="AT75" s="133"/>
      <c r="AU75" s="133"/>
      <c r="AV75" s="133"/>
      <c r="AW75" s="133"/>
      <c r="AX75" s="133"/>
      <c r="AY75" s="133"/>
      <c r="AZ75" s="142"/>
      <c r="BA75" s="132"/>
    </row>
    <row r="76" spans="1:53" ht="14.6" outlineLevel="3" x14ac:dyDescent="0.4">
      <c r="A76" s="143" t="s">
        <v>174</v>
      </c>
      <c r="B76" s="133" t="s">
        <v>77</v>
      </c>
      <c r="C76" s="144">
        <v>1</v>
      </c>
      <c r="D76" s="145"/>
      <c r="E76" s="173"/>
      <c r="F76" s="132"/>
      <c r="G76" s="133"/>
      <c r="H76" s="133"/>
      <c r="I76" s="169"/>
      <c r="J76" s="150"/>
      <c r="K76" s="133"/>
      <c r="L76" s="133"/>
      <c r="M76" s="184"/>
      <c r="N76" s="184"/>
      <c r="O76" s="184"/>
      <c r="P76" s="150"/>
      <c r="Q76" s="133"/>
      <c r="R76" s="133"/>
      <c r="S76" s="151"/>
      <c r="T76" s="133"/>
      <c r="U76" s="133"/>
      <c r="V76" s="133"/>
      <c r="W76" s="133"/>
      <c r="X76" s="133"/>
      <c r="Y76" s="133"/>
      <c r="Z76" s="185"/>
      <c r="AA76" s="132"/>
      <c r="AB76" s="132"/>
      <c r="AC76" s="132"/>
      <c r="AD76" s="184"/>
      <c r="AE76" s="184"/>
      <c r="AF76" s="184"/>
      <c r="AG76" s="184"/>
      <c r="AH76" s="184"/>
      <c r="AI76" s="184"/>
      <c r="AJ76" s="133"/>
      <c r="AK76" s="133"/>
      <c r="AL76" s="133"/>
      <c r="AM76" s="133"/>
      <c r="AN76" s="133"/>
      <c r="AO76" s="133"/>
      <c r="AP76" s="133"/>
      <c r="AQ76" s="133"/>
      <c r="AR76" s="133"/>
      <c r="AS76" s="133"/>
      <c r="AT76" s="133"/>
      <c r="AU76" s="133"/>
      <c r="AV76" s="133"/>
      <c r="AW76" s="133"/>
      <c r="AX76" s="133"/>
      <c r="AY76" s="133"/>
      <c r="AZ76" s="142"/>
      <c r="BA76" s="132"/>
    </row>
    <row r="77" spans="1:53" ht="14.6" outlineLevel="2" x14ac:dyDescent="0.4">
      <c r="A77" s="134" t="s">
        <v>175</v>
      </c>
      <c r="B77" s="135" t="s">
        <v>119</v>
      </c>
      <c r="C77" s="136">
        <f>SUM(C78:C80)</f>
        <v>17</v>
      </c>
      <c r="D77" s="137">
        <f>E77/ORÇAMENTO!$K$125</f>
        <v>1.5021173221141724E-2</v>
      </c>
      <c r="E77" s="168">
        <f>C78*$O$260/$M$260</f>
        <v>21259.848898952092</v>
      </c>
      <c r="F77" s="132"/>
      <c r="G77" s="133"/>
      <c r="H77" s="133"/>
      <c r="I77" s="169"/>
      <c r="J77" s="150"/>
      <c r="K77" s="133"/>
      <c r="L77" s="133"/>
      <c r="M77" s="184"/>
      <c r="N77" s="184"/>
      <c r="O77" s="184"/>
      <c r="P77" s="150"/>
      <c r="Q77" s="133"/>
      <c r="R77" s="133"/>
      <c r="S77" s="152"/>
      <c r="T77" s="140"/>
      <c r="U77" s="141"/>
      <c r="V77" s="133"/>
      <c r="W77" s="133"/>
      <c r="X77" s="133"/>
      <c r="Y77" s="133"/>
      <c r="Z77" s="185"/>
      <c r="AA77" s="132"/>
      <c r="AB77" s="132"/>
      <c r="AC77" s="132"/>
      <c r="AD77" s="184"/>
      <c r="AE77" s="184"/>
      <c r="AF77" s="184"/>
      <c r="AG77" s="184"/>
      <c r="AH77" s="184"/>
      <c r="AI77" s="184"/>
      <c r="AJ77" s="133"/>
      <c r="AK77" s="133"/>
      <c r="AL77" s="133"/>
      <c r="AM77" s="133"/>
      <c r="AN77" s="133"/>
      <c r="AO77" s="133"/>
      <c r="AP77" s="133"/>
      <c r="AQ77" s="133"/>
      <c r="AR77" s="133"/>
      <c r="AS77" s="133"/>
      <c r="AT77" s="133"/>
      <c r="AU77" s="133"/>
      <c r="AV77" s="133"/>
      <c r="AW77" s="133"/>
      <c r="AX77" s="133"/>
      <c r="AY77" s="133"/>
      <c r="AZ77" s="142"/>
      <c r="BA77" s="132"/>
    </row>
    <row r="78" spans="1:53" ht="14.6" outlineLevel="3" x14ac:dyDescent="0.4">
      <c r="A78" s="143" t="s">
        <v>176</v>
      </c>
      <c r="B78" s="133" t="s">
        <v>121</v>
      </c>
      <c r="C78" s="144">
        <v>10</v>
      </c>
      <c r="D78" s="145"/>
      <c r="E78" s="173"/>
      <c r="F78" s="132"/>
      <c r="G78" s="133"/>
      <c r="H78" s="133"/>
      <c r="I78" s="169"/>
      <c r="J78" s="150"/>
      <c r="K78" s="133"/>
      <c r="L78" s="133"/>
      <c r="M78" s="184"/>
      <c r="N78" s="184"/>
      <c r="O78" s="184"/>
      <c r="P78" s="150"/>
      <c r="Q78" s="133"/>
      <c r="R78" s="133"/>
      <c r="S78" s="154"/>
      <c r="T78" s="149"/>
      <c r="U78" s="133"/>
      <c r="V78" s="133"/>
      <c r="W78" s="133"/>
      <c r="X78" s="133"/>
      <c r="Y78" s="133"/>
      <c r="Z78" s="185"/>
      <c r="AA78" s="132"/>
      <c r="AB78" s="132"/>
      <c r="AC78" s="132"/>
      <c r="AD78" s="184"/>
      <c r="AE78" s="184"/>
      <c r="AF78" s="184"/>
      <c r="AG78" s="184"/>
      <c r="AH78" s="184"/>
      <c r="AI78" s="184"/>
      <c r="AJ78" s="133"/>
      <c r="AK78" s="133"/>
      <c r="AL78" s="133"/>
      <c r="AM78" s="133"/>
      <c r="AN78" s="133"/>
      <c r="AO78" s="133"/>
      <c r="AP78" s="133"/>
      <c r="AQ78" s="133"/>
      <c r="AR78" s="133"/>
      <c r="AS78" s="133"/>
      <c r="AT78" s="133"/>
      <c r="AU78" s="133"/>
      <c r="AV78" s="133"/>
      <c r="AW78" s="133"/>
      <c r="AX78" s="133"/>
      <c r="AY78" s="133"/>
      <c r="AZ78" s="142"/>
      <c r="BA78" s="132"/>
    </row>
    <row r="79" spans="1:53" ht="14.6" outlineLevel="3" x14ac:dyDescent="0.4">
      <c r="A79" s="143" t="s">
        <v>177</v>
      </c>
      <c r="B79" s="133" t="s">
        <v>75</v>
      </c>
      <c r="C79" s="144">
        <v>5</v>
      </c>
      <c r="D79" s="145"/>
      <c r="E79" s="173"/>
      <c r="F79" s="132"/>
      <c r="G79" s="133"/>
      <c r="H79" s="133"/>
      <c r="I79" s="169"/>
      <c r="J79" s="150"/>
      <c r="K79" s="133"/>
      <c r="L79" s="133"/>
      <c r="M79" s="184"/>
      <c r="N79" s="184"/>
      <c r="O79" s="184"/>
      <c r="P79" s="150"/>
      <c r="Q79" s="133"/>
      <c r="R79" s="133"/>
      <c r="S79" s="133"/>
      <c r="T79" s="133"/>
      <c r="U79" s="151"/>
      <c r="V79" s="133"/>
      <c r="W79" s="133"/>
      <c r="X79" s="133"/>
      <c r="Y79" s="133"/>
      <c r="Z79" s="185"/>
      <c r="AA79" s="132"/>
      <c r="AB79" s="132"/>
      <c r="AC79" s="132"/>
      <c r="AD79" s="184"/>
      <c r="AE79" s="184"/>
      <c r="AF79" s="184"/>
      <c r="AG79" s="184"/>
      <c r="AH79" s="184"/>
      <c r="AI79" s="184"/>
      <c r="AJ79" s="133"/>
      <c r="AK79" s="133"/>
      <c r="AL79" s="133"/>
      <c r="AM79" s="133"/>
      <c r="AN79" s="133"/>
      <c r="AO79" s="133"/>
      <c r="AP79" s="133"/>
      <c r="AQ79" s="133"/>
      <c r="AR79" s="133"/>
      <c r="AS79" s="133"/>
      <c r="AT79" s="133"/>
      <c r="AU79" s="133"/>
      <c r="AV79" s="133"/>
      <c r="AW79" s="133"/>
      <c r="AX79" s="133"/>
      <c r="AY79" s="133"/>
      <c r="AZ79" s="142"/>
      <c r="BA79" s="132"/>
    </row>
    <row r="80" spans="1:53" ht="14.6" outlineLevel="3" x14ac:dyDescent="0.4">
      <c r="A80" s="143" t="s">
        <v>178</v>
      </c>
      <c r="B80" s="133" t="s">
        <v>77</v>
      </c>
      <c r="C80" s="144">
        <v>2</v>
      </c>
      <c r="D80" s="145"/>
      <c r="E80" s="173"/>
      <c r="F80" s="132"/>
      <c r="G80" s="133"/>
      <c r="H80" s="133"/>
      <c r="I80" s="169"/>
      <c r="J80" s="150"/>
      <c r="K80" s="133"/>
      <c r="L80" s="133"/>
      <c r="M80" s="184"/>
      <c r="N80" s="184"/>
      <c r="O80" s="184"/>
      <c r="P80" s="150"/>
      <c r="Q80" s="133"/>
      <c r="R80" s="133"/>
      <c r="S80" s="133"/>
      <c r="T80" s="133"/>
      <c r="U80" s="151"/>
      <c r="V80" s="133"/>
      <c r="W80" s="133"/>
      <c r="X80" s="133"/>
      <c r="Y80" s="133"/>
      <c r="Z80" s="185"/>
      <c r="AA80" s="132"/>
      <c r="AB80" s="132"/>
      <c r="AC80" s="132"/>
      <c r="AD80" s="184"/>
      <c r="AE80" s="184"/>
      <c r="AF80" s="184"/>
      <c r="AG80" s="184"/>
      <c r="AH80" s="184"/>
      <c r="AI80" s="184"/>
      <c r="AJ80" s="133"/>
      <c r="AK80" s="133"/>
      <c r="AL80" s="133"/>
      <c r="AM80" s="133"/>
      <c r="AN80" s="133"/>
      <c r="AO80" s="133"/>
      <c r="AP80" s="133"/>
      <c r="AQ80" s="133"/>
      <c r="AR80" s="133"/>
      <c r="AS80" s="133"/>
      <c r="AT80" s="133"/>
      <c r="AU80" s="133"/>
      <c r="AV80" s="133"/>
      <c r="AW80" s="133"/>
      <c r="AX80" s="133"/>
      <c r="AY80" s="133"/>
      <c r="AZ80" s="142"/>
      <c r="BA80" s="132"/>
    </row>
    <row r="81" spans="1:53" ht="14.6" outlineLevel="2" x14ac:dyDescent="0.4">
      <c r="A81" s="134" t="s">
        <v>179</v>
      </c>
      <c r="B81" s="135" t="s">
        <v>125</v>
      </c>
      <c r="C81" s="136">
        <f>SUM(C82:C84)</f>
        <v>7</v>
      </c>
      <c r="D81" s="137">
        <f>E81/ORÇAMENTO!$K$125</f>
        <v>6.0084684741411295E-3</v>
      </c>
      <c r="E81" s="168">
        <f>C82*$O$261/$M$261</f>
        <v>8503.9384070592914</v>
      </c>
      <c r="F81" s="132"/>
      <c r="G81" s="133"/>
      <c r="H81" s="133"/>
      <c r="I81" s="169"/>
      <c r="J81" s="150"/>
      <c r="K81" s="133"/>
      <c r="L81" s="133"/>
      <c r="M81" s="184"/>
      <c r="N81" s="184"/>
      <c r="O81" s="184"/>
      <c r="P81" s="150"/>
      <c r="Q81" s="133"/>
      <c r="R81" s="133"/>
      <c r="S81" s="135"/>
      <c r="T81" s="133"/>
      <c r="U81" s="133"/>
      <c r="V81" s="133"/>
      <c r="W81" s="133"/>
      <c r="X81" s="133"/>
      <c r="Y81" s="133"/>
      <c r="Z81" s="185"/>
      <c r="AA81" s="132"/>
      <c r="AB81" s="132"/>
      <c r="AC81" s="132"/>
      <c r="AD81" s="184"/>
      <c r="AE81" s="184"/>
      <c r="AF81" s="184"/>
      <c r="AG81" s="184"/>
      <c r="AH81" s="184"/>
      <c r="AI81" s="184"/>
      <c r="AJ81" s="133"/>
      <c r="AK81" s="133"/>
      <c r="AL81" s="133"/>
      <c r="AM81" s="133"/>
      <c r="AN81" s="133"/>
      <c r="AO81" s="133"/>
      <c r="AP81" s="133"/>
      <c r="AQ81" s="133"/>
      <c r="AR81" s="133"/>
      <c r="AS81" s="133"/>
      <c r="AT81" s="133"/>
      <c r="AU81" s="133"/>
      <c r="AV81" s="133"/>
      <c r="AW81" s="133"/>
      <c r="AX81" s="133"/>
      <c r="AY81" s="133"/>
      <c r="AZ81" s="142"/>
      <c r="BA81" s="132"/>
    </row>
    <row r="82" spans="1:53" ht="14.6" outlineLevel="3" x14ac:dyDescent="0.4">
      <c r="A82" s="143" t="s">
        <v>180</v>
      </c>
      <c r="B82" s="133" t="s">
        <v>127</v>
      </c>
      <c r="C82" s="144">
        <v>4</v>
      </c>
      <c r="D82" s="145"/>
      <c r="E82" s="173"/>
      <c r="F82" s="132"/>
      <c r="G82" s="133"/>
      <c r="H82" s="133"/>
      <c r="I82" s="169"/>
      <c r="J82" s="150"/>
      <c r="K82" s="133"/>
      <c r="L82" s="133"/>
      <c r="M82" s="184"/>
      <c r="N82" s="184"/>
      <c r="O82" s="184"/>
      <c r="P82" s="150"/>
      <c r="Q82" s="133"/>
      <c r="R82" s="133"/>
      <c r="S82" s="175"/>
      <c r="T82" s="133"/>
      <c r="U82" s="133"/>
      <c r="V82" s="133"/>
      <c r="W82" s="133"/>
      <c r="X82" s="133"/>
      <c r="Y82" s="133"/>
      <c r="Z82" s="185"/>
      <c r="AA82" s="132"/>
      <c r="AB82" s="132"/>
      <c r="AC82" s="132"/>
      <c r="AD82" s="184"/>
      <c r="AE82" s="184"/>
      <c r="AF82" s="184"/>
      <c r="AG82" s="184"/>
      <c r="AH82" s="184"/>
      <c r="AI82" s="184"/>
      <c r="AJ82" s="133"/>
      <c r="AK82" s="133"/>
      <c r="AL82" s="133"/>
      <c r="AM82" s="133"/>
      <c r="AN82" s="133"/>
      <c r="AO82" s="133"/>
      <c r="AP82" s="133"/>
      <c r="AQ82" s="133"/>
      <c r="AR82" s="133"/>
      <c r="AS82" s="133"/>
      <c r="AT82" s="133"/>
      <c r="AU82" s="133"/>
      <c r="AV82" s="133"/>
      <c r="AW82" s="133"/>
      <c r="AX82" s="133"/>
      <c r="AY82" s="133"/>
      <c r="AZ82" s="142"/>
      <c r="BA82" s="132"/>
    </row>
    <row r="83" spans="1:53" ht="14.6" outlineLevel="3" x14ac:dyDescent="0.4">
      <c r="A83" s="143" t="s">
        <v>181</v>
      </c>
      <c r="B83" s="133" t="s">
        <v>75</v>
      </c>
      <c r="C83" s="144">
        <v>2</v>
      </c>
      <c r="D83" s="145"/>
      <c r="E83" s="173"/>
      <c r="F83" s="132"/>
      <c r="G83" s="133"/>
      <c r="H83" s="133"/>
      <c r="I83" s="169"/>
      <c r="J83" s="150"/>
      <c r="K83" s="133"/>
      <c r="L83" s="133"/>
      <c r="M83" s="184"/>
      <c r="N83" s="184"/>
      <c r="O83" s="184"/>
      <c r="P83" s="150"/>
      <c r="Q83" s="133"/>
      <c r="R83" s="133"/>
      <c r="S83" s="151"/>
      <c r="T83" s="133"/>
      <c r="U83" s="133"/>
      <c r="V83" s="133"/>
      <c r="W83" s="133"/>
      <c r="X83" s="133"/>
      <c r="Y83" s="133"/>
      <c r="Z83" s="185"/>
      <c r="AA83" s="132"/>
      <c r="AB83" s="132"/>
      <c r="AC83" s="132"/>
      <c r="AD83" s="184"/>
      <c r="AE83" s="184"/>
      <c r="AF83" s="184"/>
      <c r="AG83" s="184"/>
      <c r="AH83" s="184"/>
      <c r="AI83" s="184"/>
      <c r="AJ83" s="133"/>
      <c r="AK83" s="133"/>
      <c r="AL83" s="133"/>
      <c r="AM83" s="133"/>
      <c r="AN83" s="133"/>
      <c r="AO83" s="133"/>
      <c r="AP83" s="133"/>
      <c r="AQ83" s="133"/>
      <c r="AR83" s="133"/>
      <c r="AS83" s="133"/>
      <c r="AT83" s="133"/>
      <c r="AU83" s="133"/>
      <c r="AV83" s="133"/>
      <c r="AW83" s="133"/>
      <c r="AX83" s="133"/>
      <c r="AY83" s="133"/>
      <c r="AZ83" s="142"/>
      <c r="BA83" s="132"/>
    </row>
    <row r="84" spans="1:53" ht="14.6" outlineLevel="3" x14ac:dyDescent="0.4">
      <c r="A84" s="143" t="s">
        <v>182</v>
      </c>
      <c r="B84" s="133" t="s">
        <v>77</v>
      </c>
      <c r="C84" s="144">
        <v>1</v>
      </c>
      <c r="D84" s="145"/>
      <c r="E84" s="173"/>
      <c r="F84" s="132"/>
      <c r="G84" s="133"/>
      <c r="H84" s="133"/>
      <c r="I84" s="169"/>
      <c r="J84" s="150"/>
      <c r="K84" s="133"/>
      <c r="L84" s="133"/>
      <c r="M84" s="184"/>
      <c r="N84" s="184"/>
      <c r="O84" s="184"/>
      <c r="P84" s="150"/>
      <c r="Q84" s="133"/>
      <c r="R84" s="133"/>
      <c r="S84" s="151"/>
      <c r="T84" s="133"/>
      <c r="U84" s="133"/>
      <c r="V84" s="133"/>
      <c r="W84" s="133"/>
      <c r="X84" s="133"/>
      <c r="Y84" s="133"/>
      <c r="Z84" s="185"/>
      <c r="AA84" s="132"/>
      <c r="AB84" s="132"/>
      <c r="AC84" s="132"/>
      <c r="AD84" s="184"/>
      <c r="AE84" s="184"/>
      <c r="AF84" s="184"/>
      <c r="AG84" s="184"/>
      <c r="AH84" s="184"/>
      <c r="AI84" s="184"/>
      <c r="AJ84" s="133"/>
      <c r="AK84" s="133"/>
      <c r="AL84" s="133"/>
      <c r="AM84" s="133"/>
      <c r="AN84" s="133"/>
      <c r="AO84" s="133"/>
      <c r="AP84" s="133"/>
      <c r="AQ84" s="133"/>
      <c r="AR84" s="133"/>
      <c r="AS84" s="133"/>
      <c r="AT84" s="133"/>
      <c r="AU84" s="133"/>
      <c r="AV84" s="133"/>
      <c r="AW84" s="133"/>
      <c r="AX84" s="133"/>
      <c r="AY84" s="133"/>
      <c r="AZ84" s="142"/>
      <c r="BA84" s="132"/>
    </row>
    <row r="85" spans="1:53" ht="14.6" outlineLevel="2" x14ac:dyDescent="0.4">
      <c r="A85" s="134" t="s">
        <v>183</v>
      </c>
      <c r="B85" s="135" t="s">
        <v>131</v>
      </c>
      <c r="C85" s="136">
        <f>SUM(C86:C88)</f>
        <v>10</v>
      </c>
      <c r="D85" s="137">
        <f>E85/ORÇAMENTO!$K$125</f>
        <v>1.5264837206920292E-2</v>
      </c>
      <c r="E85" s="168">
        <f>C86*$O$262/$M$262</f>
        <v>21604.712741709576</v>
      </c>
      <c r="F85" s="132"/>
      <c r="G85" s="133"/>
      <c r="H85" s="133"/>
      <c r="I85" s="169"/>
      <c r="J85" s="150"/>
      <c r="K85" s="133"/>
      <c r="L85" s="133"/>
      <c r="M85" s="184"/>
      <c r="N85" s="184"/>
      <c r="O85" s="184"/>
      <c r="P85" s="150"/>
      <c r="Q85" s="133"/>
      <c r="R85" s="133"/>
      <c r="S85" s="133"/>
      <c r="T85" s="152"/>
      <c r="U85" s="141"/>
      <c r="V85" s="133"/>
      <c r="W85" s="133"/>
      <c r="X85" s="133"/>
      <c r="Y85" s="133"/>
      <c r="Z85" s="185"/>
      <c r="AA85" s="132"/>
      <c r="AB85" s="132"/>
      <c r="AC85" s="132"/>
      <c r="AD85" s="184"/>
      <c r="AE85" s="184"/>
      <c r="AF85" s="184"/>
      <c r="AG85" s="184"/>
      <c r="AH85" s="184"/>
      <c r="AI85" s="184"/>
      <c r="AJ85" s="133"/>
      <c r="AK85" s="133"/>
      <c r="AL85" s="133"/>
      <c r="AM85" s="133"/>
      <c r="AN85" s="133"/>
      <c r="AO85" s="133"/>
      <c r="AP85" s="133"/>
      <c r="AQ85" s="133"/>
      <c r="AR85" s="133"/>
      <c r="AS85" s="133"/>
      <c r="AT85" s="133"/>
      <c r="AU85" s="133"/>
      <c r="AV85" s="133"/>
      <c r="AW85" s="133"/>
      <c r="AX85" s="133"/>
      <c r="AY85" s="133"/>
      <c r="AZ85" s="142"/>
      <c r="BA85" s="132"/>
    </row>
    <row r="86" spans="1:53" ht="14.6" outlineLevel="3" x14ac:dyDescent="0.4">
      <c r="A86" s="143" t="s">
        <v>184</v>
      </c>
      <c r="B86" s="133" t="s">
        <v>133</v>
      </c>
      <c r="C86" s="144">
        <v>7</v>
      </c>
      <c r="D86" s="145"/>
      <c r="E86" s="173"/>
      <c r="F86" s="132"/>
      <c r="G86" s="133"/>
      <c r="H86" s="133"/>
      <c r="I86" s="169"/>
      <c r="J86" s="150"/>
      <c r="K86" s="133"/>
      <c r="L86" s="133"/>
      <c r="M86" s="184"/>
      <c r="N86" s="184"/>
      <c r="O86" s="184"/>
      <c r="P86" s="150"/>
      <c r="Q86" s="133"/>
      <c r="R86" s="133"/>
      <c r="S86" s="133"/>
      <c r="T86" s="175"/>
      <c r="U86" s="133"/>
      <c r="V86" s="133"/>
      <c r="W86" s="133"/>
      <c r="X86" s="133"/>
      <c r="Y86" s="133"/>
      <c r="Z86" s="185"/>
      <c r="AA86" s="132"/>
      <c r="AB86" s="132"/>
      <c r="AC86" s="132"/>
      <c r="AD86" s="184"/>
      <c r="AE86" s="184"/>
      <c r="AF86" s="184"/>
      <c r="AG86" s="184"/>
      <c r="AH86" s="184"/>
      <c r="AI86" s="184"/>
      <c r="AJ86" s="133"/>
      <c r="AK86" s="133"/>
      <c r="AL86" s="133"/>
      <c r="AM86" s="133"/>
      <c r="AN86" s="133"/>
      <c r="AO86" s="133"/>
      <c r="AP86" s="133"/>
      <c r="AQ86" s="133"/>
      <c r="AR86" s="133"/>
      <c r="AS86" s="133"/>
      <c r="AT86" s="133"/>
      <c r="AU86" s="133"/>
      <c r="AV86" s="133"/>
      <c r="AW86" s="133"/>
      <c r="AX86" s="133"/>
      <c r="AY86" s="133"/>
      <c r="AZ86" s="142"/>
      <c r="BA86" s="132"/>
    </row>
    <row r="87" spans="1:53" ht="14.6" outlineLevel="3" x14ac:dyDescent="0.4">
      <c r="A87" s="143" t="s">
        <v>185</v>
      </c>
      <c r="B87" s="133" t="s">
        <v>75</v>
      </c>
      <c r="C87" s="144">
        <v>2</v>
      </c>
      <c r="D87" s="145"/>
      <c r="E87" s="173"/>
      <c r="F87" s="132"/>
      <c r="G87" s="133"/>
      <c r="H87" s="133"/>
      <c r="I87" s="169"/>
      <c r="J87" s="150"/>
      <c r="K87" s="133"/>
      <c r="L87" s="133"/>
      <c r="M87" s="184"/>
      <c r="N87" s="184"/>
      <c r="O87" s="184"/>
      <c r="P87" s="150"/>
      <c r="Q87" s="133"/>
      <c r="R87" s="133"/>
      <c r="S87" s="133"/>
      <c r="T87" s="133"/>
      <c r="U87" s="151"/>
      <c r="V87" s="133"/>
      <c r="W87" s="133"/>
      <c r="X87" s="133"/>
      <c r="Y87" s="133"/>
      <c r="Z87" s="185"/>
      <c r="AA87" s="132"/>
      <c r="AB87" s="132"/>
      <c r="AC87" s="132"/>
      <c r="AD87" s="184"/>
      <c r="AE87" s="184"/>
      <c r="AF87" s="184"/>
      <c r="AG87" s="184"/>
      <c r="AH87" s="184"/>
      <c r="AI87" s="184"/>
      <c r="AJ87" s="133"/>
      <c r="AK87" s="133"/>
      <c r="AL87" s="133"/>
      <c r="AM87" s="133"/>
      <c r="AN87" s="133"/>
      <c r="AO87" s="133"/>
      <c r="AP87" s="133"/>
      <c r="AQ87" s="133"/>
      <c r="AR87" s="133"/>
      <c r="AS87" s="133"/>
      <c r="AT87" s="133"/>
      <c r="AU87" s="133"/>
      <c r="AV87" s="133"/>
      <c r="AW87" s="133"/>
      <c r="AX87" s="133"/>
      <c r="AY87" s="133"/>
      <c r="AZ87" s="142"/>
      <c r="BA87" s="132"/>
    </row>
    <row r="88" spans="1:53" ht="14.6" outlineLevel="3" x14ac:dyDescent="0.4">
      <c r="A88" s="143" t="s">
        <v>186</v>
      </c>
      <c r="B88" s="133" t="s">
        <v>77</v>
      </c>
      <c r="C88" s="144">
        <v>1</v>
      </c>
      <c r="D88" s="145"/>
      <c r="E88" s="173"/>
      <c r="F88" s="132"/>
      <c r="G88" s="133"/>
      <c r="H88" s="133"/>
      <c r="I88" s="169"/>
      <c r="J88" s="150"/>
      <c r="K88" s="133"/>
      <c r="L88" s="133"/>
      <c r="M88" s="184"/>
      <c r="N88" s="184"/>
      <c r="O88" s="184"/>
      <c r="P88" s="150"/>
      <c r="Q88" s="133"/>
      <c r="R88" s="133"/>
      <c r="S88" s="133"/>
      <c r="T88" s="133"/>
      <c r="U88" s="151"/>
      <c r="V88" s="133"/>
      <c r="W88" s="133"/>
      <c r="X88" s="133"/>
      <c r="Y88" s="133"/>
      <c r="Z88" s="185"/>
      <c r="AA88" s="132"/>
      <c r="AB88" s="132"/>
      <c r="AC88" s="132"/>
      <c r="AD88" s="184"/>
      <c r="AE88" s="184"/>
      <c r="AF88" s="184"/>
      <c r="AG88" s="184"/>
      <c r="AH88" s="184"/>
      <c r="AI88" s="184"/>
      <c r="AJ88" s="133"/>
      <c r="AK88" s="133"/>
      <c r="AL88" s="133"/>
      <c r="AM88" s="133"/>
      <c r="AN88" s="133"/>
      <c r="AO88" s="133"/>
      <c r="AP88" s="133"/>
      <c r="AQ88" s="133"/>
      <c r="AR88" s="133"/>
      <c r="AS88" s="133"/>
      <c r="AT88" s="133"/>
      <c r="AU88" s="133"/>
      <c r="AV88" s="133"/>
      <c r="AW88" s="133"/>
      <c r="AX88" s="133"/>
      <c r="AY88" s="133"/>
      <c r="AZ88" s="142"/>
      <c r="BA88" s="132"/>
    </row>
    <row r="89" spans="1:53" ht="14.6" outlineLevel="2" x14ac:dyDescent="0.4">
      <c r="A89" s="134" t="s">
        <v>187</v>
      </c>
      <c r="B89" s="135" t="s">
        <v>137</v>
      </c>
      <c r="C89" s="136">
        <f>SUM(C90:C92)</f>
        <v>7</v>
      </c>
      <c r="D89" s="137">
        <f>E89/ORÇAMENTO!$K$125</f>
        <v>6.0084685483774696E-3</v>
      </c>
      <c r="E89" s="168">
        <f>C90*$O$263/$M$263</f>
        <v>8503.9385121278738</v>
      </c>
      <c r="F89" s="132"/>
      <c r="G89" s="133"/>
      <c r="H89" s="133"/>
      <c r="I89" s="169"/>
      <c r="J89" s="150"/>
      <c r="K89" s="133"/>
      <c r="L89" s="133"/>
      <c r="M89" s="184"/>
      <c r="N89" s="184"/>
      <c r="O89" s="184"/>
      <c r="P89" s="150"/>
      <c r="Q89" s="133"/>
      <c r="R89" s="133"/>
      <c r="S89" s="133"/>
      <c r="T89" s="133"/>
      <c r="U89" s="135"/>
      <c r="V89" s="133"/>
      <c r="W89" s="133"/>
      <c r="X89" s="133"/>
      <c r="Y89" s="133"/>
      <c r="Z89" s="185"/>
      <c r="AA89" s="132"/>
      <c r="AB89" s="132"/>
      <c r="AC89" s="132"/>
      <c r="AD89" s="184"/>
      <c r="AE89" s="184"/>
      <c r="AF89" s="184"/>
      <c r="AG89" s="184"/>
      <c r="AH89" s="184"/>
      <c r="AI89" s="184"/>
      <c r="AJ89" s="133"/>
      <c r="AK89" s="133"/>
      <c r="AL89" s="133"/>
      <c r="AM89" s="133"/>
      <c r="AN89" s="133"/>
      <c r="AO89" s="133"/>
      <c r="AP89" s="133"/>
      <c r="AQ89" s="133"/>
      <c r="AR89" s="133"/>
      <c r="AS89" s="133"/>
      <c r="AT89" s="133"/>
      <c r="AU89" s="133"/>
      <c r="AV89" s="133"/>
      <c r="AW89" s="133"/>
      <c r="AX89" s="133"/>
      <c r="AY89" s="133"/>
      <c r="AZ89" s="142"/>
      <c r="BA89" s="132"/>
    </row>
    <row r="90" spans="1:53" ht="14.6" outlineLevel="3" x14ac:dyDescent="0.4">
      <c r="A90" s="143" t="s">
        <v>188</v>
      </c>
      <c r="B90" s="133" t="s">
        <v>139</v>
      </c>
      <c r="C90" s="144">
        <v>4</v>
      </c>
      <c r="D90" s="145"/>
      <c r="E90" s="173"/>
      <c r="F90" s="132"/>
      <c r="G90" s="133"/>
      <c r="H90" s="133"/>
      <c r="I90" s="169"/>
      <c r="J90" s="150"/>
      <c r="K90" s="133"/>
      <c r="L90" s="133"/>
      <c r="M90" s="184"/>
      <c r="N90" s="184"/>
      <c r="O90" s="184"/>
      <c r="P90" s="150"/>
      <c r="Q90" s="133"/>
      <c r="R90" s="133"/>
      <c r="S90" s="133"/>
      <c r="T90" s="133"/>
      <c r="U90" s="175"/>
      <c r="V90" s="133"/>
      <c r="W90" s="133"/>
      <c r="X90" s="133"/>
      <c r="Y90" s="133"/>
      <c r="Z90" s="185"/>
      <c r="AA90" s="132"/>
      <c r="AB90" s="132"/>
      <c r="AC90" s="132"/>
      <c r="AD90" s="184"/>
      <c r="AE90" s="184"/>
      <c r="AF90" s="184"/>
      <c r="AG90" s="184"/>
      <c r="AH90" s="184"/>
      <c r="AI90" s="184"/>
      <c r="AJ90" s="133"/>
      <c r="AK90" s="133"/>
      <c r="AL90" s="133"/>
      <c r="AM90" s="133"/>
      <c r="AN90" s="133"/>
      <c r="AO90" s="133"/>
      <c r="AP90" s="133"/>
      <c r="AQ90" s="133"/>
      <c r="AR90" s="133"/>
      <c r="AS90" s="133"/>
      <c r="AT90" s="133"/>
      <c r="AU90" s="133"/>
      <c r="AV90" s="133"/>
      <c r="AW90" s="133"/>
      <c r="AX90" s="133"/>
      <c r="AY90" s="133"/>
      <c r="AZ90" s="142"/>
      <c r="BA90" s="132"/>
    </row>
    <row r="91" spans="1:53" ht="14.6" outlineLevel="3" x14ac:dyDescent="0.4">
      <c r="A91" s="143" t="s">
        <v>189</v>
      </c>
      <c r="B91" s="133" t="s">
        <v>75</v>
      </c>
      <c r="C91" s="144">
        <v>2</v>
      </c>
      <c r="D91" s="145"/>
      <c r="E91" s="173"/>
      <c r="F91" s="132"/>
      <c r="G91" s="133"/>
      <c r="H91" s="133"/>
      <c r="I91" s="169"/>
      <c r="J91" s="150"/>
      <c r="K91" s="133"/>
      <c r="L91" s="133"/>
      <c r="M91" s="184"/>
      <c r="N91" s="184"/>
      <c r="O91" s="184"/>
      <c r="P91" s="150"/>
      <c r="Q91" s="133"/>
      <c r="R91" s="133"/>
      <c r="S91" s="133"/>
      <c r="T91" s="133"/>
      <c r="U91" s="151"/>
      <c r="V91" s="133"/>
      <c r="W91" s="133"/>
      <c r="X91" s="133"/>
      <c r="Y91" s="133"/>
      <c r="Z91" s="185"/>
      <c r="AA91" s="150"/>
      <c r="AB91" s="133"/>
      <c r="AC91" s="133"/>
      <c r="AD91" s="184"/>
      <c r="AE91" s="184"/>
      <c r="AF91" s="184"/>
      <c r="AG91" s="184"/>
      <c r="AH91" s="184"/>
      <c r="AI91" s="186"/>
      <c r="AJ91" s="133"/>
      <c r="AK91" s="133"/>
      <c r="AL91" s="133"/>
      <c r="AM91" s="133"/>
      <c r="AN91" s="133"/>
      <c r="AO91" s="133"/>
      <c r="AP91" s="133"/>
      <c r="AQ91" s="133"/>
      <c r="AR91" s="133"/>
      <c r="AS91" s="133"/>
      <c r="AT91" s="133"/>
      <c r="AU91" s="133"/>
      <c r="AV91" s="133"/>
      <c r="AW91" s="133"/>
      <c r="AX91" s="133"/>
      <c r="AY91" s="133"/>
      <c r="AZ91" s="142"/>
      <c r="BA91" s="132"/>
    </row>
    <row r="92" spans="1:53" ht="14.6" outlineLevel="3" x14ac:dyDescent="0.4">
      <c r="A92" s="143" t="s">
        <v>190</v>
      </c>
      <c r="B92" s="133" t="s">
        <v>77</v>
      </c>
      <c r="C92" s="144">
        <v>1</v>
      </c>
      <c r="D92" s="145"/>
      <c r="E92" s="173"/>
      <c r="F92" s="132"/>
      <c r="G92" s="133"/>
      <c r="H92" s="133"/>
      <c r="I92" s="169"/>
      <c r="J92" s="150"/>
      <c r="K92" s="133"/>
      <c r="L92" s="133"/>
      <c r="M92" s="184"/>
      <c r="N92" s="184"/>
      <c r="O92" s="184"/>
      <c r="P92" s="150"/>
      <c r="Q92" s="133"/>
      <c r="R92" s="133"/>
      <c r="S92" s="133"/>
      <c r="T92" s="133"/>
      <c r="U92" s="151"/>
      <c r="V92" s="133"/>
      <c r="W92" s="133"/>
      <c r="X92" s="133"/>
      <c r="Y92" s="133"/>
      <c r="Z92" s="185"/>
      <c r="AA92" s="150"/>
      <c r="AB92" s="133"/>
      <c r="AC92" s="133"/>
      <c r="AD92" s="184"/>
      <c r="AE92" s="184"/>
      <c r="AF92" s="184"/>
      <c r="AG92" s="184"/>
      <c r="AH92" s="184"/>
      <c r="AI92" s="186"/>
      <c r="AJ92" s="133"/>
      <c r="AK92" s="133"/>
      <c r="AL92" s="133"/>
      <c r="AM92" s="133"/>
      <c r="AN92" s="133"/>
      <c r="AO92" s="133"/>
      <c r="AP92" s="133"/>
      <c r="AQ92" s="133"/>
      <c r="AR92" s="133"/>
      <c r="AS92" s="133"/>
      <c r="AT92" s="133"/>
      <c r="AU92" s="133"/>
      <c r="AV92" s="133"/>
      <c r="AW92" s="133"/>
      <c r="AX92" s="133"/>
      <c r="AY92" s="133"/>
      <c r="AZ92" s="142"/>
      <c r="BA92" s="132"/>
    </row>
    <row r="93" spans="1:53" ht="14.6" outlineLevel="2" x14ac:dyDescent="0.4">
      <c r="A93" s="134" t="s">
        <v>191</v>
      </c>
      <c r="B93" s="135" t="s">
        <v>233</v>
      </c>
      <c r="C93" s="136">
        <f>SUM(C94:C96)</f>
        <v>7</v>
      </c>
      <c r="D93" s="137">
        <f>E93/ORÇAMENTO!$K$125</f>
        <v>6.0084531072184507E-3</v>
      </c>
      <c r="E93" s="168">
        <f>C94*$O$264/$M$264</f>
        <v>8503.9166578623826</v>
      </c>
      <c r="F93" s="132"/>
      <c r="G93" s="133"/>
      <c r="H93" s="133"/>
      <c r="I93" s="169"/>
      <c r="J93" s="150"/>
      <c r="K93" s="133"/>
      <c r="L93" s="133"/>
      <c r="M93" s="184"/>
      <c r="N93" s="184"/>
      <c r="O93" s="184"/>
      <c r="P93" s="150"/>
      <c r="Q93" s="133"/>
      <c r="R93" s="133"/>
      <c r="S93" s="133"/>
      <c r="T93" s="135"/>
      <c r="U93" s="133"/>
      <c r="V93" s="133"/>
      <c r="W93" s="133"/>
      <c r="X93" s="133"/>
      <c r="Y93" s="133"/>
      <c r="Z93" s="142"/>
      <c r="AA93" s="150"/>
      <c r="AB93" s="133"/>
      <c r="AC93" s="133"/>
      <c r="AD93" s="133"/>
      <c r="AE93" s="133"/>
      <c r="AF93" s="133"/>
      <c r="AG93" s="133"/>
      <c r="AH93" s="133"/>
      <c r="AI93" s="132"/>
      <c r="AJ93" s="132"/>
      <c r="AK93" s="133"/>
      <c r="AL93" s="133"/>
      <c r="AM93" s="133"/>
      <c r="AN93" s="133"/>
      <c r="AO93" s="133"/>
      <c r="AP93" s="133"/>
      <c r="AQ93" s="133"/>
      <c r="AR93" s="133"/>
      <c r="AS93" s="133"/>
      <c r="AT93" s="133"/>
      <c r="AU93" s="133"/>
      <c r="AV93" s="133"/>
      <c r="AW93" s="133"/>
      <c r="AX93" s="133"/>
      <c r="AY93" s="133"/>
      <c r="AZ93" s="142"/>
      <c r="BA93" s="132"/>
    </row>
    <row r="94" spans="1:53" ht="14.6" outlineLevel="3" x14ac:dyDescent="0.4">
      <c r="A94" s="143" t="s">
        <v>192</v>
      </c>
      <c r="B94" s="133" t="s">
        <v>235</v>
      </c>
      <c r="C94" s="144">
        <v>4</v>
      </c>
      <c r="D94" s="145"/>
      <c r="E94" s="173"/>
      <c r="F94" s="132"/>
      <c r="G94" s="133"/>
      <c r="H94" s="133"/>
      <c r="I94" s="169"/>
      <c r="J94" s="150"/>
      <c r="K94" s="133"/>
      <c r="L94" s="133"/>
      <c r="M94" s="184"/>
      <c r="N94" s="184"/>
      <c r="O94" s="184"/>
      <c r="P94" s="150"/>
      <c r="Q94" s="133"/>
      <c r="R94" s="133"/>
      <c r="S94" s="133"/>
      <c r="T94" s="175"/>
      <c r="U94" s="133"/>
      <c r="V94" s="133"/>
      <c r="W94" s="133"/>
      <c r="X94" s="133"/>
      <c r="Y94" s="133"/>
      <c r="Z94" s="142"/>
      <c r="AA94" s="150"/>
      <c r="AB94" s="133"/>
      <c r="AC94" s="133"/>
      <c r="AD94" s="133"/>
      <c r="AE94" s="133"/>
      <c r="AF94" s="133"/>
      <c r="AG94" s="133"/>
      <c r="AH94" s="133"/>
      <c r="AI94" s="132"/>
      <c r="AJ94" s="132"/>
      <c r="AK94" s="133"/>
      <c r="AL94" s="133"/>
      <c r="AM94" s="133"/>
      <c r="AN94" s="133"/>
      <c r="AO94" s="133"/>
      <c r="AP94" s="133"/>
      <c r="AQ94" s="133"/>
      <c r="AR94" s="133"/>
      <c r="AS94" s="133"/>
      <c r="AT94" s="133"/>
      <c r="AU94" s="133"/>
      <c r="AV94" s="133"/>
      <c r="AW94" s="133"/>
      <c r="AX94" s="133"/>
      <c r="AY94" s="133"/>
      <c r="AZ94" s="142"/>
      <c r="BA94" s="132"/>
    </row>
    <row r="95" spans="1:53" ht="14.6" outlineLevel="3" x14ac:dyDescent="0.4">
      <c r="A95" s="143" t="s">
        <v>193</v>
      </c>
      <c r="B95" s="133" t="s">
        <v>75</v>
      </c>
      <c r="C95" s="144">
        <v>2</v>
      </c>
      <c r="D95" s="145"/>
      <c r="E95" s="173"/>
      <c r="F95" s="132"/>
      <c r="G95" s="133"/>
      <c r="H95" s="133"/>
      <c r="I95" s="169"/>
      <c r="J95" s="150"/>
      <c r="K95" s="133"/>
      <c r="L95" s="133"/>
      <c r="M95" s="184"/>
      <c r="N95" s="184"/>
      <c r="O95" s="184"/>
      <c r="P95" s="150"/>
      <c r="Q95" s="133"/>
      <c r="R95" s="133"/>
      <c r="S95" s="133"/>
      <c r="T95" s="151"/>
      <c r="U95" s="133"/>
      <c r="V95" s="133"/>
      <c r="W95" s="133"/>
      <c r="X95" s="133"/>
      <c r="Y95" s="133"/>
      <c r="Z95" s="142"/>
      <c r="AA95" s="150"/>
      <c r="AB95" s="133"/>
      <c r="AC95" s="133"/>
      <c r="AD95" s="133"/>
      <c r="AE95" s="133"/>
      <c r="AF95" s="133"/>
      <c r="AG95" s="133"/>
      <c r="AH95" s="133"/>
      <c r="AI95" s="132"/>
      <c r="AJ95" s="132"/>
      <c r="AK95" s="133"/>
      <c r="AL95" s="133"/>
      <c r="AM95" s="133"/>
      <c r="AN95" s="133"/>
      <c r="AO95" s="133"/>
      <c r="AP95" s="133"/>
      <c r="AQ95" s="133"/>
      <c r="AR95" s="133"/>
      <c r="AS95" s="133"/>
      <c r="AT95" s="133"/>
      <c r="AU95" s="133"/>
      <c r="AV95" s="133"/>
      <c r="AW95" s="133"/>
      <c r="AX95" s="133"/>
      <c r="AY95" s="133"/>
      <c r="AZ95" s="142"/>
      <c r="BA95" s="132"/>
    </row>
    <row r="96" spans="1:53" ht="14.6" outlineLevel="3" x14ac:dyDescent="0.4">
      <c r="A96" s="143" t="s">
        <v>194</v>
      </c>
      <c r="B96" s="133" t="s">
        <v>77</v>
      </c>
      <c r="C96" s="144">
        <v>1</v>
      </c>
      <c r="D96" s="145"/>
      <c r="E96" s="173"/>
      <c r="F96" s="132"/>
      <c r="G96" s="133"/>
      <c r="H96" s="133"/>
      <c r="I96" s="169"/>
      <c r="J96" s="150"/>
      <c r="K96" s="133"/>
      <c r="L96" s="133"/>
      <c r="M96" s="184"/>
      <c r="N96" s="184"/>
      <c r="O96" s="184"/>
      <c r="P96" s="150"/>
      <c r="Q96" s="133"/>
      <c r="R96" s="133"/>
      <c r="S96" s="133"/>
      <c r="T96" s="151"/>
      <c r="U96" s="133"/>
      <c r="V96" s="133"/>
      <c r="W96" s="133"/>
      <c r="X96" s="133"/>
      <c r="Y96" s="133"/>
      <c r="Z96" s="142"/>
      <c r="AA96" s="150"/>
      <c r="AB96" s="133"/>
      <c r="AC96" s="133"/>
      <c r="AD96" s="133"/>
      <c r="AE96" s="133"/>
      <c r="AF96" s="133"/>
      <c r="AG96" s="133"/>
      <c r="AH96" s="133"/>
      <c r="AI96" s="132"/>
      <c r="AJ96" s="132"/>
      <c r="AK96" s="133"/>
      <c r="AL96" s="133"/>
      <c r="AM96" s="133"/>
      <c r="AN96" s="133"/>
      <c r="AO96" s="133"/>
      <c r="AP96" s="133"/>
      <c r="AQ96" s="133"/>
      <c r="AR96" s="133"/>
      <c r="AS96" s="133"/>
      <c r="AT96" s="133"/>
      <c r="AU96" s="133"/>
      <c r="AV96" s="133"/>
      <c r="AW96" s="133"/>
      <c r="AX96" s="133"/>
      <c r="AY96" s="133"/>
      <c r="AZ96" s="142"/>
      <c r="BA96" s="132"/>
    </row>
    <row r="97" spans="1:53" ht="14.6" outlineLevel="2" x14ac:dyDescent="0.4">
      <c r="A97" s="134" t="s">
        <v>195</v>
      </c>
      <c r="B97" s="135" t="s">
        <v>143</v>
      </c>
      <c r="C97" s="136">
        <f>SUM(C98:C100)</f>
        <v>7</v>
      </c>
      <c r="D97" s="137">
        <f>E97/ORÇAMENTO!$K$125</f>
        <v>6.0084685483774696E-3</v>
      </c>
      <c r="E97" s="168">
        <f>C98*$O$265/$M$265</f>
        <v>8503.9385121278738</v>
      </c>
      <c r="F97" s="132"/>
      <c r="G97" s="133"/>
      <c r="H97" s="133"/>
      <c r="I97" s="169"/>
      <c r="J97" s="150"/>
      <c r="K97" s="133"/>
      <c r="L97" s="133"/>
      <c r="M97" s="184"/>
      <c r="N97" s="184"/>
      <c r="O97" s="184"/>
      <c r="P97" s="150"/>
      <c r="Q97" s="133"/>
      <c r="R97" s="133"/>
      <c r="S97" s="135"/>
      <c r="T97" s="133"/>
      <c r="U97" s="133"/>
      <c r="V97" s="133"/>
      <c r="W97" s="133"/>
      <c r="X97" s="133"/>
      <c r="Y97" s="133"/>
      <c r="Z97" s="185"/>
      <c r="AA97" s="150"/>
      <c r="AB97" s="133"/>
      <c r="AC97" s="133"/>
      <c r="AD97" s="184"/>
      <c r="AE97" s="184"/>
      <c r="AF97" s="184"/>
      <c r="AG97" s="184"/>
      <c r="AH97" s="184"/>
      <c r="AI97" s="186"/>
      <c r="AJ97" s="133"/>
      <c r="AK97" s="133"/>
      <c r="AL97" s="133"/>
      <c r="AM97" s="133"/>
      <c r="AN97" s="133"/>
      <c r="AO97" s="133"/>
      <c r="AP97" s="133"/>
      <c r="AQ97" s="133"/>
      <c r="AR97" s="133"/>
      <c r="AS97" s="133"/>
      <c r="AT97" s="133"/>
      <c r="AU97" s="133"/>
      <c r="AV97" s="133"/>
      <c r="AW97" s="133"/>
      <c r="AX97" s="133"/>
      <c r="AY97" s="133"/>
      <c r="AZ97" s="142"/>
      <c r="BA97" s="132"/>
    </row>
    <row r="98" spans="1:53" ht="14.6" outlineLevel="3" x14ac:dyDescent="0.4">
      <c r="A98" s="143" t="s">
        <v>196</v>
      </c>
      <c r="B98" s="133" t="s">
        <v>145</v>
      </c>
      <c r="C98" s="144">
        <v>4</v>
      </c>
      <c r="D98" s="145"/>
      <c r="E98" s="173"/>
      <c r="F98" s="132"/>
      <c r="G98" s="133"/>
      <c r="H98" s="133"/>
      <c r="I98" s="169"/>
      <c r="J98" s="150"/>
      <c r="K98" s="133"/>
      <c r="L98" s="133"/>
      <c r="M98" s="184"/>
      <c r="N98" s="184"/>
      <c r="O98" s="184"/>
      <c r="P98" s="150"/>
      <c r="Q98" s="133"/>
      <c r="R98" s="133"/>
      <c r="S98" s="175"/>
      <c r="T98" s="133"/>
      <c r="U98" s="133"/>
      <c r="V98" s="133"/>
      <c r="W98" s="133"/>
      <c r="X98" s="133"/>
      <c r="Y98" s="133"/>
      <c r="Z98" s="185"/>
      <c r="AA98" s="132"/>
      <c r="AB98" s="132"/>
      <c r="AC98" s="132"/>
      <c r="AD98" s="184"/>
      <c r="AE98" s="184"/>
      <c r="AF98" s="184"/>
      <c r="AG98" s="184"/>
      <c r="AH98" s="184"/>
      <c r="AI98" s="184"/>
      <c r="AJ98" s="133"/>
      <c r="AK98" s="133"/>
      <c r="AL98" s="133"/>
      <c r="AM98" s="133"/>
      <c r="AN98" s="133"/>
      <c r="AO98" s="133"/>
      <c r="AP98" s="133"/>
      <c r="AQ98" s="133"/>
      <c r="AR98" s="133"/>
      <c r="AS98" s="133"/>
      <c r="AT98" s="133"/>
      <c r="AU98" s="133"/>
      <c r="AV98" s="133"/>
      <c r="AW98" s="133"/>
      <c r="AX98" s="133"/>
      <c r="AY98" s="133"/>
      <c r="AZ98" s="142"/>
      <c r="BA98" s="132"/>
    </row>
    <row r="99" spans="1:53" ht="14.6" outlineLevel="3" x14ac:dyDescent="0.4">
      <c r="A99" s="143" t="s">
        <v>197</v>
      </c>
      <c r="B99" s="133" t="s">
        <v>75</v>
      </c>
      <c r="C99" s="144">
        <v>2</v>
      </c>
      <c r="D99" s="145"/>
      <c r="E99" s="173"/>
      <c r="F99" s="132"/>
      <c r="G99" s="133"/>
      <c r="H99" s="133"/>
      <c r="I99" s="169"/>
      <c r="J99" s="150"/>
      <c r="K99" s="133"/>
      <c r="L99" s="133"/>
      <c r="M99" s="184"/>
      <c r="N99" s="184"/>
      <c r="O99" s="184"/>
      <c r="P99" s="150"/>
      <c r="Q99" s="133"/>
      <c r="R99" s="133"/>
      <c r="S99" s="151"/>
      <c r="T99" s="133"/>
      <c r="U99" s="133"/>
      <c r="V99" s="133"/>
      <c r="W99" s="133"/>
      <c r="X99" s="133"/>
      <c r="Y99" s="133"/>
      <c r="Z99" s="185"/>
      <c r="AA99" s="132"/>
      <c r="AB99" s="132"/>
      <c r="AC99" s="132"/>
      <c r="AD99" s="184"/>
      <c r="AE99" s="184"/>
      <c r="AF99" s="184"/>
      <c r="AG99" s="184"/>
      <c r="AH99" s="184"/>
      <c r="AI99" s="184"/>
      <c r="AJ99" s="133"/>
      <c r="AK99" s="133"/>
      <c r="AL99" s="133"/>
      <c r="AM99" s="133"/>
      <c r="AN99" s="133"/>
      <c r="AO99" s="133"/>
      <c r="AP99" s="133"/>
      <c r="AQ99" s="133"/>
      <c r="AR99" s="133"/>
      <c r="AS99" s="133"/>
      <c r="AT99" s="133"/>
      <c r="AU99" s="133"/>
      <c r="AV99" s="133"/>
      <c r="AW99" s="133"/>
      <c r="AX99" s="133"/>
      <c r="AY99" s="133"/>
      <c r="AZ99" s="142"/>
      <c r="BA99" s="132"/>
    </row>
    <row r="100" spans="1:53" ht="14.6" outlineLevel="3" x14ac:dyDescent="0.4">
      <c r="A100" s="143" t="s">
        <v>198</v>
      </c>
      <c r="B100" s="133" t="s">
        <v>77</v>
      </c>
      <c r="C100" s="144">
        <v>1</v>
      </c>
      <c r="D100" s="145"/>
      <c r="E100" s="173"/>
      <c r="F100" s="132"/>
      <c r="G100" s="133"/>
      <c r="H100" s="133"/>
      <c r="I100" s="169"/>
      <c r="J100" s="150"/>
      <c r="K100" s="133"/>
      <c r="L100" s="133"/>
      <c r="M100" s="184"/>
      <c r="N100" s="184"/>
      <c r="O100" s="184"/>
      <c r="P100" s="150"/>
      <c r="Q100" s="133"/>
      <c r="R100" s="133"/>
      <c r="S100" s="151"/>
      <c r="T100" s="133"/>
      <c r="U100" s="133"/>
      <c r="V100" s="133"/>
      <c r="W100" s="133"/>
      <c r="X100" s="133"/>
      <c r="Y100" s="133"/>
      <c r="Z100" s="185"/>
      <c r="AA100" s="132"/>
      <c r="AB100" s="132"/>
      <c r="AC100" s="132"/>
      <c r="AD100" s="184"/>
      <c r="AE100" s="184"/>
      <c r="AF100" s="184"/>
      <c r="AG100" s="184"/>
      <c r="AH100" s="184"/>
      <c r="AI100" s="184"/>
      <c r="AJ100" s="133"/>
      <c r="AK100" s="133"/>
      <c r="AL100" s="133"/>
      <c r="AM100" s="133"/>
      <c r="AN100" s="133"/>
      <c r="AO100" s="133"/>
      <c r="AP100" s="133"/>
      <c r="AQ100" s="133"/>
      <c r="AR100" s="133"/>
      <c r="AS100" s="133"/>
      <c r="AT100" s="133"/>
      <c r="AU100" s="133"/>
      <c r="AV100" s="133"/>
      <c r="AW100" s="133"/>
      <c r="AX100" s="133"/>
      <c r="AY100" s="133"/>
      <c r="AZ100" s="142"/>
      <c r="BA100" s="132"/>
    </row>
    <row r="101" spans="1:53" ht="14.6" outlineLevel="2" x14ac:dyDescent="0.4">
      <c r="A101" s="134" t="s">
        <v>199</v>
      </c>
      <c r="B101" s="135" t="s">
        <v>149</v>
      </c>
      <c r="C101" s="136">
        <f>SUM(C102:C104)</f>
        <v>49</v>
      </c>
      <c r="D101" s="137">
        <f>E101/ORÇAMENTO!$K$125</f>
        <v>7.9331938333903923E-2</v>
      </c>
      <c r="E101" s="168">
        <f>C102*$O$266/$M$266</f>
        <v>112280.51211512421</v>
      </c>
      <c r="F101" s="132"/>
      <c r="G101" s="133"/>
      <c r="H101" s="133"/>
      <c r="I101" s="169"/>
      <c r="J101" s="150"/>
      <c r="K101" s="133"/>
      <c r="L101" s="133"/>
      <c r="M101" s="184"/>
      <c r="N101" s="184"/>
      <c r="O101" s="184"/>
      <c r="P101" s="150"/>
      <c r="Q101" s="133"/>
      <c r="R101" s="133"/>
      <c r="S101" s="152"/>
      <c r="T101" s="140"/>
      <c r="U101" s="140"/>
      <c r="V101" s="140"/>
      <c r="W101" s="140"/>
      <c r="X101" s="140"/>
      <c r="Y101" s="141"/>
      <c r="Z101" s="185"/>
      <c r="AA101" s="132"/>
      <c r="AB101" s="132"/>
      <c r="AC101" s="132"/>
      <c r="AD101" s="184"/>
      <c r="AE101" s="184"/>
      <c r="AF101" s="184"/>
      <c r="AG101" s="184"/>
      <c r="AH101" s="184"/>
      <c r="AI101" s="184"/>
      <c r="AJ101" s="133"/>
      <c r="AK101" s="133"/>
      <c r="AL101" s="133"/>
      <c r="AM101" s="133"/>
      <c r="AN101" s="133"/>
      <c r="AO101" s="133"/>
      <c r="AP101" s="133"/>
      <c r="AQ101" s="133"/>
      <c r="AR101" s="133"/>
      <c r="AS101" s="133"/>
      <c r="AT101" s="133"/>
      <c r="AU101" s="133"/>
      <c r="AV101" s="133"/>
      <c r="AW101" s="133"/>
      <c r="AX101" s="133"/>
      <c r="AY101" s="133"/>
      <c r="AZ101" s="142"/>
      <c r="BA101" s="132"/>
    </row>
    <row r="102" spans="1:53" ht="14.6" outlineLevel="3" x14ac:dyDescent="0.4">
      <c r="A102" s="143" t="s">
        <v>200</v>
      </c>
      <c r="B102" s="133" t="s">
        <v>151</v>
      </c>
      <c r="C102" s="144">
        <v>35</v>
      </c>
      <c r="D102" s="145"/>
      <c r="E102" s="173"/>
      <c r="F102" s="132"/>
      <c r="G102" s="133"/>
      <c r="H102" s="133"/>
      <c r="I102" s="169"/>
      <c r="J102" s="150"/>
      <c r="K102" s="133"/>
      <c r="L102" s="133"/>
      <c r="M102" s="184"/>
      <c r="N102" s="184"/>
      <c r="O102" s="184"/>
      <c r="P102" s="150"/>
      <c r="Q102" s="133"/>
      <c r="R102" s="133"/>
      <c r="S102" s="154"/>
      <c r="T102" s="148"/>
      <c r="U102" s="148"/>
      <c r="V102" s="148"/>
      <c r="W102" s="149"/>
      <c r="X102" s="133"/>
      <c r="Y102" s="133"/>
      <c r="Z102" s="185"/>
      <c r="AA102" s="132"/>
      <c r="AB102" s="132"/>
      <c r="AC102" s="132"/>
      <c r="AD102" s="184"/>
      <c r="AE102" s="184"/>
      <c r="AF102" s="184"/>
      <c r="AG102" s="184"/>
      <c r="AH102" s="184"/>
      <c r="AI102" s="184"/>
      <c r="AJ102" s="133"/>
      <c r="AK102" s="133"/>
      <c r="AL102" s="133"/>
      <c r="AM102" s="133"/>
      <c r="AN102" s="133"/>
      <c r="AO102" s="133"/>
      <c r="AP102" s="133"/>
      <c r="AQ102" s="133"/>
      <c r="AR102" s="133"/>
      <c r="AS102" s="133"/>
      <c r="AT102" s="133"/>
      <c r="AU102" s="133"/>
      <c r="AV102" s="133"/>
      <c r="AW102" s="133"/>
      <c r="AX102" s="133"/>
      <c r="AY102" s="133"/>
      <c r="AZ102" s="142"/>
      <c r="BA102" s="132"/>
    </row>
    <row r="103" spans="1:53" ht="14.6" outlineLevel="3" x14ac:dyDescent="0.4">
      <c r="A103" s="143" t="s">
        <v>201</v>
      </c>
      <c r="B103" s="133" t="s">
        <v>75</v>
      </c>
      <c r="C103" s="144">
        <v>12</v>
      </c>
      <c r="D103" s="145"/>
      <c r="E103" s="173"/>
      <c r="F103" s="132"/>
      <c r="G103" s="133"/>
      <c r="H103" s="133"/>
      <c r="I103" s="169"/>
      <c r="J103" s="150"/>
      <c r="K103" s="133"/>
      <c r="L103" s="133"/>
      <c r="M103" s="184"/>
      <c r="N103" s="184"/>
      <c r="O103" s="184"/>
      <c r="P103" s="150"/>
      <c r="Q103" s="133"/>
      <c r="R103" s="133"/>
      <c r="S103" s="133"/>
      <c r="T103" s="133"/>
      <c r="U103" s="133"/>
      <c r="V103" s="133"/>
      <c r="W103" s="133"/>
      <c r="X103" s="176"/>
      <c r="Y103" s="177"/>
      <c r="Z103" s="185"/>
      <c r="AA103" s="132"/>
      <c r="AB103" s="132"/>
      <c r="AC103" s="132"/>
      <c r="AD103" s="184"/>
      <c r="AE103" s="184"/>
      <c r="AF103" s="184"/>
      <c r="AG103" s="184"/>
      <c r="AH103" s="184"/>
      <c r="AI103" s="184"/>
      <c r="AJ103" s="133"/>
      <c r="AK103" s="133"/>
      <c r="AL103" s="133"/>
      <c r="AM103" s="133"/>
      <c r="AN103" s="133"/>
      <c r="AO103" s="133"/>
      <c r="AP103" s="133"/>
      <c r="AQ103" s="133"/>
      <c r="AR103" s="133"/>
      <c r="AS103" s="133"/>
      <c r="AT103" s="133"/>
      <c r="AU103" s="133"/>
      <c r="AV103" s="133"/>
      <c r="AW103" s="133"/>
      <c r="AX103" s="133"/>
      <c r="AY103" s="133"/>
      <c r="AZ103" s="142"/>
      <c r="BA103" s="132"/>
    </row>
    <row r="104" spans="1:53" ht="14.6" outlineLevel="3" x14ac:dyDescent="0.4">
      <c r="A104" s="143" t="s">
        <v>202</v>
      </c>
      <c r="B104" s="133" t="s">
        <v>77</v>
      </c>
      <c r="C104" s="144">
        <v>2</v>
      </c>
      <c r="D104" s="145"/>
      <c r="E104" s="173"/>
      <c r="F104" s="132"/>
      <c r="G104" s="133"/>
      <c r="H104" s="133"/>
      <c r="I104" s="169"/>
      <c r="J104" s="150"/>
      <c r="K104" s="133"/>
      <c r="L104" s="133"/>
      <c r="M104" s="184"/>
      <c r="N104" s="184"/>
      <c r="O104" s="184"/>
      <c r="P104" s="150"/>
      <c r="Q104" s="133"/>
      <c r="R104" s="133"/>
      <c r="S104" s="133"/>
      <c r="T104" s="133"/>
      <c r="U104" s="133"/>
      <c r="V104" s="133"/>
      <c r="W104" s="133"/>
      <c r="X104" s="133"/>
      <c r="Y104" s="151"/>
      <c r="Z104" s="185"/>
      <c r="AA104" s="132"/>
      <c r="AB104" s="132"/>
      <c r="AC104" s="132"/>
      <c r="AD104" s="184"/>
      <c r="AE104" s="184"/>
      <c r="AF104" s="184"/>
      <c r="AG104" s="184"/>
      <c r="AH104" s="184"/>
      <c r="AI104" s="184"/>
      <c r="AJ104" s="133"/>
      <c r="AK104" s="133"/>
      <c r="AL104" s="133"/>
      <c r="AM104" s="133"/>
      <c r="AN104" s="133"/>
      <c r="AO104" s="133"/>
      <c r="AP104" s="133"/>
      <c r="AQ104" s="133"/>
      <c r="AR104" s="133"/>
      <c r="AS104" s="133"/>
      <c r="AT104" s="133"/>
      <c r="AU104" s="133"/>
      <c r="AV104" s="133"/>
      <c r="AW104" s="133"/>
      <c r="AX104" s="133"/>
      <c r="AY104" s="133"/>
      <c r="AZ104" s="142"/>
      <c r="BA104" s="132"/>
    </row>
    <row r="105" spans="1:53" ht="14.6" outlineLevel="2" x14ac:dyDescent="0.4">
      <c r="A105" s="134" t="s">
        <v>203</v>
      </c>
      <c r="B105" s="135" t="s">
        <v>155</v>
      </c>
      <c r="C105" s="136">
        <f>SUM(C106:C108)</f>
        <v>10</v>
      </c>
      <c r="D105" s="137">
        <f>E105/ORÇAMENTO!$K$125</f>
        <v>9.3816946813949208E-3</v>
      </c>
      <c r="E105" s="168">
        <f>C106*$O$267/$M$267</f>
        <v>13278.151340524819</v>
      </c>
      <c r="F105" s="132"/>
      <c r="G105" s="133"/>
      <c r="H105" s="133"/>
      <c r="I105" s="169"/>
      <c r="J105" s="150"/>
      <c r="K105" s="133"/>
      <c r="L105" s="133"/>
      <c r="M105" s="184"/>
      <c r="N105" s="184"/>
      <c r="O105" s="184"/>
      <c r="P105" s="150"/>
      <c r="Q105" s="133"/>
      <c r="R105" s="133"/>
      <c r="S105" s="152"/>
      <c r="T105" s="141"/>
      <c r="U105" s="133"/>
      <c r="V105" s="133"/>
      <c r="W105" s="133"/>
      <c r="X105" s="133"/>
      <c r="Y105" s="133"/>
      <c r="Z105" s="185"/>
      <c r="AA105" s="132"/>
      <c r="AB105" s="132"/>
      <c r="AC105" s="132"/>
      <c r="AD105" s="184"/>
      <c r="AE105" s="184"/>
      <c r="AF105" s="184"/>
      <c r="AG105" s="184"/>
      <c r="AH105" s="184"/>
      <c r="AI105" s="184"/>
      <c r="AJ105" s="133"/>
      <c r="AK105" s="133"/>
      <c r="AL105" s="133"/>
      <c r="AM105" s="133"/>
      <c r="AN105" s="133"/>
      <c r="AO105" s="133"/>
      <c r="AP105" s="133"/>
      <c r="AQ105" s="133"/>
      <c r="AR105" s="133"/>
      <c r="AS105" s="133"/>
      <c r="AT105" s="133"/>
      <c r="AU105" s="133"/>
      <c r="AV105" s="133"/>
      <c r="AW105" s="133"/>
      <c r="AX105" s="133"/>
      <c r="AY105" s="133"/>
      <c r="AZ105" s="142"/>
      <c r="BA105" s="132"/>
    </row>
    <row r="106" spans="1:53" ht="14.6" outlineLevel="3" x14ac:dyDescent="0.4">
      <c r="A106" s="143" t="s">
        <v>204</v>
      </c>
      <c r="B106" s="133" t="s">
        <v>157</v>
      </c>
      <c r="C106" s="144">
        <v>7</v>
      </c>
      <c r="D106" s="145"/>
      <c r="E106" s="173"/>
      <c r="F106" s="132"/>
      <c r="G106" s="133"/>
      <c r="H106" s="133"/>
      <c r="I106" s="169"/>
      <c r="J106" s="150"/>
      <c r="K106" s="133"/>
      <c r="L106" s="133"/>
      <c r="M106" s="184"/>
      <c r="N106" s="184"/>
      <c r="O106" s="184"/>
      <c r="P106" s="150"/>
      <c r="Q106" s="133"/>
      <c r="R106" s="133"/>
      <c r="S106" s="175"/>
      <c r="T106" s="133"/>
      <c r="U106" s="133"/>
      <c r="V106" s="133"/>
      <c r="W106" s="133"/>
      <c r="X106" s="133"/>
      <c r="Y106" s="133"/>
      <c r="Z106" s="185"/>
      <c r="AA106" s="132"/>
      <c r="AB106" s="132"/>
      <c r="AC106" s="132"/>
      <c r="AD106" s="184"/>
      <c r="AE106" s="184"/>
      <c r="AF106" s="184"/>
      <c r="AG106" s="184"/>
      <c r="AH106" s="184"/>
      <c r="AI106" s="184"/>
      <c r="AJ106" s="133"/>
      <c r="AK106" s="133"/>
      <c r="AL106" s="133"/>
      <c r="AM106" s="133"/>
      <c r="AN106" s="133"/>
      <c r="AO106" s="133"/>
      <c r="AP106" s="133"/>
      <c r="AQ106" s="133"/>
      <c r="AR106" s="133"/>
      <c r="AS106" s="133"/>
      <c r="AT106" s="133"/>
      <c r="AU106" s="133"/>
      <c r="AV106" s="133"/>
      <c r="AW106" s="133"/>
      <c r="AX106" s="133"/>
      <c r="AY106" s="133"/>
      <c r="AZ106" s="142"/>
      <c r="BA106" s="132"/>
    </row>
    <row r="107" spans="1:53" ht="14.6" outlineLevel="3" x14ac:dyDescent="0.4">
      <c r="A107" s="143" t="s">
        <v>205</v>
      </c>
      <c r="B107" s="133" t="s">
        <v>75</v>
      </c>
      <c r="C107" s="144">
        <v>2</v>
      </c>
      <c r="D107" s="145"/>
      <c r="E107" s="173"/>
      <c r="F107" s="132"/>
      <c r="G107" s="133"/>
      <c r="H107" s="133"/>
      <c r="I107" s="169"/>
      <c r="J107" s="150"/>
      <c r="K107" s="133"/>
      <c r="L107" s="133"/>
      <c r="M107" s="184"/>
      <c r="N107" s="184"/>
      <c r="O107" s="184"/>
      <c r="P107" s="150"/>
      <c r="Q107" s="133"/>
      <c r="R107" s="133"/>
      <c r="S107" s="133"/>
      <c r="T107" s="151"/>
      <c r="U107" s="133"/>
      <c r="V107" s="133"/>
      <c r="W107" s="133"/>
      <c r="X107" s="133"/>
      <c r="Y107" s="133"/>
      <c r="Z107" s="185"/>
      <c r="AA107" s="132"/>
      <c r="AB107" s="132"/>
      <c r="AC107" s="132"/>
      <c r="AD107" s="184"/>
      <c r="AE107" s="184"/>
      <c r="AF107" s="184"/>
      <c r="AG107" s="184"/>
      <c r="AH107" s="184"/>
      <c r="AI107" s="184"/>
      <c r="AJ107" s="133"/>
      <c r="AK107" s="133"/>
      <c r="AL107" s="133"/>
      <c r="AM107" s="133"/>
      <c r="AN107" s="133"/>
      <c r="AO107" s="133"/>
      <c r="AP107" s="133"/>
      <c r="AQ107" s="133"/>
      <c r="AR107" s="133"/>
      <c r="AS107" s="133"/>
      <c r="AT107" s="133"/>
      <c r="AU107" s="133"/>
      <c r="AV107" s="133"/>
      <c r="AW107" s="133"/>
      <c r="AX107" s="133"/>
      <c r="AY107" s="133"/>
      <c r="AZ107" s="142"/>
      <c r="BA107" s="132"/>
    </row>
    <row r="108" spans="1:53" ht="14.6" outlineLevel="3" x14ac:dyDescent="0.4">
      <c r="A108" s="143" t="s">
        <v>206</v>
      </c>
      <c r="B108" s="133" t="s">
        <v>77</v>
      </c>
      <c r="C108" s="144">
        <v>1</v>
      </c>
      <c r="D108" s="145"/>
      <c r="E108" s="173"/>
      <c r="F108" s="132"/>
      <c r="G108" s="133"/>
      <c r="H108" s="133"/>
      <c r="I108" s="169"/>
      <c r="J108" s="150"/>
      <c r="K108" s="133"/>
      <c r="L108" s="133"/>
      <c r="M108" s="184"/>
      <c r="N108" s="184"/>
      <c r="O108" s="184"/>
      <c r="P108" s="150"/>
      <c r="Q108" s="133"/>
      <c r="R108" s="133"/>
      <c r="S108" s="133"/>
      <c r="T108" s="151"/>
      <c r="U108" s="133"/>
      <c r="V108" s="133"/>
      <c r="W108" s="133"/>
      <c r="X108" s="133"/>
      <c r="Y108" s="133"/>
      <c r="Z108" s="185"/>
      <c r="AA108" s="132"/>
      <c r="AB108" s="132"/>
      <c r="AC108" s="132"/>
      <c r="AD108" s="184"/>
      <c r="AE108" s="184"/>
      <c r="AF108" s="184"/>
      <c r="AG108" s="184"/>
      <c r="AH108" s="184"/>
      <c r="AI108" s="184"/>
      <c r="AJ108" s="133"/>
      <c r="AK108" s="133"/>
      <c r="AL108" s="133"/>
      <c r="AM108" s="133"/>
      <c r="AN108" s="133"/>
      <c r="AO108" s="133"/>
      <c r="AP108" s="133"/>
      <c r="AQ108" s="133"/>
      <c r="AR108" s="133"/>
      <c r="AS108" s="133"/>
      <c r="AT108" s="133"/>
      <c r="AU108" s="133"/>
      <c r="AV108" s="133"/>
      <c r="AW108" s="133"/>
      <c r="AX108" s="133"/>
      <c r="AY108" s="133"/>
      <c r="AZ108" s="142"/>
      <c r="BA108" s="132"/>
    </row>
    <row r="109" spans="1:53" ht="14.6" outlineLevel="2" x14ac:dyDescent="0.4">
      <c r="A109" s="134" t="s">
        <v>464</v>
      </c>
      <c r="B109" s="135" t="s">
        <v>161</v>
      </c>
      <c r="C109" s="136">
        <f>SUM(C110:C112)</f>
        <v>9</v>
      </c>
      <c r="D109" s="137">
        <f>E109/ORÇAMENTO!$K$125</f>
        <v>7.5105853555325411E-3</v>
      </c>
      <c r="E109" s="168">
        <f>C110*$O$268/$M$268</f>
        <v>10629.922673188357</v>
      </c>
      <c r="F109" s="132"/>
      <c r="G109" s="133"/>
      <c r="H109" s="133"/>
      <c r="I109" s="169"/>
      <c r="J109" s="150"/>
      <c r="K109" s="133"/>
      <c r="L109" s="133"/>
      <c r="M109" s="184"/>
      <c r="N109" s="184"/>
      <c r="O109" s="184"/>
      <c r="P109" s="150"/>
      <c r="Q109" s="133"/>
      <c r="R109" s="133"/>
      <c r="S109" s="133"/>
      <c r="T109" s="133"/>
      <c r="U109" s="133"/>
      <c r="V109" s="135"/>
      <c r="W109" s="133"/>
      <c r="X109" s="133"/>
      <c r="Y109" s="133"/>
      <c r="Z109" s="178"/>
      <c r="AA109" s="132"/>
      <c r="AB109" s="132"/>
      <c r="AC109" s="132"/>
      <c r="AD109" s="184"/>
      <c r="AE109" s="184"/>
      <c r="AF109" s="184"/>
      <c r="AG109" s="184"/>
      <c r="AH109" s="184"/>
      <c r="AI109" s="184"/>
      <c r="AJ109" s="133"/>
      <c r="AK109" s="133"/>
      <c r="AL109" s="133"/>
      <c r="AM109" s="133"/>
      <c r="AN109" s="133"/>
      <c r="AO109" s="133"/>
      <c r="AP109" s="133"/>
      <c r="AQ109" s="133"/>
      <c r="AR109" s="133"/>
      <c r="AS109" s="133"/>
      <c r="AT109" s="133"/>
      <c r="AU109" s="133"/>
      <c r="AV109" s="133"/>
      <c r="AW109" s="133"/>
      <c r="AX109" s="133"/>
      <c r="AY109" s="133"/>
      <c r="AZ109" s="142"/>
      <c r="BA109" s="132"/>
    </row>
    <row r="110" spans="1:53" ht="14.6" outlineLevel="3" x14ac:dyDescent="0.4">
      <c r="A110" s="143" t="s">
        <v>465</v>
      </c>
      <c r="B110" s="133" t="s">
        <v>163</v>
      </c>
      <c r="C110" s="144">
        <f>2+3</f>
        <v>5</v>
      </c>
      <c r="D110" s="145"/>
      <c r="E110" s="173"/>
      <c r="F110" s="132"/>
      <c r="G110" s="133"/>
      <c r="H110" s="133"/>
      <c r="I110" s="169"/>
      <c r="J110" s="150"/>
      <c r="K110" s="133"/>
      <c r="L110" s="133"/>
      <c r="M110" s="184"/>
      <c r="N110" s="184"/>
      <c r="O110" s="184"/>
      <c r="P110" s="187"/>
      <c r="Q110" s="184"/>
      <c r="R110" s="184"/>
      <c r="S110" s="184"/>
      <c r="T110" s="184"/>
      <c r="U110" s="184"/>
      <c r="V110" s="175"/>
      <c r="W110" s="133"/>
      <c r="X110" s="133"/>
      <c r="Y110" s="133"/>
      <c r="Z110" s="179"/>
      <c r="AA110" s="132"/>
      <c r="AB110" s="132"/>
      <c r="AC110" s="132"/>
      <c r="AD110" s="184"/>
      <c r="AE110" s="184"/>
      <c r="AF110" s="184"/>
      <c r="AG110" s="184"/>
      <c r="AH110" s="184"/>
      <c r="AI110" s="184"/>
      <c r="AJ110" s="133"/>
      <c r="AK110" s="133"/>
      <c r="AL110" s="133"/>
      <c r="AM110" s="133"/>
      <c r="AN110" s="133"/>
      <c r="AO110" s="133"/>
      <c r="AP110" s="133"/>
      <c r="AQ110" s="133"/>
      <c r="AR110" s="133"/>
      <c r="AS110" s="133"/>
      <c r="AT110" s="133"/>
      <c r="AU110" s="133"/>
      <c r="AV110" s="133"/>
      <c r="AW110" s="133"/>
      <c r="AX110" s="133"/>
      <c r="AY110" s="133"/>
      <c r="AZ110" s="142"/>
      <c r="BA110" s="132"/>
    </row>
    <row r="111" spans="1:53" ht="14.6" outlineLevel="3" x14ac:dyDescent="0.4">
      <c r="A111" s="143" t="s">
        <v>466</v>
      </c>
      <c r="B111" s="133" t="s">
        <v>75</v>
      </c>
      <c r="C111" s="144">
        <v>2</v>
      </c>
      <c r="D111" s="145"/>
      <c r="E111" s="173"/>
      <c r="F111" s="132"/>
      <c r="G111" s="133"/>
      <c r="H111" s="133"/>
      <c r="I111" s="169"/>
      <c r="J111" s="150"/>
      <c r="K111" s="133"/>
      <c r="L111" s="133"/>
      <c r="M111" s="184"/>
      <c r="N111" s="184"/>
      <c r="O111" s="184"/>
      <c r="P111" s="187"/>
      <c r="Q111" s="184"/>
      <c r="R111" s="184"/>
      <c r="S111" s="184"/>
      <c r="T111" s="184"/>
      <c r="U111" s="184"/>
      <c r="V111" s="151"/>
      <c r="W111" s="133"/>
      <c r="X111" s="133"/>
      <c r="Y111" s="133"/>
      <c r="Z111" s="155"/>
      <c r="AA111" s="132"/>
      <c r="AB111" s="132"/>
      <c r="AC111" s="132"/>
      <c r="AD111" s="184"/>
      <c r="AE111" s="184"/>
      <c r="AF111" s="184"/>
      <c r="AG111" s="184"/>
      <c r="AH111" s="184"/>
      <c r="AI111" s="184"/>
      <c r="AJ111" s="133"/>
      <c r="AK111" s="133"/>
      <c r="AL111" s="133"/>
      <c r="AM111" s="133"/>
      <c r="AN111" s="133"/>
      <c r="AO111" s="133"/>
      <c r="AP111" s="133"/>
      <c r="AQ111" s="133"/>
      <c r="AR111" s="133"/>
      <c r="AS111" s="133"/>
      <c r="AT111" s="133"/>
      <c r="AU111" s="133"/>
      <c r="AV111" s="133"/>
      <c r="AW111" s="133"/>
      <c r="AX111" s="133"/>
      <c r="AY111" s="133"/>
      <c r="AZ111" s="142"/>
      <c r="BA111" s="132"/>
    </row>
    <row r="112" spans="1:53" ht="15" outlineLevel="3" thickBot="1" x14ac:dyDescent="0.45">
      <c r="A112" s="143" t="s">
        <v>467</v>
      </c>
      <c r="B112" s="133" t="s">
        <v>77</v>
      </c>
      <c r="C112" s="144">
        <v>2</v>
      </c>
      <c r="D112" s="145"/>
      <c r="E112" s="173"/>
      <c r="F112" s="132"/>
      <c r="G112" s="133"/>
      <c r="H112" s="133"/>
      <c r="I112" s="169"/>
      <c r="J112" s="150"/>
      <c r="K112" s="133"/>
      <c r="L112" s="133"/>
      <c r="M112" s="184"/>
      <c r="N112" s="184"/>
      <c r="O112" s="184"/>
      <c r="P112" s="188"/>
      <c r="Q112" s="189"/>
      <c r="R112" s="189"/>
      <c r="S112" s="189"/>
      <c r="T112" s="189"/>
      <c r="U112" s="189"/>
      <c r="V112" s="180"/>
      <c r="W112" s="157"/>
      <c r="X112" s="157"/>
      <c r="Y112" s="157"/>
      <c r="Z112" s="158"/>
      <c r="AA112" s="132"/>
      <c r="AB112" s="159"/>
      <c r="AC112" s="159"/>
      <c r="AD112" s="190"/>
      <c r="AE112" s="190"/>
      <c r="AF112" s="190"/>
      <c r="AG112" s="189"/>
      <c r="AH112" s="186"/>
      <c r="AI112" s="191"/>
      <c r="AJ112" s="133"/>
      <c r="AK112" s="133"/>
      <c r="AL112" s="133"/>
      <c r="AM112" s="133"/>
      <c r="AN112" s="133"/>
      <c r="AO112" s="133"/>
      <c r="AP112" s="133"/>
      <c r="AQ112" s="133"/>
      <c r="AR112" s="133"/>
      <c r="AS112" s="133"/>
      <c r="AT112" s="133"/>
      <c r="AU112" s="133"/>
      <c r="AV112" s="133"/>
      <c r="AW112" s="133"/>
      <c r="AX112" s="133"/>
      <c r="AY112" s="133"/>
      <c r="AZ112" s="142"/>
      <c r="BA112" s="132"/>
    </row>
    <row r="113" spans="1:53" ht="14.6" outlineLevel="1" x14ac:dyDescent="0.4">
      <c r="A113" s="134" t="s">
        <v>207</v>
      </c>
      <c r="B113" s="135" t="s">
        <v>48</v>
      </c>
      <c r="C113" s="136">
        <v>77</v>
      </c>
      <c r="D113" s="137">
        <f>E113/ORÇAMENTO!$K$125</f>
        <v>0.16007645537953683</v>
      </c>
      <c r="E113" s="168">
        <f>SUM(E114:E153)</f>
        <v>226560.28284521244</v>
      </c>
      <c r="F113" s="132"/>
      <c r="G113" s="133"/>
      <c r="H113" s="133"/>
      <c r="I113" s="169"/>
      <c r="J113" s="150"/>
      <c r="K113" s="133"/>
      <c r="L113" s="133"/>
      <c r="M113" s="184"/>
      <c r="N113" s="184"/>
      <c r="O113" s="184"/>
      <c r="P113" s="182"/>
      <c r="Q113" s="182"/>
      <c r="R113" s="164"/>
      <c r="S113" s="164"/>
      <c r="T113" s="164"/>
      <c r="U113" s="164"/>
      <c r="V113" s="164"/>
      <c r="W113" s="170"/>
      <c r="X113" s="171"/>
      <c r="Y113" s="171"/>
      <c r="Z113" s="171"/>
      <c r="AA113" s="171"/>
      <c r="AB113" s="171"/>
      <c r="AC113" s="171"/>
      <c r="AD113" s="171"/>
      <c r="AE113" s="171"/>
      <c r="AF113" s="171"/>
      <c r="AG113" s="171"/>
      <c r="AH113" s="150"/>
      <c r="AI113" s="132"/>
      <c r="AJ113" s="132"/>
      <c r="AK113" s="133"/>
      <c r="AL113" s="133"/>
      <c r="AM113" s="133"/>
      <c r="AN113" s="133"/>
      <c r="AO113" s="133"/>
      <c r="AP113" s="133"/>
      <c r="AQ113" s="133"/>
      <c r="AR113" s="133"/>
      <c r="AS113" s="133"/>
      <c r="AT113" s="133"/>
      <c r="AU113" s="133"/>
      <c r="AV113" s="133"/>
      <c r="AW113" s="133"/>
      <c r="AX113" s="133"/>
      <c r="AY113" s="133"/>
      <c r="AZ113" s="142"/>
      <c r="BA113" s="132"/>
    </row>
    <row r="114" spans="1:53" ht="14.6" outlineLevel="2" x14ac:dyDescent="0.4">
      <c r="A114" s="134" t="s">
        <v>208</v>
      </c>
      <c r="B114" s="135" t="s">
        <v>107</v>
      </c>
      <c r="C114" s="136">
        <f>SUM(C115:C117)</f>
        <v>21</v>
      </c>
      <c r="D114" s="137">
        <f>E114/ORÇAMENTO!$K$125</f>
        <v>2.1435394203369994E-2</v>
      </c>
      <c r="E114" s="168">
        <f>C115*$O$258/$M$258</f>
        <v>30338.059161165969</v>
      </c>
      <c r="F114" s="132"/>
      <c r="G114" s="133"/>
      <c r="H114" s="133"/>
      <c r="I114" s="169"/>
      <c r="J114" s="150"/>
      <c r="K114" s="133"/>
      <c r="L114" s="133"/>
      <c r="M114" s="184"/>
      <c r="N114" s="184"/>
      <c r="O114" s="184"/>
      <c r="P114" s="184"/>
      <c r="Q114" s="184"/>
      <c r="R114" s="133"/>
      <c r="S114" s="133"/>
      <c r="T114" s="133"/>
      <c r="U114" s="133"/>
      <c r="V114" s="133"/>
      <c r="W114" s="139"/>
      <c r="X114" s="140"/>
      <c r="Y114" s="141"/>
      <c r="Z114" s="133"/>
      <c r="AA114" s="133"/>
      <c r="AB114" s="133"/>
      <c r="AC114" s="133"/>
      <c r="AD114" s="133"/>
      <c r="AE114" s="133"/>
      <c r="AF114" s="133"/>
      <c r="AG114" s="169"/>
      <c r="AH114" s="150"/>
      <c r="AI114" s="132"/>
      <c r="AJ114" s="132"/>
      <c r="AK114" s="133"/>
      <c r="AL114" s="133"/>
      <c r="AM114" s="133"/>
      <c r="AN114" s="133"/>
      <c r="AO114" s="133"/>
      <c r="AP114" s="133"/>
      <c r="AQ114" s="133"/>
      <c r="AR114" s="133"/>
      <c r="AS114" s="133"/>
      <c r="AT114" s="133"/>
      <c r="AU114" s="133"/>
      <c r="AV114" s="133"/>
      <c r="AW114" s="133"/>
      <c r="AX114" s="133"/>
      <c r="AY114" s="133"/>
      <c r="AZ114" s="142"/>
      <c r="BA114" s="132"/>
    </row>
    <row r="115" spans="1:53" ht="14.6" outlineLevel="3" x14ac:dyDescent="0.4">
      <c r="A115" s="143" t="s">
        <v>209</v>
      </c>
      <c r="B115" s="133" t="s">
        <v>109</v>
      </c>
      <c r="C115" s="144">
        <v>14</v>
      </c>
      <c r="D115" s="145"/>
      <c r="E115" s="173"/>
      <c r="F115" s="132"/>
      <c r="G115" s="133"/>
      <c r="H115" s="133"/>
      <c r="I115" s="169"/>
      <c r="J115" s="150"/>
      <c r="K115" s="133"/>
      <c r="L115" s="133"/>
      <c r="M115" s="184"/>
      <c r="N115" s="184"/>
      <c r="O115" s="184"/>
      <c r="P115" s="184"/>
      <c r="Q115" s="184"/>
      <c r="R115" s="133"/>
      <c r="S115" s="133"/>
      <c r="T115" s="133"/>
      <c r="U115" s="133"/>
      <c r="V115" s="133"/>
      <c r="W115" s="147"/>
      <c r="X115" s="149"/>
      <c r="Y115" s="133"/>
      <c r="Z115" s="133"/>
      <c r="AA115" s="133"/>
      <c r="AB115" s="133"/>
      <c r="AC115" s="133"/>
      <c r="AD115" s="133"/>
      <c r="AE115" s="133"/>
      <c r="AF115" s="133"/>
      <c r="AG115" s="169"/>
      <c r="AH115" s="150"/>
      <c r="AI115" s="132"/>
      <c r="AJ115" s="132"/>
      <c r="AK115" s="133"/>
      <c r="AL115" s="133"/>
      <c r="AM115" s="133"/>
      <c r="AN115" s="133"/>
      <c r="AO115" s="133"/>
      <c r="AP115" s="133"/>
      <c r="AQ115" s="133"/>
      <c r="AR115" s="133"/>
      <c r="AS115" s="133"/>
      <c r="AT115" s="133"/>
      <c r="AU115" s="133"/>
      <c r="AV115" s="133"/>
      <c r="AW115" s="133"/>
      <c r="AX115" s="133"/>
      <c r="AY115" s="133"/>
      <c r="AZ115" s="142"/>
      <c r="BA115" s="132"/>
    </row>
    <row r="116" spans="1:53" ht="14.6" outlineLevel="3" x14ac:dyDescent="0.4">
      <c r="A116" s="143" t="s">
        <v>210</v>
      </c>
      <c r="B116" s="133" t="s">
        <v>75</v>
      </c>
      <c r="C116" s="144">
        <v>5</v>
      </c>
      <c r="D116" s="145"/>
      <c r="E116" s="173"/>
      <c r="F116" s="132"/>
      <c r="G116" s="133"/>
      <c r="H116" s="133"/>
      <c r="I116" s="169"/>
      <c r="J116" s="150"/>
      <c r="K116" s="133"/>
      <c r="L116" s="133"/>
      <c r="M116" s="184"/>
      <c r="N116" s="184"/>
      <c r="O116" s="184"/>
      <c r="P116" s="184"/>
      <c r="Q116" s="184"/>
      <c r="R116" s="184"/>
      <c r="S116" s="184"/>
      <c r="T116" s="184"/>
      <c r="U116" s="184"/>
      <c r="V116" s="184"/>
      <c r="W116" s="150"/>
      <c r="X116" s="133"/>
      <c r="Y116" s="151"/>
      <c r="Z116" s="133"/>
      <c r="AA116" s="133"/>
      <c r="AB116" s="133"/>
      <c r="AC116" s="133"/>
      <c r="AD116" s="133"/>
      <c r="AE116" s="133"/>
      <c r="AF116" s="133"/>
      <c r="AG116" s="169"/>
      <c r="AH116" s="150"/>
      <c r="AI116" s="132"/>
      <c r="AJ116" s="132"/>
      <c r="AK116" s="133"/>
      <c r="AL116" s="133"/>
      <c r="AM116" s="133"/>
      <c r="AN116" s="133"/>
      <c r="AO116" s="133"/>
      <c r="AP116" s="133"/>
      <c r="AQ116" s="133"/>
      <c r="AR116" s="133"/>
      <c r="AS116" s="133"/>
      <c r="AT116" s="133"/>
      <c r="AU116" s="133"/>
      <c r="AV116" s="133"/>
      <c r="AW116" s="133"/>
      <c r="AX116" s="133"/>
      <c r="AY116" s="133"/>
      <c r="AZ116" s="142"/>
      <c r="BA116" s="132"/>
    </row>
    <row r="117" spans="1:53" ht="14.6" outlineLevel="3" x14ac:dyDescent="0.4">
      <c r="A117" s="143" t="s">
        <v>211</v>
      </c>
      <c r="B117" s="133" t="s">
        <v>77</v>
      </c>
      <c r="C117" s="144">
        <v>2</v>
      </c>
      <c r="D117" s="145"/>
      <c r="E117" s="173"/>
      <c r="F117" s="132"/>
      <c r="G117" s="133"/>
      <c r="H117" s="133"/>
      <c r="I117" s="169"/>
      <c r="J117" s="150"/>
      <c r="K117" s="133"/>
      <c r="L117" s="133"/>
      <c r="M117" s="184"/>
      <c r="N117" s="184"/>
      <c r="O117" s="184"/>
      <c r="P117" s="184"/>
      <c r="Q117" s="184"/>
      <c r="R117" s="184"/>
      <c r="S117" s="184"/>
      <c r="T117" s="184"/>
      <c r="U117" s="184"/>
      <c r="V117" s="184"/>
      <c r="W117" s="150"/>
      <c r="X117" s="133"/>
      <c r="Y117" s="151"/>
      <c r="Z117" s="133"/>
      <c r="AA117" s="133"/>
      <c r="AB117" s="133"/>
      <c r="AC117" s="133"/>
      <c r="AD117" s="133"/>
      <c r="AE117" s="133"/>
      <c r="AF117" s="133"/>
      <c r="AG117" s="169"/>
      <c r="AH117" s="150"/>
      <c r="AI117" s="132"/>
      <c r="AJ117" s="132"/>
      <c r="AK117" s="133"/>
      <c r="AL117" s="133"/>
      <c r="AM117" s="133"/>
      <c r="AN117" s="133"/>
      <c r="AO117" s="133"/>
      <c r="AP117" s="133"/>
      <c r="AQ117" s="133"/>
      <c r="AR117" s="133"/>
      <c r="AS117" s="133"/>
      <c r="AT117" s="133"/>
      <c r="AU117" s="133"/>
      <c r="AV117" s="133"/>
      <c r="AW117" s="133"/>
      <c r="AX117" s="133"/>
      <c r="AY117" s="133"/>
      <c r="AZ117" s="142"/>
      <c r="BA117" s="132"/>
    </row>
    <row r="118" spans="1:53" ht="14.6" outlineLevel="2" x14ac:dyDescent="0.4">
      <c r="A118" s="134" t="s">
        <v>212</v>
      </c>
      <c r="B118" s="135" t="s">
        <v>113</v>
      </c>
      <c r="C118" s="136">
        <f>SUM(C119:C121)</f>
        <v>7</v>
      </c>
      <c r="D118" s="137">
        <f>E118/ORÇAMENTO!$K$125</f>
        <v>6.0084682844260334E-3</v>
      </c>
      <c r="E118" s="168">
        <f>C119*$O$259/$M$259</f>
        <v>8503.9381385506858</v>
      </c>
      <c r="F118" s="132"/>
      <c r="G118" s="133"/>
      <c r="H118" s="133"/>
      <c r="I118" s="169"/>
      <c r="J118" s="150"/>
      <c r="K118" s="133"/>
      <c r="L118" s="133"/>
      <c r="M118" s="184"/>
      <c r="N118" s="184"/>
      <c r="O118" s="184"/>
      <c r="P118" s="184"/>
      <c r="Q118" s="184"/>
      <c r="R118" s="184"/>
      <c r="S118" s="184"/>
      <c r="T118" s="184"/>
      <c r="U118" s="184"/>
      <c r="V118" s="184"/>
      <c r="W118" s="150"/>
      <c r="X118" s="133"/>
      <c r="Y118" s="133"/>
      <c r="Z118" s="135"/>
      <c r="AA118" s="133"/>
      <c r="AB118" s="133"/>
      <c r="AC118" s="133"/>
      <c r="AD118" s="133"/>
      <c r="AE118" s="133"/>
      <c r="AF118" s="133"/>
      <c r="AG118" s="169"/>
      <c r="AH118" s="150"/>
      <c r="AI118" s="132"/>
      <c r="AJ118" s="132"/>
      <c r="AK118" s="133"/>
      <c r="AL118" s="133"/>
      <c r="AM118" s="133"/>
      <c r="AN118" s="133"/>
      <c r="AO118" s="133"/>
      <c r="AP118" s="133"/>
      <c r="AQ118" s="133"/>
      <c r="AR118" s="133"/>
      <c r="AS118" s="133"/>
      <c r="AT118" s="133"/>
      <c r="AU118" s="133"/>
      <c r="AV118" s="133"/>
      <c r="AW118" s="133"/>
      <c r="AX118" s="133"/>
      <c r="AY118" s="133"/>
      <c r="AZ118" s="142"/>
      <c r="BA118" s="132"/>
    </row>
    <row r="119" spans="1:53" ht="14.6" outlineLevel="3" x14ac:dyDescent="0.4">
      <c r="A119" s="143" t="s">
        <v>213</v>
      </c>
      <c r="B119" s="133" t="s">
        <v>115</v>
      </c>
      <c r="C119" s="144">
        <v>4</v>
      </c>
      <c r="D119" s="145"/>
      <c r="E119" s="173"/>
      <c r="F119" s="132"/>
      <c r="G119" s="133"/>
      <c r="H119" s="133"/>
      <c r="I119" s="169"/>
      <c r="J119" s="150"/>
      <c r="K119" s="133"/>
      <c r="L119" s="133"/>
      <c r="M119" s="184"/>
      <c r="N119" s="184"/>
      <c r="O119" s="184"/>
      <c r="P119" s="184"/>
      <c r="Q119" s="184"/>
      <c r="R119" s="184"/>
      <c r="S119" s="184"/>
      <c r="T119" s="184"/>
      <c r="U119" s="184"/>
      <c r="V119" s="184"/>
      <c r="W119" s="150"/>
      <c r="X119" s="133"/>
      <c r="Y119" s="133"/>
      <c r="Z119" s="175"/>
      <c r="AA119" s="133"/>
      <c r="AB119" s="133"/>
      <c r="AC119" s="133"/>
      <c r="AD119" s="133"/>
      <c r="AE119" s="133"/>
      <c r="AF119" s="133"/>
      <c r="AG119" s="169"/>
      <c r="AH119" s="150"/>
      <c r="AI119" s="132"/>
      <c r="AJ119" s="132"/>
      <c r="AK119" s="133"/>
      <c r="AL119" s="133"/>
      <c r="AM119" s="133"/>
      <c r="AN119" s="133"/>
      <c r="AO119" s="133"/>
      <c r="AP119" s="133"/>
      <c r="AQ119" s="133"/>
      <c r="AR119" s="133"/>
      <c r="AS119" s="133"/>
      <c r="AT119" s="133"/>
      <c r="AU119" s="133"/>
      <c r="AV119" s="133"/>
      <c r="AW119" s="133"/>
      <c r="AX119" s="133"/>
      <c r="AY119" s="133"/>
      <c r="AZ119" s="142"/>
      <c r="BA119" s="132"/>
    </row>
    <row r="120" spans="1:53" ht="14.6" outlineLevel="3" x14ac:dyDescent="0.4">
      <c r="A120" s="143" t="s">
        <v>214</v>
      </c>
      <c r="B120" s="133" t="s">
        <v>75</v>
      </c>
      <c r="C120" s="144">
        <v>2</v>
      </c>
      <c r="D120" s="145"/>
      <c r="E120" s="173"/>
      <c r="F120" s="132"/>
      <c r="G120" s="133"/>
      <c r="H120" s="133"/>
      <c r="I120" s="169"/>
      <c r="J120" s="150"/>
      <c r="K120" s="133"/>
      <c r="L120" s="133"/>
      <c r="M120" s="184"/>
      <c r="N120" s="184"/>
      <c r="O120" s="184"/>
      <c r="P120" s="184"/>
      <c r="Q120" s="184"/>
      <c r="R120" s="184"/>
      <c r="S120" s="184"/>
      <c r="T120" s="184"/>
      <c r="U120" s="184"/>
      <c r="V120" s="184"/>
      <c r="W120" s="150"/>
      <c r="X120" s="133"/>
      <c r="Y120" s="133"/>
      <c r="Z120" s="151"/>
      <c r="AA120" s="133"/>
      <c r="AB120" s="133"/>
      <c r="AC120" s="133"/>
      <c r="AD120" s="133"/>
      <c r="AE120" s="133"/>
      <c r="AF120" s="133"/>
      <c r="AG120" s="169"/>
      <c r="AH120" s="150"/>
      <c r="AI120" s="132"/>
      <c r="AJ120" s="132"/>
      <c r="AK120" s="133"/>
      <c r="AL120" s="133"/>
      <c r="AM120" s="133"/>
      <c r="AN120" s="133"/>
      <c r="AO120" s="133"/>
      <c r="AP120" s="133"/>
      <c r="AQ120" s="133"/>
      <c r="AR120" s="133"/>
      <c r="AS120" s="133"/>
      <c r="AT120" s="133"/>
      <c r="AU120" s="133"/>
      <c r="AV120" s="133"/>
      <c r="AW120" s="133"/>
      <c r="AX120" s="133"/>
      <c r="AY120" s="133"/>
      <c r="AZ120" s="142"/>
      <c r="BA120" s="132"/>
    </row>
    <row r="121" spans="1:53" ht="14.6" outlineLevel="3" x14ac:dyDescent="0.4">
      <c r="A121" s="143" t="s">
        <v>215</v>
      </c>
      <c r="B121" s="133" t="s">
        <v>77</v>
      </c>
      <c r="C121" s="144">
        <v>1</v>
      </c>
      <c r="D121" s="145"/>
      <c r="E121" s="173"/>
      <c r="F121" s="132"/>
      <c r="G121" s="133"/>
      <c r="H121" s="133"/>
      <c r="I121" s="169"/>
      <c r="J121" s="150"/>
      <c r="K121" s="133"/>
      <c r="L121" s="133"/>
      <c r="M121" s="184"/>
      <c r="N121" s="184"/>
      <c r="O121" s="184"/>
      <c r="P121" s="184"/>
      <c r="Q121" s="184"/>
      <c r="R121" s="184"/>
      <c r="S121" s="184"/>
      <c r="T121" s="184"/>
      <c r="U121" s="184"/>
      <c r="V121" s="184"/>
      <c r="W121" s="150"/>
      <c r="X121" s="133"/>
      <c r="Y121" s="133"/>
      <c r="Z121" s="151"/>
      <c r="AA121" s="133"/>
      <c r="AB121" s="133"/>
      <c r="AC121" s="133"/>
      <c r="AD121" s="133"/>
      <c r="AE121" s="133"/>
      <c r="AF121" s="133"/>
      <c r="AG121" s="169"/>
      <c r="AH121" s="150"/>
      <c r="AI121" s="132"/>
      <c r="AJ121" s="132"/>
      <c r="AK121" s="133"/>
      <c r="AL121" s="133"/>
      <c r="AM121" s="133"/>
      <c r="AN121" s="133"/>
      <c r="AO121" s="133"/>
      <c r="AP121" s="133"/>
      <c r="AQ121" s="133"/>
      <c r="AR121" s="133"/>
      <c r="AS121" s="133"/>
      <c r="AT121" s="133"/>
      <c r="AU121" s="133"/>
      <c r="AV121" s="133"/>
      <c r="AW121" s="133"/>
      <c r="AX121" s="133"/>
      <c r="AY121" s="133"/>
      <c r="AZ121" s="142"/>
      <c r="BA121" s="132"/>
    </row>
    <row r="122" spans="1:53" ht="14.6" outlineLevel="2" x14ac:dyDescent="0.4">
      <c r="A122" s="134" t="s">
        <v>216</v>
      </c>
      <c r="B122" s="135" t="s">
        <v>119</v>
      </c>
      <c r="C122" s="136">
        <f>SUM(C123:C125)</f>
        <v>17</v>
      </c>
      <c r="D122" s="137">
        <f>E122/ORÇAMENTO!$K$125</f>
        <v>1.5021173221141724E-2</v>
      </c>
      <c r="E122" s="168">
        <f>C123*$O$260/$M$260</f>
        <v>21259.848898952092</v>
      </c>
      <c r="F122" s="132"/>
      <c r="G122" s="133"/>
      <c r="H122" s="133"/>
      <c r="I122" s="169"/>
      <c r="J122" s="150"/>
      <c r="K122" s="133"/>
      <c r="L122" s="133"/>
      <c r="M122" s="184"/>
      <c r="N122" s="184"/>
      <c r="O122" s="184"/>
      <c r="P122" s="184"/>
      <c r="Q122" s="184"/>
      <c r="R122" s="184"/>
      <c r="S122" s="184"/>
      <c r="T122" s="184"/>
      <c r="U122" s="184"/>
      <c r="V122" s="184"/>
      <c r="W122" s="150"/>
      <c r="X122" s="133"/>
      <c r="Y122" s="133"/>
      <c r="Z122" s="152"/>
      <c r="AA122" s="140"/>
      <c r="AB122" s="141"/>
      <c r="AC122" s="133"/>
      <c r="AD122" s="133"/>
      <c r="AE122" s="133"/>
      <c r="AF122" s="133"/>
      <c r="AG122" s="169"/>
      <c r="AH122" s="150"/>
      <c r="AI122" s="132"/>
      <c r="AJ122" s="132"/>
      <c r="AK122" s="133"/>
      <c r="AL122" s="133"/>
      <c r="AM122" s="133"/>
      <c r="AN122" s="133"/>
      <c r="AO122" s="133"/>
      <c r="AP122" s="133"/>
      <c r="AQ122" s="133"/>
      <c r="AR122" s="133"/>
      <c r="AS122" s="133"/>
      <c r="AT122" s="133"/>
      <c r="AU122" s="133"/>
      <c r="AV122" s="133"/>
      <c r="AW122" s="133"/>
      <c r="AX122" s="133"/>
      <c r="AY122" s="133"/>
      <c r="AZ122" s="142"/>
      <c r="BA122" s="132"/>
    </row>
    <row r="123" spans="1:53" ht="14.6" outlineLevel="3" x14ac:dyDescent="0.4">
      <c r="A123" s="143" t="s">
        <v>217</v>
      </c>
      <c r="B123" s="133" t="s">
        <v>121</v>
      </c>
      <c r="C123" s="144">
        <v>10</v>
      </c>
      <c r="D123" s="145"/>
      <c r="E123" s="173"/>
      <c r="F123" s="132"/>
      <c r="G123" s="133"/>
      <c r="H123" s="133"/>
      <c r="I123" s="169"/>
      <c r="J123" s="150"/>
      <c r="K123" s="133"/>
      <c r="L123" s="133"/>
      <c r="M123" s="184"/>
      <c r="N123" s="184"/>
      <c r="O123" s="184"/>
      <c r="P123" s="184"/>
      <c r="Q123" s="184"/>
      <c r="R123" s="184"/>
      <c r="S123" s="184"/>
      <c r="T123" s="184"/>
      <c r="U123" s="184"/>
      <c r="V123" s="184"/>
      <c r="W123" s="150"/>
      <c r="X123" s="133"/>
      <c r="Y123" s="133"/>
      <c r="Z123" s="154"/>
      <c r="AA123" s="149"/>
      <c r="AB123" s="133"/>
      <c r="AC123" s="133"/>
      <c r="AD123" s="133"/>
      <c r="AE123" s="133"/>
      <c r="AF123" s="133"/>
      <c r="AG123" s="169"/>
      <c r="AH123" s="150"/>
      <c r="AI123" s="132"/>
      <c r="AJ123" s="132"/>
      <c r="AK123" s="133"/>
      <c r="AL123" s="133"/>
      <c r="AM123" s="133"/>
      <c r="AN123" s="133"/>
      <c r="AO123" s="133"/>
      <c r="AP123" s="133"/>
      <c r="AQ123" s="133"/>
      <c r="AR123" s="133"/>
      <c r="AS123" s="133"/>
      <c r="AT123" s="133"/>
      <c r="AU123" s="133"/>
      <c r="AV123" s="133"/>
      <c r="AW123" s="133"/>
      <c r="AX123" s="133"/>
      <c r="AY123" s="133"/>
      <c r="AZ123" s="142"/>
      <c r="BA123" s="132"/>
    </row>
    <row r="124" spans="1:53" ht="14.6" outlineLevel="3" x14ac:dyDescent="0.4">
      <c r="A124" s="143" t="s">
        <v>218</v>
      </c>
      <c r="B124" s="133" t="s">
        <v>75</v>
      </c>
      <c r="C124" s="144">
        <v>5</v>
      </c>
      <c r="D124" s="145"/>
      <c r="E124" s="173"/>
      <c r="F124" s="132"/>
      <c r="G124" s="133"/>
      <c r="H124" s="133"/>
      <c r="I124" s="169"/>
      <c r="J124" s="150"/>
      <c r="K124" s="133"/>
      <c r="L124" s="133"/>
      <c r="M124" s="184"/>
      <c r="N124" s="184"/>
      <c r="O124" s="184"/>
      <c r="P124" s="184"/>
      <c r="Q124" s="184"/>
      <c r="R124" s="184"/>
      <c r="S124" s="184"/>
      <c r="T124" s="184"/>
      <c r="U124" s="184"/>
      <c r="V124" s="184"/>
      <c r="W124" s="150"/>
      <c r="X124" s="133"/>
      <c r="Y124" s="133"/>
      <c r="Z124" s="133"/>
      <c r="AA124" s="133"/>
      <c r="AB124" s="151"/>
      <c r="AC124" s="133"/>
      <c r="AD124" s="133"/>
      <c r="AE124" s="133"/>
      <c r="AF124" s="133"/>
      <c r="AG124" s="169"/>
      <c r="AH124" s="150"/>
      <c r="AI124" s="132"/>
      <c r="AJ124" s="132"/>
      <c r="AK124" s="133"/>
      <c r="AL124" s="133"/>
      <c r="AM124" s="133"/>
      <c r="AN124" s="133"/>
      <c r="AO124" s="133"/>
      <c r="AP124" s="133"/>
      <c r="AQ124" s="133"/>
      <c r="AR124" s="133"/>
      <c r="AS124" s="133"/>
      <c r="AT124" s="133"/>
      <c r="AU124" s="133"/>
      <c r="AV124" s="133"/>
      <c r="AW124" s="133"/>
      <c r="AX124" s="133"/>
      <c r="AY124" s="133"/>
      <c r="AZ124" s="142"/>
      <c r="BA124" s="132"/>
    </row>
    <row r="125" spans="1:53" ht="14.6" outlineLevel="3" x14ac:dyDescent="0.4">
      <c r="A125" s="143" t="s">
        <v>219</v>
      </c>
      <c r="B125" s="133" t="s">
        <v>77</v>
      </c>
      <c r="C125" s="144">
        <v>2</v>
      </c>
      <c r="D125" s="145"/>
      <c r="E125" s="173"/>
      <c r="F125" s="132"/>
      <c r="G125" s="133"/>
      <c r="H125" s="133"/>
      <c r="I125" s="169"/>
      <c r="J125" s="150"/>
      <c r="K125" s="133"/>
      <c r="L125" s="133"/>
      <c r="M125" s="184"/>
      <c r="N125" s="184"/>
      <c r="O125" s="184"/>
      <c r="P125" s="184"/>
      <c r="Q125" s="184"/>
      <c r="R125" s="184"/>
      <c r="S125" s="184"/>
      <c r="T125" s="184"/>
      <c r="U125" s="184"/>
      <c r="V125" s="184"/>
      <c r="W125" s="150"/>
      <c r="X125" s="133"/>
      <c r="Y125" s="133"/>
      <c r="Z125" s="133"/>
      <c r="AA125" s="133"/>
      <c r="AB125" s="151"/>
      <c r="AC125" s="133"/>
      <c r="AD125" s="133"/>
      <c r="AE125" s="133"/>
      <c r="AF125" s="133"/>
      <c r="AG125" s="169"/>
      <c r="AH125" s="150"/>
      <c r="AI125" s="132"/>
      <c r="AJ125" s="132"/>
      <c r="AK125" s="133"/>
      <c r="AL125" s="133"/>
      <c r="AM125" s="133"/>
      <c r="AN125" s="133"/>
      <c r="AO125" s="133"/>
      <c r="AP125" s="133"/>
      <c r="AQ125" s="133"/>
      <c r="AR125" s="133"/>
      <c r="AS125" s="133"/>
      <c r="AT125" s="133"/>
      <c r="AU125" s="133"/>
      <c r="AV125" s="133"/>
      <c r="AW125" s="133"/>
      <c r="AX125" s="133"/>
      <c r="AY125" s="133"/>
      <c r="AZ125" s="142"/>
      <c r="BA125" s="132"/>
    </row>
    <row r="126" spans="1:53" ht="14.6" outlineLevel="2" x14ac:dyDescent="0.4">
      <c r="A126" s="134" t="s">
        <v>220</v>
      </c>
      <c r="B126" s="135" t="s">
        <v>125</v>
      </c>
      <c r="C126" s="136">
        <f>SUM(C127:C129)</f>
        <v>7</v>
      </c>
      <c r="D126" s="137">
        <f>E126/ORÇAMENTO!$K$125</f>
        <v>6.0084684741411295E-3</v>
      </c>
      <c r="E126" s="168">
        <f>C127*$O$261/$M$261</f>
        <v>8503.9384070592914</v>
      </c>
      <c r="F126" s="132"/>
      <c r="G126" s="133"/>
      <c r="H126" s="133"/>
      <c r="I126" s="169"/>
      <c r="J126" s="150"/>
      <c r="K126" s="133"/>
      <c r="L126" s="133"/>
      <c r="M126" s="184"/>
      <c r="N126" s="184"/>
      <c r="O126" s="184"/>
      <c r="P126" s="184"/>
      <c r="Q126" s="184"/>
      <c r="R126" s="184"/>
      <c r="S126" s="184"/>
      <c r="T126" s="184"/>
      <c r="U126" s="184"/>
      <c r="V126" s="184"/>
      <c r="W126" s="150"/>
      <c r="X126" s="133"/>
      <c r="Y126" s="133"/>
      <c r="Z126" s="135"/>
      <c r="AA126" s="133"/>
      <c r="AB126" s="133"/>
      <c r="AC126" s="133"/>
      <c r="AD126" s="133"/>
      <c r="AE126" s="133"/>
      <c r="AF126" s="133"/>
      <c r="AG126" s="169"/>
      <c r="AH126" s="150"/>
      <c r="AI126" s="132"/>
      <c r="AJ126" s="132"/>
      <c r="AK126" s="133"/>
      <c r="AL126" s="133"/>
      <c r="AM126" s="133"/>
      <c r="AN126" s="133"/>
      <c r="AO126" s="133"/>
      <c r="AP126" s="133"/>
      <c r="AQ126" s="133"/>
      <c r="AR126" s="133"/>
      <c r="AS126" s="133"/>
      <c r="AT126" s="133"/>
      <c r="AU126" s="133"/>
      <c r="AV126" s="133"/>
      <c r="AW126" s="133"/>
      <c r="AX126" s="133"/>
      <c r="AY126" s="133"/>
      <c r="AZ126" s="142"/>
      <c r="BA126" s="132"/>
    </row>
    <row r="127" spans="1:53" ht="14.6" outlineLevel="3" x14ac:dyDescent="0.4">
      <c r="A127" s="143" t="s">
        <v>221</v>
      </c>
      <c r="B127" s="133" t="s">
        <v>127</v>
      </c>
      <c r="C127" s="144">
        <v>4</v>
      </c>
      <c r="D127" s="145"/>
      <c r="E127" s="173"/>
      <c r="F127" s="132"/>
      <c r="G127" s="133"/>
      <c r="H127" s="133"/>
      <c r="I127" s="169"/>
      <c r="J127" s="150"/>
      <c r="K127" s="133"/>
      <c r="L127" s="133"/>
      <c r="M127" s="184"/>
      <c r="N127" s="184"/>
      <c r="O127" s="184"/>
      <c r="P127" s="184"/>
      <c r="Q127" s="184"/>
      <c r="R127" s="184"/>
      <c r="S127" s="184"/>
      <c r="T127" s="184"/>
      <c r="U127" s="184"/>
      <c r="V127" s="184"/>
      <c r="W127" s="150"/>
      <c r="X127" s="133"/>
      <c r="Y127" s="133"/>
      <c r="Z127" s="175"/>
      <c r="AA127" s="133"/>
      <c r="AB127" s="133"/>
      <c r="AC127" s="133"/>
      <c r="AD127" s="133"/>
      <c r="AE127" s="133"/>
      <c r="AF127" s="133"/>
      <c r="AG127" s="169"/>
      <c r="AH127" s="150"/>
      <c r="AI127" s="132"/>
      <c r="AJ127" s="132"/>
      <c r="AK127" s="133"/>
      <c r="AL127" s="133"/>
      <c r="AM127" s="133"/>
      <c r="AN127" s="133"/>
      <c r="AO127" s="133"/>
      <c r="AP127" s="133"/>
      <c r="AQ127" s="133"/>
      <c r="AR127" s="133"/>
      <c r="AS127" s="133"/>
      <c r="AT127" s="133"/>
      <c r="AU127" s="133"/>
      <c r="AV127" s="133"/>
      <c r="AW127" s="133"/>
      <c r="AX127" s="133"/>
      <c r="AY127" s="133"/>
      <c r="AZ127" s="142"/>
      <c r="BA127" s="132"/>
    </row>
    <row r="128" spans="1:53" ht="14.6" outlineLevel="3" x14ac:dyDescent="0.4">
      <c r="A128" s="143" t="s">
        <v>222</v>
      </c>
      <c r="B128" s="133" t="s">
        <v>75</v>
      </c>
      <c r="C128" s="144">
        <v>2</v>
      </c>
      <c r="D128" s="145"/>
      <c r="E128" s="173"/>
      <c r="F128" s="132"/>
      <c r="G128" s="133"/>
      <c r="H128" s="133"/>
      <c r="I128" s="169"/>
      <c r="J128" s="150"/>
      <c r="K128" s="133"/>
      <c r="L128" s="133"/>
      <c r="M128" s="184"/>
      <c r="N128" s="184"/>
      <c r="O128" s="184"/>
      <c r="P128" s="184"/>
      <c r="Q128" s="184"/>
      <c r="R128" s="184"/>
      <c r="S128" s="184"/>
      <c r="T128" s="184"/>
      <c r="U128" s="184"/>
      <c r="V128" s="184"/>
      <c r="W128" s="150"/>
      <c r="X128" s="133"/>
      <c r="Y128" s="133"/>
      <c r="Z128" s="151"/>
      <c r="AA128" s="133"/>
      <c r="AB128" s="133"/>
      <c r="AC128" s="133"/>
      <c r="AD128" s="133"/>
      <c r="AE128" s="133"/>
      <c r="AF128" s="133"/>
      <c r="AG128" s="169"/>
      <c r="AH128" s="150"/>
      <c r="AI128" s="132"/>
      <c r="AJ128" s="132"/>
      <c r="AK128" s="133"/>
      <c r="AL128" s="133"/>
      <c r="AM128" s="133"/>
      <c r="AN128" s="133"/>
      <c r="AO128" s="133"/>
      <c r="AP128" s="133"/>
      <c r="AQ128" s="133"/>
      <c r="AR128" s="133"/>
      <c r="AS128" s="133"/>
      <c r="AT128" s="133"/>
      <c r="AU128" s="133"/>
      <c r="AV128" s="133"/>
      <c r="AW128" s="133"/>
      <c r="AX128" s="133"/>
      <c r="AY128" s="133"/>
      <c r="AZ128" s="142"/>
      <c r="BA128" s="132"/>
    </row>
    <row r="129" spans="1:53" ht="14.6" outlineLevel="3" x14ac:dyDescent="0.4">
      <c r="A129" s="143" t="s">
        <v>223</v>
      </c>
      <c r="B129" s="133" t="s">
        <v>77</v>
      </c>
      <c r="C129" s="144">
        <v>1</v>
      </c>
      <c r="D129" s="145"/>
      <c r="E129" s="173"/>
      <c r="F129" s="132"/>
      <c r="G129" s="133"/>
      <c r="H129" s="133"/>
      <c r="I129" s="169"/>
      <c r="J129" s="150"/>
      <c r="K129" s="133"/>
      <c r="L129" s="133"/>
      <c r="M129" s="184"/>
      <c r="N129" s="184"/>
      <c r="O129" s="184"/>
      <c r="P129" s="184"/>
      <c r="Q129" s="184"/>
      <c r="R129" s="184"/>
      <c r="S129" s="184"/>
      <c r="T129" s="184"/>
      <c r="U129" s="184"/>
      <c r="V129" s="184"/>
      <c r="W129" s="150"/>
      <c r="X129" s="133"/>
      <c r="Y129" s="133"/>
      <c r="Z129" s="151"/>
      <c r="AA129" s="133"/>
      <c r="AB129" s="133"/>
      <c r="AC129" s="133"/>
      <c r="AD129" s="133"/>
      <c r="AE129" s="133"/>
      <c r="AF129" s="133"/>
      <c r="AG129" s="169"/>
      <c r="AH129" s="150"/>
      <c r="AI129" s="132"/>
      <c r="AJ129" s="132"/>
      <c r="AK129" s="133"/>
      <c r="AL129" s="133"/>
      <c r="AM129" s="133"/>
      <c r="AN129" s="133"/>
      <c r="AO129" s="133"/>
      <c r="AP129" s="133"/>
      <c r="AQ129" s="133"/>
      <c r="AR129" s="133"/>
      <c r="AS129" s="133"/>
      <c r="AT129" s="133"/>
      <c r="AU129" s="133"/>
      <c r="AV129" s="133"/>
      <c r="AW129" s="133"/>
      <c r="AX129" s="133"/>
      <c r="AY129" s="133"/>
      <c r="AZ129" s="142"/>
      <c r="BA129" s="132"/>
    </row>
    <row r="130" spans="1:53" ht="14.6" outlineLevel="2" x14ac:dyDescent="0.4">
      <c r="A130" s="134" t="s">
        <v>224</v>
      </c>
      <c r="B130" s="135" t="s">
        <v>131</v>
      </c>
      <c r="C130" s="136">
        <f>SUM(C131:C133)</f>
        <v>7</v>
      </c>
      <c r="D130" s="137">
        <f>E130/ORÇAMENTO!$K$125</f>
        <v>8.7227641182401668E-3</v>
      </c>
      <c r="E130" s="168">
        <f>C131*$O$262/$M$262</f>
        <v>12345.550138119757</v>
      </c>
      <c r="F130" s="132"/>
      <c r="G130" s="133"/>
      <c r="H130" s="133"/>
      <c r="I130" s="169"/>
      <c r="J130" s="150"/>
      <c r="K130" s="133"/>
      <c r="L130" s="133"/>
      <c r="M130" s="184"/>
      <c r="N130" s="184"/>
      <c r="O130" s="184"/>
      <c r="P130" s="184"/>
      <c r="Q130" s="184"/>
      <c r="R130" s="184"/>
      <c r="S130" s="184"/>
      <c r="T130" s="184"/>
      <c r="U130" s="184"/>
      <c r="V130" s="184"/>
      <c r="W130" s="150"/>
      <c r="X130" s="133"/>
      <c r="Y130" s="133"/>
      <c r="Z130" s="133"/>
      <c r="AA130" s="135"/>
      <c r="AB130" s="133"/>
      <c r="AC130" s="133"/>
      <c r="AD130" s="133"/>
      <c r="AE130" s="133"/>
      <c r="AF130" s="133"/>
      <c r="AG130" s="169"/>
      <c r="AH130" s="150"/>
      <c r="AI130" s="132"/>
      <c r="AJ130" s="132"/>
      <c r="AK130" s="133"/>
      <c r="AL130" s="133"/>
      <c r="AM130" s="133"/>
      <c r="AN130" s="133"/>
      <c r="AO130" s="133"/>
      <c r="AP130" s="133"/>
      <c r="AQ130" s="133"/>
      <c r="AR130" s="133"/>
      <c r="AS130" s="133"/>
      <c r="AT130" s="133"/>
      <c r="AU130" s="133"/>
      <c r="AV130" s="133"/>
      <c r="AW130" s="133"/>
      <c r="AX130" s="133"/>
      <c r="AY130" s="133"/>
      <c r="AZ130" s="142"/>
      <c r="BA130" s="132"/>
    </row>
    <row r="131" spans="1:53" ht="14.6" outlineLevel="3" x14ac:dyDescent="0.4">
      <c r="A131" s="143" t="s">
        <v>225</v>
      </c>
      <c r="B131" s="133" t="s">
        <v>133</v>
      </c>
      <c r="C131" s="144">
        <v>4</v>
      </c>
      <c r="D131" s="145"/>
      <c r="E131" s="173"/>
      <c r="F131" s="132"/>
      <c r="G131" s="133"/>
      <c r="H131" s="133"/>
      <c r="I131" s="169"/>
      <c r="J131" s="150"/>
      <c r="K131" s="133"/>
      <c r="L131" s="133"/>
      <c r="M131" s="184"/>
      <c r="N131" s="184"/>
      <c r="O131" s="184"/>
      <c r="P131" s="184"/>
      <c r="Q131" s="184"/>
      <c r="R131" s="184"/>
      <c r="S131" s="184"/>
      <c r="T131" s="184"/>
      <c r="U131" s="184"/>
      <c r="V131" s="184"/>
      <c r="W131" s="150"/>
      <c r="X131" s="133"/>
      <c r="Y131" s="133"/>
      <c r="Z131" s="133"/>
      <c r="AA131" s="175"/>
      <c r="AB131" s="133"/>
      <c r="AC131" s="133"/>
      <c r="AD131" s="133"/>
      <c r="AE131" s="133"/>
      <c r="AF131" s="133"/>
      <c r="AG131" s="169"/>
      <c r="AH131" s="150"/>
      <c r="AI131" s="132"/>
      <c r="AJ131" s="132"/>
      <c r="AK131" s="133"/>
      <c r="AL131" s="133"/>
      <c r="AM131" s="133"/>
      <c r="AN131" s="133"/>
      <c r="AO131" s="133"/>
      <c r="AP131" s="133"/>
      <c r="AQ131" s="133"/>
      <c r="AR131" s="133"/>
      <c r="AS131" s="133"/>
      <c r="AT131" s="133"/>
      <c r="AU131" s="133"/>
      <c r="AV131" s="133"/>
      <c r="AW131" s="133"/>
      <c r="AX131" s="133"/>
      <c r="AY131" s="133"/>
      <c r="AZ131" s="142"/>
      <c r="BA131" s="132"/>
    </row>
    <row r="132" spans="1:53" ht="14.6" outlineLevel="3" x14ac:dyDescent="0.4">
      <c r="A132" s="143" t="s">
        <v>226</v>
      </c>
      <c r="B132" s="133" t="s">
        <v>75</v>
      </c>
      <c r="C132" s="144">
        <v>2</v>
      </c>
      <c r="D132" s="145"/>
      <c r="E132" s="173"/>
      <c r="F132" s="132"/>
      <c r="G132" s="133"/>
      <c r="H132" s="133"/>
      <c r="I132" s="169"/>
      <c r="J132" s="150"/>
      <c r="K132" s="133"/>
      <c r="L132" s="133"/>
      <c r="M132" s="184"/>
      <c r="N132" s="184"/>
      <c r="O132" s="184"/>
      <c r="P132" s="184"/>
      <c r="Q132" s="184"/>
      <c r="R132" s="184"/>
      <c r="S132" s="184"/>
      <c r="T132" s="184"/>
      <c r="U132" s="184"/>
      <c r="V132" s="184"/>
      <c r="W132" s="150"/>
      <c r="X132" s="133"/>
      <c r="Y132" s="133"/>
      <c r="Z132" s="133"/>
      <c r="AA132" s="151"/>
      <c r="AB132" s="133"/>
      <c r="AC132" s="133"/>
      <c r="AD132" s="133"/>
      <c r="AE132" s="133"/>
      <c r="AF132" s="133"/>
      <c r="AG132" s="169"/>
      <c r="AH132" s="150"/>
      <c r="AI132" s="132"/>
      <c r="AJ132" s="132"/>
      <c r="AK132" s="133"/>
      <c r="AL132" s="133"/>
      <c r="AM132" s="133"/>
      <c r="AN132" s="133"/>
      <c r="AO132" s="133"/>
      <c r="AP132" s="133"/>
      <c r="AQ132" s="133"/>
      <c r="AR132" s="133"/>
      <c r="AS132" s="133"/>
      <c r="AT132" s="133"/>
      <c r="AU132" s="133"/>
      <c r="AV132" s="133"/>
      <c r="AW132" s="133"/>
      <c r="AX132" s="133"/>
      <c r="AY132" s="133"/>
      <c r="AZ132" s="142"/>
      <c r="BA132" s="132"/>
    </row>
    <row r="133" spans="1:53" ht="14.6" outlineLevel="3" x14ac:dyDescent="0.4">
      <c r="A133" s="143" t="s">
        <v>227</v>
      </c>
      <c r="B133" s="133" t="s">
        <v>77</v>
      </c>
      <c r="C133" s="144">
        <v>1</v>
      </c>
      <c r="D133" s="145"/>
      <c r="E133" s="173"/>
      <c r="F133" s="132"/>
      <c r="G133" s="133"/>
      <c r="H133" s="133"/>
      <c r="I133" s="169"/>
      <c r="J133" s="150"/>
      <c r="K133" s="133"/>
      <c r="L133" s="133"/>
      <c r="M133" s="184"/>
      <c r="N133" s="184"/>
      <c r="O133" s="184"/>
      <c r="P133" s="184"/>
      <c r="Q133" s="184"/>
      <c r="R133" s="184"/>
      <c r="S133" s="184"/>
      <c r="T133" s="184"/>
      <c r="U133" s="184"/>
      <c r="V133" s="184"/>
      <c r="W133" s="150"/>
      <c r="X133" s="133"/>
      <c r="Y133" s="133"/>
      <c r="Z133" s="133"/>
      <c r="AA133" s="151"/>
      <c r="AB133" s="133"/>
      <c r="AC133" s="133"/>
      <c r="AD133" s="133"/>
      <c r="AE133" s="133"/>
      <c r="AF133" s="133"/>
      <c r="AG133" s="169"/>
      <c r="AH133" s="150"/>
      <c r="AI133" s="132"/>
      <c r="AJ133" s="132"/>
      <c r="AK133" s="133"/>
      <c r="AL133" s="133"/>
      <c r="AM133" s="133"/>
      <c r="AN133" s="133"/>
      <c r="AO133" s="133"/>
      <c r="AP133" s="133"/>
      <c r="AQ133" s="133"/>
      <c r="AR133" s="133"/>
      <c r="AS133" s="133"/>
      <c r="AT133" s="133"/>
      <c r="AU133" s="133"/>
      <c r="AV133" s="133"/>
      <c r="AW133" s="133"/>
      <c r="AX133" s="133"/>
      <c r="AY133" s="133"/>
      <c r="AZ133" s="142"/>
      <c r="BA133" s="132"/>
    </row>
    <row r="134" spans="1:53" ht="14.6" outlineLevel="2" x14ac:dyDescent="0.4">
      <c r="A134" s="134" t="s">
        <v>228</v>
      </c>
      <c r="B134" s="135" t="s">
        <v>137</v>
      </c>
      <c r="C134" s="136">
        <f>SUM(C135:C137)</f>
        <v>7</v>
      </c>
      <c r="D134" s="137">
        <f>E134/ORÇAMENTO!$K$125</f>
        <v>6.0084685483774696E-3</v>
      </c>
      <c r="E134" s="168">
        <f>C135*$O$263/$M$263</f>
        <v>8503.9385121278738</v>
      </c>
      <c r="F134" s="132"/>
      <c r="G134" s="133"/>
      <c r="H134" s="133"/>
      <c r="I134" s="169"/>
      <c r="J134" s="150"/>
      <c r="K134" s="133"/>
      <c r="L134" s="133"/>
      <c r="M134" s="184"/>
      <c r="N134" s="184"/>
      <c r="O134" s="184"/>
      <c r="P134" s="184"/>
      <c r="Q134" s="184"/>
      <c r="R134" s="184"/>
      <c r="S134" s="184"/>
      <c r="T134" s="184"/>
      <c r="U134" s="184"/>
      <c r="V134" s="184"/>
      <c r="W134" s="150"/>
      <c r="X134" s="133"/>
      <c r="Y134" s="133"/>
      <c r="Z134" s="133"/>
      <c r="AA134" s="133"/>
      <c r="AB134" s="135"/>
      <c r="AC134" s="133"/>
      <c r="AD134" s="133"/>
      <c r="AE134" s="133"/>
      <c r="AF134" s="133"/>
      <c r="AG134" s="169"/>
      <c r="AH134" s="150"/>
      <c r="AI134" s="132"/>
      <c r="AJ134" s="132"/>
      <c r="AK134" s="133"/>
      <c r="AL134" s="133"/>
      <c r="AM134" s="133"/>
      <c r="AN134" s="133"/>
      <c r="AO134" s="133"/>
      <c r="AP134" s="133"/>
      <c r="AQ134" s="133"/>
      <c r="AR134" s="133"/>
      <c r="AS134" s="133"/>
      <c r="AT134" s="133"/>
      <c r="AU134" s="133"/>
      <c r="AV134" s="133"/>
      <c r="AW134" s="133"/>
      <c r="AX134" s="133"/>
      <c r="AY134" s="133"/>
      <c r="AZ134" s="142"/>
      <c r="BA134" s="132"/>
    </row>
    <row r="135" spans="1:53" ht="14.6" outlineLevel="3" x14ac:dyDescent="0.4">
      <c r="A135" s="143" t="s">
        <v>229</v>
      </c>
      <c r="B135" s="133" t="s">
        <v>139</v>
      </c>
      <c r="C135" s="144">
        <v>4</v>
      </c>
      <c r="D135" s="145"/>
      <c r="E135" s="173"/>
      <c r="F135" s="132"/>
      <c r="G135" s="133"/>
      <c r="H135" s="133"/>
      <c r="I135" s="169"/>
      <c r="J135" s="150"/>
      <c r="K135" s="133"/>
      <c r="L135" s="133"/>
      <c r="M135" s="184"/>
      <c r="N135" s="184"/>
      <c r="O135" s="184"/>
      <c r="P135" s="184"/>
      <c r="Q135" s="184"/>
      <c r="R135" s="184"/>
      <c r="S135" s="184"/>
      <c r="T135" s="184"/>
      <c r="U135" s="184"/>
      <c r="V135" s="184"/>
      <c r="W135" s="150"/>
      <c r="X135" s="133"/>
      <c r="Y135" s="133"/>
      <c r="Z135" s="133"/>
      <c r="AA135" s="133"/>
      <c r="AB135" s="175"/>
      <c r="AC135" s="133"/>
      <c r="AD135" s="133"/>
      <c r="AE135" s="133"/>
      <c r="AF135" s="133"/>
      <c r="AG135" s="169"/>
      <c r="AH135" s="150"/>
      <c r="AI135" s="132"/>
      <c r="AJ135" s="132"/>
      <c r="AK135" s="133"/>
      <c r="AL135" s="133"/>
      <c r="AM135" s="133"/>
      <c r="AN135" s="133"/>
      <c r="AO135" s="133"/>
      <c r="AP135" s="133"/>
      <c r="AQ135" s="133"/>
      <c r="AR135" s="133"/>
      <c r="AS135" s="133"/>
      <c r="AT135" s="133"/>
      <c r="AU135" s="133"/>
      <c r="AV135" s="133"/>
      <c r="AW135" s="133"/>
      <c r="AX135" s="133"/>
      <c r="AY135" s="133"/>
      <c r="AZ135" s="142"/>
      <c r="BA135" s="132"/>
    </row>
    <row r="136" spans="1:53" ht="14.6" outlineLevel="3" x14ac:dyDescent="0.4">
      <c r="A136" s="143" t="s">
        <v>230</v>
      </c>
      <c r="B136" s="133" t="s">
        <v>75</v>
      </c>
      <c r="C136" s="144">
        <v>2</v>
      </c>
      <c r="D136" s="145"/>
      <c r="E136" s="173"/>
      <c r="F136" s="132"/>
      <c r="G136" s="133"/>
      <c r="H136" s="133"/>
      <c r="I136" s="169"/>
      <c r="J136" s="150"/>
      <c r="K136" s="133"/>
      <c r="L136" s="133"/>
      <c r="M136" s="184"/>
      <c r="N136" s="184"/>
      <c r="O136" s="184"/>
      <c r="P136" s="184"/>
      <c r="Q136" s="184"/>
      <c r="R136" s="184"/>
      <c r="S136" s="184"/>
      <c r="T136" s="184"/>
      <c r="U136" s="184"/>
      <c r="V136" s="184"/>
      <c r="W136" s="150"/>
      <c r="X136" s="133"/>
      <c r="Y136" s="133"/>
      <c r="Z136" s="133"/>
      <c r="AA136" s="133"/>
      <c r="AB136" s="151"/>
      <c r="AC136" s="133"/>
      <c r="AD136" s="133"/>
      <c r="AE136" s="133"/>
      <c r="AF136" s="133"/>
      <c r="AG136" s="169"/>
      <c r="AH136" s="150"/>
      <c r="AI136" s="132"/>
      <c r="AJ136" s="132"/>
      <c r="AK136" s="133"/>
      <c r="AL136" s="133"/>
      <c r="AM136" s="133"/>
      <c r="AN136" s="133"/>
      <c r="AO136" s="133"/>
      <c r="AP136" s="133"/>
      <c r="AQ136" s="133"/>
      <c r="AR136" s="133"/>
      <c r="AS136" s="133"/>
      <c r="AT136" s="133"/>
      <c r="AU136" s="133"/>
      <c r="AV136" s="133"/>
      <c r="AW136" s="133"/>
      <c r="AX136" s="133"/>
      <c r="AY136" s="133"/>
      <c r="AZ136" s="142"/>
      <c r="BA136" s="132"/>
    </row>
    <row r="137" spans="1:53" ht="14.6" outlineLevel="3" x14ac:dyDescent="0.4">
      <c r="A137" s="143" t="s">
        <v>231</v>
      </c>
      <c r="B137" s="133" t="s">
        <v>77</v>
      </c>
      <c r="C137" s="144">
        <v>1</v>
      </c>
      <c r="D137" s="145"/>
      <c r="E137" s="173"/>
      <c r="F137" s="132"/>
      <c r="G137" s="133"/>
      <c r="H137" s="133"/>
      <c r="I137" s="169"/>
      <c r="J137" s="150"/>
      <c r="K137" s="133"/>
      <c r="L137" s="133"/>
      <c r="M137" s="184"/>
      <c r="N137" s="184"/>
      <c r="O137" s="184"/>
      <c r="P137" s="184"/>
      <c r="Q137" s="184"/>
      <c r="R137" s="184"/>
      <c r="S137" s="184"/>
      <c r="T137" s="184"/>
      <c r="U137" s="184"/>
      <c r="V137" s="184"/>
      <c r="W137" s="150"/>
      <c r="X137" s="133"/>
      <c r="Y137" s="133"/>
      <c r="Z137" s="133"/>
      <c r="AA137" s="133"/>
      <c r="AB137" s="151"/>
      <c r="AC137" s="133"/>
      <c r="AD137" s="133"/>
      <c r="AE137" s="133"/>
      <c r="AF137" s="133"/>
      <c r="AG137" s="169"/>
      <c r="AH137" s="150"/>
      <c r="AI137" s="132"/>
      <c r="AJ137" s="132"/>
      <c r="AK137" s="133"/>
      <c r="AL137" s="133"/>
      <c r="AM137" s="133"/>
      <c r="AN137" s="133"/>
      <c r="AO137" s="133"/>
      <c r="AP137" s="133"/>
      <c r="AQ137" s="133"/>
      <c r="AR137" s="133"/>
      <c r="AS137" s="133"/>
      <c r="AT137" s="133"/>
      <c r="AU137" s="133"/>
      <c r="AV137" s="133"/>
      <c r="AW137" s="133"/>
      <c r="AX137" s="133"/>
      <c r="AY137" s="133"/>
      <c r="AZ137" s="142"/>
      <c r="BA137" s="132"/>
    </row>
    <row r="138" spans="1:53" ht="14.6" outlineLevel="2" x14ac:dyDescent="0.4">
      <c r="A138" s="134" t="s">
        <v>232</v>
      </c>
      <c r="B138" s="135" t="s">
        <v>143</v>
      </c>
      <c r="C138" s="136">
        <f>SUM(C139:C141)</f>
        <v>7</v>
      </c>
      <c r="D138" s="137">
        <f>E138/ORÇAMENTO!$K$125</f>
        <v>6.0084685483774696E-3</v>
      </c>
      <c r="E138" s="168">
        <f>C139*$O$265/$M$265</f>
        <v>8503.9385121278738</v>
      </c>
      <c r="F138" s="132"/>
      <c r="G138" s="133"/>
      <c r="H138" s="133"/>
      <c r="I138" s="169"/>
      <c r="J138" s="150"/>
      <c r="K138" s="133"/>
      <c r="L138" s="133"/>
      <c r="M138" s="184"/>
      <c r="N138" s="184"/>
      <c r="O138" s="184"/>
      <c r="P138" s="184"/>
      <c r="Q138" s="184"/>
      <c r="R138" s="184"/>
      <c r="S138" s="184"/>
      <c r="T138" s="184"/>
      <c r="U138" s="184"/>
      <c r="V138" s="184"/>
      <c r="W138" s="150"/>
      <c r="X138" s="133"/>
      <c r="Y138" s="133"/>
      <c r="Z138" s="133"/>
      <c r="AA138" s="133"/>
      <c r="AB138" s="135"/>
      <c r="AC138" s="133"/>
      <c r="AD138" s="133"/>
      <c r="AE138" s="133"/>
      <c r="AF138" s="133"/>
      <c r="AG138" s="169"/>
      <c r="AH138" s="150"/>
      <c r="AI138" s="132"/>
      <c r="AJ138" s="132"/>
      <c r="AK138" s="133"/>
      <c r="AL138" s="133"/>
      <c r="AM138" s="133"/>
      <c r="AN138" s="133"/>
      <c r="AO138" s="133"/>
      <c r="AP138" s="133"/>
      <c r="AQ138" s="133"/>
      <c r="AR138" s="133"/>
      <c r="AS138" s="133"/>
      <c r="AT138" s="133"/>
      <c r="AU138" s="133"/>
      <c r="AV138" s="133"/>
      <c r="AW138" s="133"/>
      <c r="AX138" s="133"/>
      <c r="AY138" s="133"/>
      <c r="AZ138" s="142"/>
      <c r="BA138" s="132"/>
    </row>
    <row r="139" spans="1:53" ht="14.6" outlineLevel="3" x14ac:dyDescent="0.4">
      <c r="A139" s="143" t="s">
        <v>234</v>
      </c>
      <c r="B139" s="133" t="s">
        <v>145</v>
      </c>
      <c r="C139" s="144">
        <v>4</v>
      </c>
      <c r="D139" s="145"/>
      <c r="E139" s="173"/>
      <c r="F139" s="132"/>
      <c r="G139" s="133"/>
      <c r="H139" s="133"/>
      <c r="I139" s="169"/>
      <c r="J139" s="150"/>
      <c r="K139" s="133"/>
      <c r="L139" s="133"/>
      <c r="M139" s="184"/>
      <c r="N139" s="184"/>
      <c r="O139" s="184"/>
      <c r="P139" s="184"/>
      <c r="Q139" s="184"/>
      <c r="R139" s="184"/>
      <c r="S139" s="184"/>
      <c r="T139" s="184"/>
      <c r="U139" s="184"/>
      <c r="V139" s="184"/>
      <c r="W139" s="150"/>
      <c r="X139" s="133"/>
      <c r="Y139" s="133"/>
      <c r="Z139" s="133"/>
      <c r="AA139" s="133"/>
      <c r="AB139" s="175"/>
      <c r="AC139" s="133"/>
      <c r="AD139" s="133"/>
      <c r="AE139" s="133"/>
      <c r="AF139" s="133"/>
      <c r="AG139" s="169"/>
      <c r="AH139" s="150"/>
      <c r="AI139" s="132"/>
      <c r="AJ139" s="132"/>
      <c r="AK139" s="133"/>
      <c r="AL139" s="133"/>
      <c r="AM139" s="133"/>
      <c r="AN139" s="133"/>
      <c r="AO139" s="133"/>
      <c r="AP139" s="133"/>
      <c r="AQ139" s="133"/>
      <c r="AR139" s="133"/>
      <c r="AS139" s="133"/>
      <c r="AT139" s="133"/>
      <c r="AU139" s="133"/>
      <c r="AV139" s="133"/>
      <c r="AW139" s="133"/>
      <c r="AX139" s="133"/>
      <c r="AY139" s="133"/>
      <c r="AZ139" s="142"/>
      <c r="BA139" s="132"/>
    </row>
    <row r="140" spans="1:53" ht="14.6" outlineLevel="3" x14ac:dyDescent="0.4">
      <c r="A140" s="143" t="s">
        <v>236</v>
      </c>
      <c r="B140" s="133" t="s">
        <v>75</v>
      </c>
      <c r="C140" s="144">
        <v>2</v>
      </c>
      <c r="D140" s="145"/>
      <c r="E140" s="173"/>
      <c r="F140" s="132"/>
      <c r="G140" s="133"/>
      <c r="H140" s="133"/>
      <c r="I140" s="169"/>
      <c r="J140" s="150"/>
      <c r="K140" s="133"/>
      <c r="L140" s="133"/>
      <c r="M140" s="184"/>
      <c r="N140" s="184"/>
      <c r="O140" s="184"/>
      <c r="P140" s="184"/>
      <c r="Q140" s="184"/>
      <c r="R140" s="184"/>
      <c r="S140" s="184"/>
      <c r="T140" s="184"/>
      <c r="U140" s="184"/>
      <c r="V140" s="184"/>
      <c r="W140" s="150"/>
      <c r="X140" s="133"/>
      <c r="Y140" s="133"/>
      <c r="Z140" s="133"/>
      <c r="AA140" s="133"/>
      <c r="AB140" s="151"/>
      <c r="AC140" s="133"/>
      <c r="AD140" s="133"/>
      <c r="AE140" s="133"/>
      <c r="AF140" s="133"/>
      <c r="AG140" s="169"/>
      <c r="AH140" s="150"/>
      <c r="AI140" s="132"/>
      <c r="AJ140" s="132"/>
      <c r="AK140" s="133"/>
      <c r="AL140" s="133"/>
      <c r="AM140" s="133"/>
      <c r="AN140" s="133"/>
      <c r="AO140" s="133"/>
      <c r="AP140" s="133"/>
      <c r="AQ140" s="133"/>
      <c r="AR140" s="133"/>
      <c r="AS140" s="133"/>
      <c r="AT140" s="133"/>
      <c r="AU140" s="133"/>
      <c r="AV140" s="133"/>
      <c r="AW140" s="133"/>
      <c r="AX140" s="133"/>
      <c r="AY140" s="133"/>
      <c r="AZ140" s="142"/>
      <c r="BA140" s="132"/>
    </row>
    <row r="141" spans="1:53" ht="14.6" outlineLevel="3" x14ac:dyDescent="0.4">
      <c r="A141" s="143" t="s">
        <v>237</v>
      </c>
      <c r="B141" s="133" t="s">
        <v>77</v>
      </c>
      <c r="C141" s="144">
        <v>1</v>
      </c>
      <c r="D141" s="145"/>
      <c r="E141" s="173"/>
      <c r="F141" s="132"/>
      <c r="G141" s="133"/>
      <c r="H141" s="133"/>
      <c r="I141" s="169"/>
      <c r="J141" s="150"/>
      <c r="K141" s="133"/>
      <c r="L141" s="133"/>
      <c r="M141" s="184"/>
      <c r="N141" s="184"/>
      <c r="O141" s="184"/>
      <c r="P141" s="184"/>
      <c r="Q141" s="184"/>
      <c r="R141" s="184"/>
      <c r="S141" s="184"/>
      <c r="T141" s="184"/>
      <c r="U141" s="184"/>
      <c r="V141" s="184"/>
      <c r="W141" s="150"/>
      <c r="X141" s="133"/>
      <c r="Y141" s="133"/>
      <c r="Z141" s="133"/>
      <c r="AA141" s="133"/>
      <c r="AB141" s="151"/>
      <c r="AC141" s="133"/>
      <c r="AD141" s="133"/>
      <c r="AE141" s="133"/>
      <c r="AF141" s="133"/>
      <c r="AG141" s="169"/>
      <c r="AH141" s="150"/>
      <c r="AI141" s="132"/>
      <c r="AJ141" s="132"/>
      <c r="AK141" s="133"/>
      <c r="AL141" s="133"/>
      <c r="AM141" s="133"/>
      <c r="AN141" s="133"/>
      <c r="AO141" s="133"/>
      <c r="AP141" s="133"/>
      <c r="AQ141" s="133"/>
      <c r="AR141" s="133"/>
      <c r="AS141" s="133"/>
      <c r="AT141" s="133"/>
      <c r="AU141" s="133"/>
      <c r="AV141" s="133"/>
      <c r="AW141" s="133"/>
      <c r="AX141" s="133"/>
      <c r="AY141" s="133"/>
      <c r="AZ141" s="142"/>
      <c r="BA141" s="132"/>
    </row>
    <row r="142" spans="1:53" ht="14.6" outlineLevel="2" x14ac:dyDescent="0.4">
      <c r="A142" s="134" t="s">
        <v>238</v>
      </c>
      <c r="B142" s="135" t="s">
        <v>149</v>
      </c>
      <c r="C142" s="136">
        <f>SUM(C143:C145)</f>
        <v>49</v>
      </c>
      <c r="D142" s="137">
        <f>E142/ORÇAMENTO!$K$125</f>
        <v>7.9331938333903923E-2</v>
      </c>
      <c r="E142" s="168">
        <f>C143*$O$266/$M$266</f>
        <v>112280.51211512421</v>
      </c>
      <c r="F142" s="132"/>
      <c r="G142" s="133"/>
      <c r="H142" s="133"/>
      <c r="I142" s="169"/>
      <c r="J142" s="150"/>
      <c r="K142" s="133"/>
      <c r="L142" s="133"/>
      <c r="M142" s="184"/>
      <c r="N142" s="184"/>
      <c r="O142" s="184"/>
      <c r="P142" s="184"/>
      <c r="Q142" s="184"/>
      <c r="R142" s="184"/>
      <c r="S142" s="184"/>
      <c r="T142" s="184"/>
      <c r="U142" s="184"/>
      <c r="V142" s="184"/>
      <c r="W142" s="150"/>
      <c r="X142" s="133"/>
      <c r="Y142" s="133"/>
      <c r="Z142" s="152"/>
      <c r="AA142" s="140"/>
      <c r="AB142" s="140"/>
      <c r="AC142" s="140"/>
      <c r="AD142" s="140"/>
      <c r="AE142" s="140"/>
      <c r="AF142" s="141"/>
      <c r="AG142" s="169"/>
      <c r="AH142" s="150"/>
      <c r="AI142" s="132"/>
      <c r="AJ142" s="132"/>
      <c r="AK142" s="133"/>
      <c r="AL142" s="133"/>
      <c r="AM142" s="133"/>
      <c r="AN142" s="133"/>
      <c r="AO142" s="133"/>
      <c r="AP142" s="133"/>
      <c r="AQ142" s="133"/>
      <c r="AR142" s="133"/>
      <c r="AS142" s="133"/>
      <c r="AT142" s="133"/>
      <c r="AU142" s="133"/>
      <c r="AV142" s="133"/>
      <c r="AW142" s="133"/>
      <c r="AX142" s="133"/>
      <c r="AY142" s="133"/>
      <c r="AZ142" s="142"/>
      <c r="BA142" s="132"/>
    </row>
    <row r="143" spans="1:53" ht="14.6" outlineLevel="3" x14ac:dyDescent="0.4">
      <c r="A143" s="143" t="s">
        <v>239</v>
      </c>
      <c r="B143" s="133" t="s">
        <v>151</v>
      </c>
      <c r="C143" s="144">
        <v>35</v>
      </c>
      <c r="D143" s="145"/>
      <c r="E143" s="173"/>
      <c r="F143" s="132"/>
      <c r="G143" s="133"/>
      <c r="H143" s="133"/>
      <c r="I143" s="169"/>
      <c r="J143" s="150"/>
      <c r="K143" s="133"/>
      <c r="L143" s="133"/>
      <c r="M143" s="184"/>
      <c r="N143" s="184"/>
      <c r="O143" s="184"/>
      <c r="P143" s="184"/>
      <c r="Q143" s="184"/>
      <c r="R143" s="184"/>
      <c r="S143" s="184"/>
      <c r="T143" s="184"/>
      <c r="U143" s="184"/>
      <c r="V143" s="184"/>
      <c r="W143" s="150"/>
      <c r="X143" s="133"/>
      <c r="Y143" s="133"/>
      <c r="Z143" s="154"/>
      <c r="AA143" s="148"/>
      <c r="AB143" s="148"/>
      <c r="AC143" s="148"/>
      <c r="AD143" s="149"/>
      <c r="AE143" s="133"/>
      <c r="AF143" s="133"/>
      <c r="AG143" s="169"/>
      <c r="AH143" s="150"/>
      <c r="AI143" s="132"/>
      <c r="AJ143" s="132"/>
      <c r="AK143" s="133"/>
      <c r="AL143" s="133"/>
      <c r="AM143" s="133"/>
      <c r="AN143" s="133"/>
      <c r="AO143" s="133"/>
      <c r="AP143" s="133"/>
      <c r="AQ143" s="133"/>
      <c r="AR143" s="133"/>
      <c r="AS143" s="133"/>
      <c r="AT143" s="133"/>
      <c r="AU143" s="133"/>
      <c r="AV143" s="133"/>
      <c r="AW143" s="133"/>
      <c r="AX143" s="133"/>
      <c r="AY143" s="133"/>
      <c r="AZ143" s="142"/>
      <c r="BA143" s="132"/>
    </row>
    <row r="144" spans="1:53" ht="14.6" outlineLevel="3" x14ac:dyDescent="0.4">
      <c r="A144" s="143" t="s">
        <v>240</v>
      </c>
      <c r="B144" s="133" t="s">
        <v>75</v>
      </c>
      <c r="C144" s="144">
        <v>12</v>
      </c>
      <c r="D144" s="145"/>
      <c r="E144" s="173"/>
      <c r="F144" s="132"/>
      <c r="G144" s="133"/>
      <c r="H144" s="133"/>
      <c r="I144" s="169"/>
      <c r="J144" s="150"/>
      <c r="K144" s="133"/>
      <c r="L144" s="133"/>
      <c r="M144" s="184"/>
      <c r="N144" s="184"/>
      <c r="O144" s="184"/>
      <c r="P144" s="184"/>
      <c r="Q144" s="184"/>
      <c r="R144" s="184"/>
      <c r="S144" s="184"/>
      <c r="T144" s="184"/>
      <c r="U144" s="184"/>
      <c r="V144" s="184"/>
      <c r="W144" s="150"/>
      <c r="X144" s="133"/>
      <c r="Y144" s="133"/>
      <c r="Z144" s="133"/>
      <c r="AA144" s="133"/>
      <c r="AB144" s="133"/>
      <c r="AC144" s="133"/>
      <c r="AD144" s="133"/>
      <c r="AE144" s="176"/>
      <c r="AF144" s="177"/>
      <c r="AG144" s="169"/>
      <c r="AH144" s="150"/>
      <c r="AI144" s="132"/>
      <c r="AJ144" s="132"/>
      <c r="AK144" s="133"/>
      <c r="AL144" s="133"/>
      <c r="AM144" s="133"/>
      <c r="AN144" s="133"/>
      <c r="AO144" s="133"/>
      <c r="AP144" s="133"/>
      <c r="AQ144" s="133"/>
      <c r="AR144" s="133"/>
      <c r="AS144" s="133"/>
      <c r="AT144" s="133"/>
      <c r="AU144" s="133"/>
      <c r="AV144" s="133"/>
      <c r="AW144" s="133"/>
      <c r="AX144" s="133"/>
      <c r="AY144" s="133"/>
      <c r="AZ144" s="142"/>
      <c r="BA144" s="132"/>
    </row>
    <row r="145" spans="1:53" ht="14.6" outlineLevel="3" x14ac:dyDescent="0.4">
      <c r="A145" s="143" t="s">
        <v>241</v>
      </c>
      <c r="B145" s="133" t="s">
        <v>77</v>
      </c>
      <c r="C145" s="144">
        <v>2</v>
      </c>
      <c r="D145" s="145"/>
      <c r="E145" s="173"/>
      <c r="F145" s="132"/>
      <c r="G145" s="133"/>
      <c r="H145" s="133"/>
      <c r="I145" s="169"/>
      <c r="J145" s="150"/>
      <c r="K145" s="133"/>
      <c r="L145" s="133"/>
      <c r="M145" s="184"/>
      <c r="N145" s="184"/>
      <c r="O145" s="184"/>
      <c r="P145" s="184"/>
      <c r="Q145" s="184"/>
      <c r="R145" s="184"/>
      <c r="S145" s="184"/>
      <c r="T145" s="184"/>
      <c r="U145" s="184"/>
      <c r="V145" s="184"/>
      <c r="W145" s="150"/>
      <c r="X145" s="133"/>
      <c r="Y145" s="133"/>
      <c r="Z145" s="133"/>
      <c r="AA145" s="133"/>
      <c r="AB145" s="133"/>
      <c r="AC145" s="133"/>
      <c r="AD145" s="133"/>
      <c r="AE145" s="133"/>
      <c r="AF145" s="151"/>
      <c r="AG145" s="169"/>
      <c r="AH145" s="150"/>
      <c r="AI145" s="132"/>
      <c r="AJ145" s="132"/>
      <c r="AK145" s="133"/>
      <c r="AL145" s="133"/>
      <c r="AM145" s="133"/>
      <c r="AN145" s="133"/>
      <c r="AO145" s="133"/>
      <c r="AP145" s="133"/>
      <c r="AQ145" s="133"/>
      <c r="AR145" s="133"/>
      <c r="AS145" s="133"/>
      <c r="AT145" s="133"/>
      <c r="AU145" s="133"/>
      <c r="AV145" s="133"/>
      <c r="AW145" s="133"/>
      <c r="AX145" s="133"/>
      <c r="AY145" s="133"/>
      <c r="AZ145" s="142"/>
      <c r="BA145" s="132"/>
    </row>
    <row r="146" spans="1:53" ht="14.6" outlineLevel="2" x14ac:dyDescent="0.4">
      <c r="A146" s="134" t="s">
        <v>242</v>
      </c>
      <c r="B146" s="135" t="s">
        <v>155</v>
      </c>
      <c r="C146" s="136">
        <f>SUM(C147:C149)</f>
        <v>5</v>
      </c>
      <c r="D146" s="137">
        <f>E146/ORÇAMENTO!$K$125</f>
        <v>4.0207262920263949E-3</v>
      </c>
      <c r="E146" s="168">
        <f>C147*$O$267/$M$267</f>
        <v>5690.6362887963514</v>
      </c>
      <c r="F146" s="132"/>
      <c r="G146" s="133"/>
      <c r="H146" s="133"/>
      <c r="I146" s="169"/>
      <c r="J146" s="150"/>
      <c r="K146" s="133"/>
      <c r="L146" s="133"/>
      <c r="M146" s="184"/>
      <c r="N146" s="184"/>
      <c r="O146" s="184"/>
      <c r="P146" s="184"/>
      <c r="Q146" s="184"/>
      <c r="R146" s="184"/>
      <c r="S146" s="184"/>
      <c r="T146" s="184"/>
      <c r="U146" s="184"/>
      <c r="V146" s="184"/>
      <c r="W146" s="150"/>
      <c r="X146" s="133"/>
      <c r="Y146" s="133"/>
      <c r="Z146" s="135"/>
      <c r="AA146" s="133"/>
      <c r="AB146" s="133"/>
      <c r="AC146" s="133"/>
      <c r="AD146" s="133"/>
      <c r="AE146" s="133"/>
      <c r="AF146" s="133"/>
      <c r="AG146" s="169"/>
      <c r="AH146" s="150"/>
      <c r="AI146" s="132"/>
      <c r="AJ146" s="132"/>
      <c r="AK146" s="133"/>
      <c r="AL146" s="133"/>
      <c r="AM146" s="133"/>
      <c r="AN146" s="133"/>
      <c r="AO146" s="133"/>
      <c r="AP146" s="133"/>
      <c r="AQ146" s="133"/>
      <c r="AR146" s="133"/>
      <c r="AS146" s="133"/>
      <c r="AT146" s="133"/>
      <c r="AU146" s="133"/>
      <c r="AV146" s="133"/>
      <c r="AW146" s="133"/>
      <c r="AX146" s="133"/>
      <c r="AY146" s="133"/>
      <c r="AZ146" s="142"/>
      <c r="BA146" s="132"/>
    </row>
    <row r="147" spans="1:53" ht="14.6" outlineLevel="3" x14ac:dyDescent="0.4">
      <c r="A147" s="143" t="s">
        <v>243</v>
      </c>
      <c r="B147" s="133" t="s">
        <v>157</v>
      </c>
      <c r="C147" s="144">
        <v>3</v>
      </c>
      <c r="D147" s="145"/>
      <c r="E147" s="173"/>
      <c r="F147" s="132"/>
      <c r="G147" s="133"/>
      <c r="H147" s="133"/>
      <c r="I147" s="169"/>
      <c r="J147" s="150"/>
      <c r="K147" s="133"/>
      <c r="L147" s="133"/>
      <c r="M147" s="184"/>
      <c r="N147" s="184"/>
      <c r="O147" s="184"/>
      <c r="P147" s="184"/>
      <c r="Q147" s="184"/>
      <c r="R147" s="184"/>
      <c r="S147" s="184"/>
      <c r="T147" s="184"/>
      <c r="U147" s="184"/>
      <c r="V147" s="184"/>
      <c r="W147" s="187"/>
      <c r="X147" s="184"/>
      <c r="Y147" s="184"/>
      <c r="Z147" s="175"/>
      <c r="AA147" s="133"/>
      <c r="AB147" s="133"/>
      <c r="AC147" s="133"/>
      <c r="AD147" s="133"/>
      <c r="AE147" s="133"/>
      <c r="AF147" s="133"/>
      <c r="AG147" s="169"/>
      <c r="AH147" s="150"/>
      <c r="AI147" s="132"/>
      <c r="AJ147" s="132"/>
      <c r="AK147" s="133"/>
      <c r="AL147" s="133"/>
      <c r="AM147" s="133"/>
      <c r="AN147" s="133"/>
      <c r="AO147" s="133"/>
      <c r="AP147" s="133"/>
      <c r="AQ147" s="133"/>
      <c r="AR147" s="133"/>
      <c r="AS147" s="133"/>
      <c r="AT147" s="133"/>
      <c r="AU147" s="133"/>
      <c r="AV147" s="133"/>
      <c r="AW147" s="133"/>
      <c r="AX147" s="133"/>
      <c r="AY147" s="133"/>
      <c r="AZ147" s="142"/>
      <c r="BA147" s="132"/>
    </row>
    <row r="148" spans="1:53" ht="14.6" outlineLevel="3" x14ac:dyDescent="0.4">
      <c r="A148" s="143" t="s">
        <v>244</v>
      </c>
      <c r="B148" s="133" t="s">
        <v>75</v>
      </c>
      <c r="C148" s="144">
        <v>1</v>
      </c>
      <c r="D148" s="145"/>
      <c r="E148" s="173"/>
      <c r="F148" s="132"/>
      <c r="G148" s="133"/>
      <c r="H148" s="133"/>
      <c r="I148" s="169"/>
      <c r="J148" s="150"/>
      <c r="K148" s="133"/>
      <c r="L148" s="133"/>
      <c r="M148" s="184"/>
      <c r="N148" s="184"/>
      <c r="O148" s="184"/>
      <c r="P148" s="184"/>
      <c r="Q148" s="184"/>
      <c r="R148" s="184"/>
      <c r="S148" s="184"/>
      <c r="T148" s="184"/>
      <c r="U148" s="184"/>
      <c r="V148" s="184"/>
      <c r="W148" s="187"/>
      <c r="X148" s="184"/>
      <c r="Y148" s="184"/>
      <c r="Z148" s="151"/>
      <c r="AA148" s="133"/>
      <c r="AB148" s="133"/>
      <c r="AC148" s="133"/>
      <c r="AD148" s="133"/>
      <c r="AE148" s="133"/>
      <c r="AF148" s="133"/>
      <c r="AG148" s="169"/>
      <c r="AH148" s="150"/>
      <c r="AI148" s="132"/>
      <c r="AJ148" s="132"/>
      <c r="AK148" s="133"/>
      <c r="AL148" s="133"/>
      <c r="AM148" s="133"/>
      <c r="AN148" s="133"/>
      <c r="AO148" s="133"/>
      <c r="AP148" s="133"/>
      <c r="AQ148" s="133"/>
      <c r="AR148" s="133"/>
      <c r="AS148" s="133"/>
      <c r="AT148" s="133"/>
      <c r="AU148" s="133"/>
      <c r="AV148" s="133"/>
      <c r="AW148" s="133"/>
      <c r="AX148" s="133"/>
      <c r="AY148" s="133"/>
      <c r="AZ148" s="142"/>
      <c r="BA148" s="132"/>
    </row>
    <row r="149" spans="1:53" ht="14.6" outlineLevel="3" x14ac:dyDescent="0.4">
      <c r="A149" s="143" t="s">
        <v>245</v>
      </c>
      <c r="B149" s="133" t="s">
        <v>77</v>
      </c>
      <c r="C149" s="144">
        <v>1</v>
      </c>
      <c r="D149" s="145"/>
      <c r="E149" s="173"/>
      <c r="F149" s="132"/>
      <c r="G149" s="133"/>
      <c r="H149" s="133"/>
      <c r="I149" s="169"/>
      <c r="J149" s="150"/>
      <c r="K149" s="133"/>
      <c r="L149" s="133"/>
      <c r="M149" s="184"/>
      <c r="N149" s="184"/>
      <c r="O149" s="184"/>
      <c r="P149" s="184"/>
      <c r="Q149" s="184"/>
      <c r="R149" s="184"/>
      <c r="S149" s="184"/>
      <c r="T149" s="184"/>
      <c r="U149" s="184"/>
      <c r="V149" s="184"/>
      <c r="W149" s="187"/>
      <c r="X149" s="184"/>
      <c r="Y149" s="184"/>
      <c r="Z149" s="151"/>
      <c r="AA149" s="133"/>
      <c r="AB149" s="133"/>
      <c r="AC149" s="133"/>
      <c r="AD149" s="133"/>
      <c r="AE149" s="133"/>
      <c r="AF149" s="133"/>
      <c r="AG149" s="169"/>
      <c r="AH149" s="150"/>
      <c r="AI149" s="132"/>
      <c r="AJ149" s="132"/>
      <c r="AK149" s="133"/>
      <c r="AL149" s="133"/>
      <c r="AM149" s="133"/>
      <c r="AN149" s="133"/>
      <c r="AO149" s="133"/>
      <c r="AP149" s="133"/>
      <c r="AQ149" s="133"/>
      <c r="AR149" s="133"/>
      <c r="AS149" s="133"/>
      <c r="AT149" s="133"/>
      <c r="AU149" s="133"/>
      <c r="AV149" s="133"/>
      <c r="AW149" s="133"/>
      <c r="AX149" s="133"/>
      <c r="AY149" s="133"/>
      <c r="AZ149" s="142"/>
      <c r="BA149" s="132"/>
    </row>
    <row r="150" spans="1:53" ht="14.6" outlineLevel="2" x14ac:dyDescent="0.4">
      <c r="A150" s="134" t="s">
        <v>246</v>
      </c>
      <c r="B150" s="135" t="s">
        <v>161</v>
      </c>
      <c r="C150" s="136">
        <f>SUM(C151:C153)</f>
        <v>9</v>
      </c>
      <c r="D150" s="137">
        <f>E150/ORÇAMENTO!$K$125</f>
        <v>7.5105853555325411E-3</v>
      </c>
      <c r="E150" s="168">
        <f>C151*$O$268/$M$268</f>
        <v>10629.922673188357</v>
      </c>
      <c r="F150" s="132"/>
      <c r="G150" s="133"/>
      <c r="H150" s="133"/>
      <c r="I150" s="169"/>
      <c r="J150" s="150"/>
      <c r="K150" s="133"/>
      <c r="L150" s="133"/>
      <c r="M150" s="184"/>
      <c r="N150" s="184"/>
      <c r="O150" s="184"/>
      <c r="P150" s="184"/>
      <c r="Q150" s="184"/>
      <c r="R150" s="184"/>
      <c r="S150" s="184"/>
      <c r="T150" s="184"/>
      <c r="U150" s="184"/>
      <c r="V150" s="184"/>
      <c r="W150" s="187"/>
      <c r="X150" s="184"/>
      <c r="Y150" s="184"/>
      <c r="Z150" s="133"/>
      <c r="AA150" s="133"/>
      <c r="AB150" s="133"/>
      <c r="AC150" s="135"/>
      <c r="AD150" s="133"/>
      <c r="AE150" s="133"/>
      <c r="AF150" s="133"/>
      <c r="AG150" s="152"/>
      <c r="AH150" s="150"/>
      <c r="AI150" s="132"/>
      <c r="AJ150" s="132"/>
      <c r="AK150" s="133"/>
      <c r="AL150" s="133"/>
      <c r="AM150" s="133"/>
      <c r="AN150" s="133"/>
      <c r="AO150" s="133"/>
      <c r="AP150" s="133"/>
      <c r="AQ150" s="133"/>
      <c r="AR150" s="133"/>
      <c r="AS150" s="133"/>
      <c r="AT150" s="133"/>
      <c r="AU150" s="133"/>
      <c r="AV150" s="133"/>
      <c r="AW150" s="133"/>
      <c r="AX150" s="133"/>
      <c r="AY150" s="133"/>
      <c r="AZ150" s="142"/>
      <c r="BA150" s="132"/>
    </row>
    <row r="151" spans="1:53" ht="14.6" outlineLevel="3" x14ac:dyDescent="0.4">
      <c r="A151" s="143" t="s">
        <v>247</v>
      </c>
      <c r="B151" s="133" t="s">
        <v>163</v>
      </c>
      <c r="C151" s="144">
        <f>2+3</f>
        <v>5</v>
      </c>
      <c r="D151" s="145"/>
      <c r="E151" s="173"/>
      <c r="F151" s="132"/>
      <c r="G151" s="133"/>
      <c r="H151" s="133"/>
      <c r="I151" s="169"/>
      <c r="J151" s="150"/>
      <c r="K151" s="133"/>
      <c r="L151" s="133"/>
      <c r="M151" s="184"/>
      <c r="N151" s="184"/>
      <c r="O151" s="184"/>
      <c r="P151" s="184"/>
      <c r="Q151" s="184"/>
      <c r="R151" s="184"/>
      <c r="S151" s="184"/>
      <c r="T151" s="184"/>
      <c r="U151" s="184"/>
      <c r="V151" s="184"/>
      <c r="W151" s="187"/>
      <c r="X151" s="184"/>
      <c r="Y151" s="184"/>
      <c r="Z151" s="184"/>
      <c r="AA151" s="184"/>
      <c r="AB151" s="184"/>
      <c r="AC151" s="175"/>
      <c r="AD151" s="133"/>
      <c r="AE151" s="133"/>
      <c r="AF151" s="133"/>
      <c r="AG151" s="154"/>
      <c r="AH151" s="150"/>
      <c r="AI151" s="132"/>
      <c r="AJ151" s="132"/>
      <c r="AK151" s="133"/>
      <c r="AL151" s="133"/>
      <c r="AM151" s="133"/>
      <c r="AN151" s="133"/>
      <c r="AO151" s="133"/>
      <c r="AP151" s="133"/>
      <c r="AQ151" s="133"/>
      <c r="AR151" s="133"/>
      <c r="AS151" s="133"/>
      <c r="AT151" s="133"/>
      <c r="AU151" s="133"/>
      <c r="AV151" s="133"/>
      <c r="AW151" s="133"/>
      <c r="AX151" s="133"/>
      <c r="AY151" s="133"/>
      <c r="AZ151" s="142"/>
      <c r="BA151" s="132"/>
    </row>
    <row r="152" spans="1:53" ht="14.6" outlineLevel="3" x14ac:dyDescent="0.4">
      <c r="A152" s="143" t="s">
        <v>248</v>
      </c>
      <c r="B152" s="133" t="s">
        <v>75</v>
      </c>
      <c r="C152" s="144">
        <v>2</v>
      </c>
      <c r="D152" s="145"/>
      <c r="E152" s="173"/>
      <c r="F152" s="132"/>
      <c r="G152" s="133"/>
      <c r="H152" s="133"/>
      <c r="I152" s="169"/>
      <c r="J152" s="150"/>
      <c r="K152" s="133"/>
      <c r="L152" s="133"/>
      <c r="M152" s="184"/>
      <c r="N152" s="184"/>
      <c r="O152" s="184"/>
      <c r="P152" s="184"/>
      <c r="Q152" s="184"/>
      <c r="R152" s="184"/>
      <c r="S152" s="184"/>
      <c r="T152" s="184"/>
      <c r="U152" s="184"/>
      <c r="V152" s="184"/>
      <c r="W152" s="187"/>
      <c r="X152" s="184"/>
      <c r="Y152" s="184"/>
      <c r="Z152" s="184"/>
      <c r="AA152" s="184"/>
      <c r="AB152" s="184"/>
      <c r="AC152" s="151"/>
      <c r="AD152" s="133"/>
      <c r="AE152" s="133"/>
      <c r="AF152" s="133"/>
      <c r="AG152" s="176"/>
      <c r="AH152" s="150"/>
      <c r="AI152" s="132"/>
      <c r="AJ152" s="132"/>
      <c r="AK152" s="133"/>
      <c r="AL152" s="133"/>
      <c r="AM152" s="133"/>
      <c r="AN152" s="133"/>
      <c r="AO152" s="133"/>
      <c r="AP152" s="133"/>
      <c r="AQ152" s="133"/>
      <c r="AR152" s="133"/>
      <c r="AS152" s="133"/>
      <c r="AT152" s="133"/>
      <c r="AU152" s="133"/>
      <c r="AV152" s="133"/>
      <c r="AW152" s="133"/>
      <c r="AX152" s="133"/>
      <c r="AY152" s="133"/>
      <c r="AZ152" s="142"/>
      <c r="BA152" s="132"/>
    </row>
    <row r="153" spans="1:53" ht="15" outlineLevel="3" thickBot="1" x14ac:dyDescent="0.45">
      <c r="A153" s="143" t="s">
        <v>249</v>
      </c>
      <c r="B153" s="133" t="s">
        <v>77</v>
      </c>
      <c r="C153" s="144">
        <f>1+1</f>
        <v>2</v>
      </c>
      <c r="D153" s="145"/>
      <c r="E153" s="173"/>
      <c r="F153" s="132"/>
      <c r="G153" s="133"/>
      <c r="H153" s="133"/>
      <c r="I153" s="169"/>
      <c r="J153" s="150"/>
      <c r="K153" s="133"/>
      <c r="L153" s="133"/>
      <c r="M153" s="184"/>
      <c r="N153" s="184"/>
      <c r="O153" s="184"/>
      <c r="P153" s="184"/>
      <c r="Q153" s="184"/>
      <c r="R153" s="184"/>
      <c r="S153" s="184"/>
      <c r="T153" s="184"/>
      <c r="U153" s="184"/>
      <c r="V153" s="184"/>
      <c r="W153" s="188"/>
      <c r="X153" s="189"/>
      <c r="Y153" s="189"/>
      <c r="Z153" s="189"/>
      <c r="AA153" s="189"/>
      <c r="AB153" s="189"/>
      <c r="AC153" s="180"/>
      <c r="AD153" s="160"/>
      <c r="AE153" s="160"/>
      <c r="AF153" s="160"/>
      <c r="AG153" s="192"/>
      <c r="AH153" s="193"/>
      <c r="AI153" s="159"/>
      <c r="AJ153" s="159"/>
      <c r="AK153" s="160"/>
      <c r="AL153" s="160"/>
      <c r="AM153" s="160"/>
      <c r="AN153" s="160"/>
      <c r="AO153" s="160"/>
      <c r="AP153" s="160"/>
      <c r="AQ153" s="160"/>
      <c r="AR153" s="133"/>
      <c r="AS153" s="133"/>
      <c r="AT153" s="133"/>
      <c r="AU153" s="133"/>
      <c r="AV153" s="133"/>
      <c r="AW153" s="133"/>
      <c r="AX153" s="133"/>
      <c r="AY153" s="133"/>
      <c r="AZ153" s="142"/>
      <c r="BA153" s="132"/>
    </row>
    <row r="154" spans="1:53" ht="14.6" outlineLevel="1" x14ac:dyDescent="0.4">
      <c r="A154" s="134" t="s">
        <v>250</v>
      </c>
      <c r="B154" s="135" t="s">
        <v>49</v>
      </c>
      <c r="C154" s="136">
        <v>98</v>
      </c>
      <c r="D154" s="137">
        <f>E154/ORÇAMENTO!$K$125</f>
        <v>0.18310320157096452</v>
      </c>
      <c r="E154" s="168">
        <f>SUM(E155:E194)</f>
        <v>259150.62299089809</v>
      </c>
      <c r="F154" s="132"/>
      <c r="G154" s="133"/>
      <c r="H154" s="133"/>
      <c r="I154" s="169"/>
      <c r="J154" s="150"/>
      <c r="K154" s="133"/>
      <c r="L154" s="133"/>
      <c r="M154" s="184"/>
      <c r="N154" s="184"/>
      <c r="O154" s="184"/>
      <c r="P154" s="184"/>
      <c r="Q154" s="184"/>
      <c r="R154" s="184"/>
      <c r="S154" s="184"/>
      <c r="T154" s="184"/>
      <c r="U154" s="184"/>
      <c r="V154" s="184"/>
      <c r="W154" s="182"/>
      <c r="X154" s="182"/>
      <c r="Y154" s="182"/>
      <c r="Z154" s="182"/>
      <c r="AA154" s="182"/>
      <c r="AB154" s="182"/>
      <c r="AC154" s="194"/>
      <c r="AD154" s="170"/>
      <c r="AE154" s="171"/>
      <c r="AF154" s="171"/>
      <c r="AG154" s="171"/>
      <c r="AH154" s="171"/>
      <c r="AI154" s="171"/>
      <c r="AJ154" s="171"/>
      <c r="AK154" s="171"/>
      <c r="AL154" s="171"/>
      <c r="AM154" s="171"/>
      <c r="AN154" s="171"/>
      <c r="AO154" s="171"/>
      <c r="AP154" s="171"/>
      <c r="AQ154" s="172"/>
      <c r="AR154" s="132"/>
      <c r="AS154" s="133"/>
      <c r="AT154" s="133"/>
      <c r="AU154" s="133"/>
      <c r="AV154" s="133"/>
      <c r="AW154" s="133"/>
      <c r="AX154" s="133"/>
      <c r="AY154" s="133"/>
      <c r="AZ154" s="142"/>
      <c r="BA154" s="132"/>
    </row>
    <row r="155" spans="1:53" ht="14.6" outlineLevel="2" x14ac:dyDescent="0.4">
      <c r="A155" s="134" t="s">
        <v>251</v>
      </c>
      <c r="B155" s="135" t="s">
        <v>107</v>
      </c>
      <c r="C155" s="136">
        <f>SUM(C156:C158)</f>
        <v>51</v>
      </c>
      <c r="D155" s="137">
        <f>E155/ORÇAMENTO!$K$125</f>
        <v>6.430618261010998E-2</v>
      </c>
      <c r="E155" s="168">
        <f>C156*$O$258/$M$258</f>
        <v>91014.177483497915</v>
      </c>
      <c r="F155" s="132"/>
      <c r="G155" s="133"/>
      <c r="H155" s="133"/>
      <c r="I155" s="169"/>
      <c r="J155" s="150"/>
      <c r="K155" s="133"/>
      <c r="L155" s="133"/>
      <c r="M155" s="184"/>
      <c r="N155" s="184"/>
      <c r="O155" s="184"/>
      <c r="P155" s="184"/>
      <c r="Q155" s="184"/>
      <c r="R155" s="184"/>
      <c r="S155" s="184"/>
      <c r="T155" s="184"/>
      <c r="U155" s="184"/>
      <c r="V155" s="184"/>
      <c r="W155" s="184"/>
      <c r="X155" s="184"/>
      <c r="Y155" s="184"/>
      <c r="Z155" s="184"/>
      <c r="AA155" s="184"/>
      <c r="AB155" s="184"/>
      <c r="AC155" s="195"/>
      <c r="AD155" s="139"/>
      <c r="AE155" s="140"/>
      <c r="AF155" s="140"/>
      <c r="AG155" s="140"/>
      <c r="AH155" s="140"/>
      <c r="AI155" s="140"/>
      <c r="AJ155" s="140"/>
      <c r="AK155" s="141"/>
      <c r="AL155" s="133"/>
      <c r="AM155" s="133"/>
      <c r="AN155" s="133"/>
      <c r="AO155" s="133"/>
      <c r="AP155" s="133"/>
      <c r="AQ155" s="142"/>
      <c r="AR155" s="132"/>
      <c r="AS155" s="133"/>
      <c r="AT155" s="133"/>
      <c r="AU155" s="133"/>
      <c r="AV155" s="133"/>
      <c r="AW155" s="133"/>
      <c r="AX155" s="133"/>
      <c r="AY155" s="133"/>
      <c r="AZ155" s="142"/>
      <c r="BA155" s="132"/>
    </row>
    <row r="156" spans="1:53" ht="14.6" outlineLevel="3" x14ac:dyDescent="0.4">
      <c r="A156" s="143" t="s">
        <v>252</v>
      </c>
      <c r="B156" s="133" t="s">
        <v>109</v>
      </c>
      <c r="C156" s="144">
        <v>42</v>
      </c>
      <c r="D156" s="145"/>
      <c r="E156" s="173"/>
      <c r="F156" s="132"/>
      <c r="G156" s="133"/>
      <c r="H156" s="133"/>
      <c r="I156" s="169"/>
      <c r="J156" s="150"/>
      <c r="K156" s="133"/>
      <c r="L156" s="133"/>
      <c r="M156" s="184"/>
      <c r="N156" s="184"/>
      <c r="O156" s="184"/>
      <c r="P156" s="184"/>
      <c r="Q156" s="184"/>
      <c r="R156" s="184"/>
      <c r="S156" s="184"/>
      <c r="T156" s="184"/>
      <c r="U156" s="184"/>
      <c r="V156" s="184"/>
      <c r="W156" s="184"/>
      <c r="X156" s="184"/>
      <c r="Y156" s="184"/>
      <c r="Z156" s="184"/>
      <c r="AA156" s="184"/>
      <c r="AB156" s="184"/>
      <c r="AC156" s="195"/>
      <c r="AD156" s="147"/>
      <c r="AE156" s="148"/>
      <c r="AF156" s="148"/>
      <c r="AG156" s="148"/>
      <c r="AH156" s="148"/>
      <c r="AI156" s="149"/>
      <c r="AJ156" s="133"/>
      <c r="AK156" s="133"/>
      <c r="AL156" s="133"/>
      <c r="AM156" s="133"/>
      <c r="AN156" s="133"/>
      <c r="AO156" s="133"/>
      <c r="AP156" s="133"/>
      <c r="AQ156" s="142"/>
      <c r="AR156" s="132"/>
      <c r="AS156" s="133"/>
      <c r="AT156" s="133"/>
      <c r="AU156" s="133"/>
      <c r="AV156" s="133"/>
      <c r="AW156" s="133"/>
      <c r="AX156" s="133"/>
      <c r="AY156" s="133"/>
      <c r="AZ156" s="142"/>
      <c r="BA156" s="132"/>
    </row>
    <row r="157" spans="1:53" ht="14.6" outlineLevel="3" x14ac:dyDescent="0.4">
      <c r="A157" s="143" t="s">
        <v>253</v>
      </c>
      <c r="B157" s="133" t="s">
        <v>75</v>
      </c>
      <c r="C157" s="144">
        <v>7</v>
      </c>
      <c r="D157" s="145"/>
      <c r="E157" s="173"/>
      <c r="F157" s="132"/>
      <c r="G157" s="133"/>
      <c r="H157" s="133"/>
      <c r="I157" s="169"/>
      <c r="J157" s="150"/>
      <c r="K157" s="133"/>
      <c r="L157" s="133"/>
      <c r="M157" s="184"/>
      <c r="N157" s="184"/>
      <c r="O157" s="184"/>
      <c r="P157" s="184"/>
      <c r="Q157" s="184"/>
      <c r="R157" s="184"/>
      <c r="S157" s="184"/>
      <c r="T157" s="184"/>
      <c r="U157" s="184"/>
      <c r="V157" s="184"/>
      <c r="W157" s="184"/>
      <c r="X157" s="184"/>
      <c r="Y157" s="184"/>
      <c r="Z157" s="184"/>
      <c r="AA157" s="184"/>
      <c r="AB157" s="184"/>
      <c r="AC157" s="195"/>
      <c r="AD157" s="150"/>
      <c r="AE157" s="133"/>
      <c r="AF157" s="133"/>
      <c r="AG157" s="133"/>
      <c r="AH157" s="133"/>
      <c r="AI157" s="133"/>
      <c r="AJ157" s="151"/>
      <c r="AK157" s="133"/>
      <c r="AL157" s="133"/>
      <c r="AM157" s="133"/>
      <c r="AN157" s="133"/>
      <c r="AO157" s="133"/>
      <c r="AP157" s="133"/>
      <c r="AQ157" s="142"/>
      <c r="AR157" s="132"/>
      <c r="AS157" s="133"/>
      <c r="AT157" s="133"/>
      <c r="AU157" s="133"/>
      <c r="AV157" s="133"/>
      <c r="AW157" s="133"/>
      <c r="AX157" s="133"/>
      <c r="AY157" s="133"/>
      <c r="AZ157" s="142"/>
      <c r="BA157" s="132"/>
    </row>
    <row r="158" spans="1:53" ht="14.6" outlineLevel="3" x14ac:dyDescent="0.4">
      <c r="A158" s="143" t="s">
        <v>254</v>
      </c>
      <c r="B158" s="133" t="s">
        <v>77</v>
      </c>
      <c r="C158" s="144">
        <v>2</v>
      </c>
      <c r="D158" s="145"/>
      <c r="E158" s="173"/>
      <c r="F158" s="132"/>
      <c r="G158" s="133"/>
      <c r="H158" s="133"/>
      <c r="I158" s="169"/>
      <c r="J158" s="150"/>
      <c r="K158" s="133"/>
      <c r="L158" s="133"/>
      <c r="M158" s="184"/>
      <c r="N158" s="184"/>
      <c r="O158" s="184"/>
      <c r="P158" s="184"/>
      <c r="Q158" s="184"/>
      <c r="R158" s="184"/>
      <c r="S158" s="184"/>
      <c r="T158" s="184"/>
      <c r="U158" s="184"/>
      <c r="V158" s="184"/>
      <c r="W158" s="184"/>
      <c r="X158" s="184"/>
      <c r="Y158" s="184"/>
      <c r="Z158" s="184"/>
      <c r="AA158" s="184"/>
      <c r="AB158" s="184"/>
      <c r="AC158" s="195"/>
      <c r="AD158" s="150"/>
      <c r="AE158" s="133"/>
      <c r="AF158" s="133"/>
      <c r="AG158" s="133"/>
      <c r="AH158" s="133"/>
      <c r="AI158" s="133"/>
      <c r="AJ158" s="133"/>
      <c r="AK158" s="151"/>
      <c r="AL158" s="133"/>
      <c r="AM158" s="133"/>
      <c r="AN158" s="133"/>
      <c r="AO158" s="133"/>
      <c r="AP158" s="133"/>
      <c r="AQ158" s="142"/>
      <c r="AR158" s="132"/>
      <c r="AS158" s="133"/>
      <c r="AT158" s="133"/>
      <c r="AU158" s="133"/>
      <c r="AV158" s="133"/>
      <c r="AW158" s="133"/>
      <c r="AX158" s="133"/>
      <c r="AY158" s="133"/>
      <c r="AZ158" s="142"/>
      <c r="BA158" s="132"/>
    </row>
    <row r="159" spans="1:53" ht="14.6" outlineLevel="2" x14ac:dyDescent="0.4">
      <c r="A159" s="134" t="s">
        <v>255</v>
      </c>
      <c r="B159" s="135" t="s">
        <v>113</v>
      </c>
      <c r="C159" s="136">
        <f>SUM(C160:C162)</f>
        <v>14</v>
      </c>
      <c r="D159" s="137">
        <f>E159/ORÇAMENTO!$K$125</f>
        <v>1.5021170711065082E-2</v>
      </c>
      <c r="E159" s="168">
        <f>C160*$O$259/$M$259</f>
        <v>21259.845346376715</v>
      </c>
      <c r="F159" s="132"/>
      <c r="G159" s="133"/>
      <c r="H159" s="133"/>
      <c r="I159" s="169"/>
      <c r="J159" s="150"/>
      <c r="K159" s="133"/>
      <c r="L159" s="133"/>
      <c r="M159" s="184"/>
      <c r="N159" s="184"/>
      <c r="O159" s="184"/>
      <c r="P159" s="184"/>
      <c r="Q159" s="184"/>
      <c r="R159" s="184"/>
      <c r="S159" s="184"/>
      <c r="T159" s="184"/>
      <c r="U159" s="184"/>
      <c r="V159" s="184"/>
      <c r="W159" s="184"/>
      <c r="X159" s="184"/>
      <c r="Y159" s="184"/>
      <c r="Z159" s="184"/>
      <c r="AA159" s="184"/>
      <c r="AB159" s="184"/>
      <c r="AC159" s="195"/>
      <c r="AD159" s="150"/>
      <c r="AE159" s="133"/>
      <c r="AF159" s="133"/>
      <c r="AG159" s="133"/>
      <c r="AH159" s="133"/>
      <c r="AI159" s="133"/>
      <c r="AJ159" s="133"/>
      <c r="AK159" s="133"/>
      <c r="AL159" s="152"/>
      <c r="AM159" s="140"/>
      <c r="AN159" s="141"/>
      <c r="AO159" s="133"/>
      <c r="AP159" s="133"/>
      <c r="AQ159" s="142"/>
      <c r="AR159" s="132"/>
      <c r="AS159" s="133"/>
      <c r="AT159" s="133"/>
      <c r="AU159" s="133"/>
      <c r="AV159" s="133"/>
      <c r="AW159" s="133"/>
      <c r="AX159" s="133"/>
      <c r="AY159" s="133"/>
      <c r="AZ159" s="142"/>
      <c r="BA159" s="132"/>
    </row>
    <row r="160" spans="1:53" ht="14.6" outlineLevel="3" x14ac:dyDescent="0.4">
      <c r="A160" s="143" t="s">
        <v>256</v>
      </c>
      <c r="B160" s="133" t="s">
        <v>115</v>
      </c>
      <c r="C160" s="144">
        <v>10</v>
      </c>
      <c r="D160" s="145"/>
      <c r="E160" s="173"/>
      <c r="F160" s="132"/>
      <c r="G160" s="133"/>
      <c r="H160" s="133"/>
      <c r="I160" s="169"/>
      <c r="J160" s="150"/>
      <c r="K160" s="133"/>
      <c r="L160" s="133"/>
      <c r="M160" s="184"/>
      <c r="N160" s="184"/>
      <c r="O160" s="184"/>
      <c r="P160" s="184"/>
      <c r="Q160" s="184"/>
      <c r="R160" s="184"/>
      <c r="S160" s="184"/>
      <c r="T160" s="184"/>
      <c r="U160" s="184"/>
      <c r="V160" s="184"/>
      <c r="W160" s="184"/>
      <c r="X160" s="184"/>
      <c r="Y160" s="184"/>
      <c r="Z160" s="184"/>
      <c r="AA160" s="184"/>
      <c r="AB160" s="184"/>
      <c r="AC160" s="195"/>
      <c r="AD160" s="150"/>
      <c r="AE160" s="133"/>
      <c r="AF160" s="133"/>
      <c r="AG160" s="133"/>
      <c r="AH160" s="133"/>
      <c r="AI160" s="133"/>
      <c r="AJ160" s="133"/>
      <c r="AK160" s="133"/>
      <c r="AL160" s="154"/>
      <c r="AM160" s="149"/>
      <c r="AN160" s="133"/>
      <c r="AO160" s="133"/>
      <c r="AP160" s="133"/>
      <c r="AQ160" s="142"/>
      <c r="AR160" s="132"/>
      <c r="AS160" s="133"/>
      <c r="AT160" s="133"/>
      <c r="AU160" s="133"/>
      <c r="AV160" s="133"/>
      <c r="AW160" s="133"/>
      <c r="AX160" s="133"/>
      <c r="AY160" s="133"/>
      <c r="AZ160" s="142"/>
      <c r="BA160" s="132"/>
    </row>
    <row r="161" spans="1:53" ht="14.6" outlineLevel="3" x14ac:dyDescent="0.4">
      <c r="A161" s="143" t="s">
        <v>257</v>
      </c>
      <c r="B161" s="133" t="s">
        <v>75</v>
      </c>
      <c r="C161" s="144">
        <v>3</v>
      </c>
      <c r="D161" s="145"/>
      <c r="E161" s="173"/>
      <c r="F161" s="132"/>
      <c r="G161" s="133"/>
      <c r="H161" s="133"/>
      <c r="I161" s="169"/>
      <c r="J161" s="150"/>
      <c r="K161" s="133"/>
      <c r="L161" s="133"/>
      <c r="M161" s="184"/>
      <c r="N161" s="184"/>
      <c r="O161" s="184"/>
      <c r="P161" s="184"/>
      <c r="Q161" s="184"/>
      <c r="R161" s="184"/>
      <c r="S161" s="184"/>
      <c r="T161" s="184"/>
      <c r="U161" s="184"/>
      <c r="V161" s="184"/>
      <c r="W161" s="184"/>
      <c r="X161" s="184"/>
      <c r="Y161" s="184"/>
      <c r="Z161" s="184"/>
      <c r="AA161" s="184"/>
      <c r="AB161" s="184"/>
      <c r="AC161" s="195"/>
      <c r="AD161" s="150"/>
      <c r="AE161" s="133"/>
      <c r="AF161" s="133"/>
      <c r="AG161" s="133"/>
      <c r="AH161" s="133"/>
      <c r="AI161" s="133"/>
      <c r="AJ161" s="133"/>
      <c r="AK161" s="133"/>
      <c r="AL161" s="133"/>
      <c r="AM161" s="133"/>
      <c r="AN161" s="151"/>
      <c r="AO161" s="133"/>
      <c r="AP161" s="133"/>
      <c r="AQ161" s="142"/>
      <c r="AR161" s="132"/>
      <c r="AS161" s="133"/>
      <c r="AT161" s="133"/>
      <c r="AU161" s="133"/>
      <c r="AV161" s="133"/>
      <c r="AW161" s="133"/>
      <c r="AX161" s="133"/>
      <c r="AY161" s="133"/>
      <c r="AZ161" s="142"/>
      <c r="BA161" s="132"/>
    </row>
    <row r="162" spans="1:53" ht="14.6" outlineLevel="3" x14ac:dyDescent="0.4">
      <c r="A162" s="143" t="s">
        <v>258</v>
      </c>
      <c r="B162" s="133" t="s">
        <v>77</v>
      </c>
      <c r="C162" s="144">
        <v>1</v>
      </c>
      <c r="D162" s="145"/>
      <c r="E162" s="173"/>
      <c r="F162" s="132"/>
      <c r="G162" s="133"/>
      <c r="H162" s="133"/>
      <c r="I162" s="169"/>
      <c r="J162" s="150"/>
      <c r="K162" s="133"/>
      <c r="L162" s="133"/>
      <c r="M162" s="184"/>
      <c r="N162" s="184"/>
      <c r="O162" s="184"/>
      <c r="P162" s="184"/>
      <c r="Q162" s="184"/>
      <c r="R162" s="184"/>
      <c r="S162" s="184"/>
      <c r="T162" s="184"/>
      <c r="U162" s="184"/>
      <c r="V162" s="184"/>
      <c r="W162" s="184"/>
      <c r="X162" s="184"/>
      <c r="Y162" s="184"/>
      <c r="Z162" s="184"/>
      <c r="AA162" s="184"/>
      <c r="AB162" s="184"/>
      <c r="AC162" s="195"/>
      <c r="AD162" s="150"/>
      <c r="AE162" s="133"/>
      <c r="AF162" s="133"/>
      <c r="AG162" s="133"/>
      <c r="AH162" s="133"/>
      <c r="AI162" s="133"/>
      <c r="AJ162" s="133"/>
      <c r="AK162" s="133"/>
      <c r="AL162" s="133"/>
      <c r="AM162" s="133"/>
      <c r="AN162" s="151"/>
      <c r="AO162" s="133"/>
      <c r="AP162" s="133"/>
      <c r="AQ162" s="142"/>
      <c r="AR162" s="132"/>
      <c r="AS162" s="133"/>
      <c r="AT162" s="133"/>
      <c r="AU162" s="133"/>
      <c r="AV162" s="133"/>
      <c r="AW162" s="133"/>
      <c r="AX162" s="133"/>
      <c r="AY162" s="133"/>
      <c r="AZ162" s="142"/>
      <c r="BA162" s="132"/>
    </row>
    <row r="163" spans="1:53" ht="14.6" outlineLevel="2" x14ac:dyDescent="0.4">
      <c r="A163" s="134" t="s">
        <v>259</v>
      </c>
      <c r="B163" s="135" t="s">
        <v>119</v>
      </c>
      <c r="C163" s="136">
        <f>SUM(C164:C166)</f>
        <v>28</v>
      </c>
      <c r="D163" s="137">
        <f>E163/ORÇAMENTO!$K$125</f>
        <v>3.1544463764397623E-2</v>
      </c>
      <c r="E163" s="168">
        <f>C164*$O$260/$M$260</f>
        <v>44645.682687799395</v>
      </c>
      <c r="F163" s="132"/>
      <c r="G163" s="133"/>
      <c r="H163" s="133"/>
      <c r="I163" s="169"/>
      <c r="J163" s="150"/>
      <c r="K163" s="133"/>
      <c r="L163" s="133"/>
      <c r="M163" s="184"/>
      <c r="N163" s="184"/>
      <c r="O163" s="184"/>
      <c r="P163" s="184"/>
      <c r="Q163" s="184"/>
      <c r="R163" s="184"/>
      <c r="S163" s="184"/>
      <c r="T163" s="184"/>
      <c r="U163" s="184"/>
      <c r="V163" s="184"/>
      <c r="W163" s="184"/>
      <c r="X163" s="184"/>
      <c r="Y163" s="184"/>
      <c r="Z163" s="184"/>
      <c r="AA163" s="184"/>
      <c r="AB163" s="184"/>
      <c r="AC163" s="195"/>
      <c r="AD163" s="150"/>
      <c r="AE163" s="133"/>
      <c r="AF163" s="133"/>
      <c r="AG163" s="133"/>
      <c r="AH163" s="133"/>
      <c r="AI163" s="133"/>
      <c r="AJ163" s="133"/>
      <c r="AK163" s="133"/>
      <c r="AL163" s="152"/>
      <c r="AM163" s="140"/>
      <c r="AN163" s="140"/>
      <c r="AO163" s="141"/>
      <c r="AP163" s="133"/>
      <c r="AQ163" s="142"/>
      <c r="AR163" s="132"/>
      <c r="AS163" s="133"/>
      <c r="AT163" s="133"/>
      <c r="AU163" s="133"/>
      <c r="AV163" s="133"/>
      <c r="AW163" s="133"/>
      <c r="AX163" s="133"/>
      <c r="AY163" s="133"/>
      <c r="AZ163" s="142"/>
      <c r="BA163" s="132"/>
    </row>
    <row r="164" spans="1:53" ht="14.6" outlineLevel="3" x14ac:dyDescent="0.4">
      <c r="A164" s="143" t="s">
        <v>260</v>
      </c>
      <c r="B164" s="133" t="s">
        <v>121</v>
      </c>
      <c r="C164" s="144">
        <v>21</v>
      </c>
      <c r="D164" s="145"/>
      <c r="E164" s="173"/>
      <c r="F164" s="132"/>
      <c r="G164" s="133"/>
      <c r="H164" s="133"/>
      <c r="I164" s="169"/>
      <c r="J164" s="150"/>
      <c r="K164" s="133"/>
      <c r="L164" s="133"/>
      <c r="M164" s="184"/>
      <c r="N164" s="184"/>
      <c r="O164" s="184"/>
      <c r="P164" s="184"/>
      <c r="Q164" s="184"/>
      <c r="R164" s="184"/>
      <c r="S164" s="184"/>
      <c r="T164" s="184"/>
      <c r="U164" s="184"/>
      <c r="V164" s="184"/>
      <c r="W164" s="184"/>
      <c r="X164" s="184"/>
      <c r="Y164" s="184"/>
      <c r="Z164" s="184"/>
      <c r="AA164" s="184"/>
      <c r="AB164" s="184"/>
      <c r="AC164" s="195"/>
      <c r="AD164" s="150"/>
      <c r="AE164" s="133"/>
      <c r="AF164" s="133"/>
      <c r="AG164" s="133"/>
      <c r="AH164" s="133"/>
      <c r="AI164" s="133"/>
      <c r="AJ164" s="133"/>
      <c r="AK164" s="133"/>
      <c r="AL164" s="154"/>
      <c r="AM164" s="148"/>
      <c r="AN164" s="149"/>
      <c r="AO164" s="133"/>
      <c r="AP164" s="133"/>
      <c r="AQ164" s="142"/>
      <c r="AR164" s="132"/>
      <c r="AS164" s="133"/>
      <c r="AT164" s="133"/>
      <c r="AU164" s="133"/>
      <c r="AV164" s="133"/>
      <c r="AW164" s="133"/>
      <c r="AX164" s="133"/>
      <c r="AY164" s="133"/>
      <c r="AZ164" s="142"/>
      <c r="BA164" s="132"/>
    </row>
    <row r="165" spans="1:53" ht="14.6" outlineLevel="3" x14ac:dyDescent="0.4">
      <c r="A165" s="143" t="s">
        <v>261</v>
      </c>
      <c r="B165" s="133" t="s">
        <v>75</v>
      </c>
      <c r="C165" s="144">
        <v>5</v>
      </c>
      <c r="D165" s="145"/>
      <c r="E165" s="173"/>
      <c r="F165" s="132"/>
      <c r="G165" s="133"/>
      <c r="H165" s="133"/>
      <c r="I165" s="169"/>
      <c r="J165" s="150"/>
      <c r="K165" s="133"/>
      <c r="L165" s="133"/>
      <c r="M165" s="184"/>
      <c r="N165" s="184"/>
      <c r="O165" s="184"/>
      <c r="P165" s="184"/>
      <c r="Q165" s="184"/>
      <c r="R165" s="184"/>
      <c r="S165" s="184"/>
      <c r="T165" s="184"/>
      <c r="U165" s="184"/>
      <c r="V165" s="184"/>
      <c r="W165" s="184"/>
      <c r="X165" s="184"/>
      <c r="Y165" s="184"/>
      <c r="Z165" s="184"/>
      <c r="AA165" s="184"/>
      <c r="AB165" s="184"/>
      <c r="AC165" s="195"/>
      <c r="AD165" s="150"/>
      <c r="AE165" s="133"/>
      <c r="AF165" s="133"/>
      <c r="AG165" s="133"/>
      <c r="AH165" s="133"/>
      <c r="AI165" s="133"/>
      <c r="AJ165" s="133"/>
      <c r="AK165" s="133"/>
      <c r="AL165" s="133"/>
      <c r="AM165" s="133"/>
      <c r="AN165" s="133"/>
      <c r="AO165" s="151"/>
      <c r="AP165" s="133"/>
      <c r="AQ165" s="142"/>
      <c r="AR165" s="132"/>
      <c r="AS165" s="133"/>
      <c r="AT165" s="133"/>
      <c r="AU165" s="133"/>
      <c r="AV165" s="133"/>
      <c r="AW165" s="133"/>
      <c r="AX165" s="133"/>
      <c r="AY165" s="133"/>
      <c r="AZ165" s="142"/>
      <c r="BA165" s="132"/>
    </row>
    <row r="166" spans="1:53" ht="14.6" outlineLevel="3" x14ac:dyDescent="0.4">
      <c r="A166" s="143" t="s">
        <v>262</v>
      </c>
      <c r="B166" s="133" t="s">
        <v>77</v>
      </c>
      <c r="C166" s="144">
        <v>2</v>
      </c>
      <c r="D166" s="145"/>
      <c r="E166" s="173"/>
      <c r="F166" s="132"/>
      <c r="G166" s="133"/>
      <c r="H166" s="133"/>
      <c r="I166" s="169"/>
      <c r="J166" s="150"/>
      <c r="K166" s="133"/>
      <c r="L166" s="133"/>
      <c r="M166" s="184"/>
      <c r="N166" s="184"/>
      <c r="O166" s="184"/>
      <c r="P166" s="184"/>
      <c r="Q166" s="184"/>
      <c r="R166" s="184"/>
      <c r="S166" s="184"/>
      <c r="T166" s="184"/>
      <c r="U166" s="184"/>
      <c r="V166" s="184"/>
      <c r="W166" s="184"/>
      <c r="X166" s="184"/>
      <c r="Y166" s="184"/>
      <c r="Z166" s="184"/>
      <c r="AA166" s="184"/>
      <c r="AB166" s="184"/>
      <c r="AC166" s="195"/>
      <c r="AD166" s="150"/>
      <c r="AE166" s="133"/>
      <c r="AF166" s="133"/>
      <c r="AG166" s="133"/>
      <c r="AH166" s="133"/>
      <c r="AI166" s="133"/>
      <c r="AJ166" s="133"/>
      <c r="AK166" s="133"/>
      <c r="AL166" s="133"/>
      <c r="AM166" s="133"/>
      <c r="AN166" s="133"/>
      <c r="AO166" s="151"/>
      <c r="AP166" s="133"/>
      <c r="AQ166" s="142"/>
      <c r="AR166" s="132"/>
      <c r="AS166" s="133"/>
      <c r="AT166" s="133"/>
      <c r="AU166" s="133"/>
      <c r="AV166" s="133"/>
      <c r="AW166" s="133"/>
      <c r="AX166" s="133"/>
      <c r="AY166" s="133"/>
      <c r="AZ166" s="142"/>
      <c r="BA166" s="132"/>
    </row>
    <row r="167" spans="1:53" ht="14.6" outlineLevel="2" x14ac:dyDescent="0.4">
      <c r="A167" s="134" t="s">
        <v>263</v>
      </c>
      <c r="B167" s="135" t="s">
        <v>125</v>
      </c>
      <c r="C167" s="136">
        <f>SUM(C168:C170)</f>
        <v>10</v>
      </c>
      <c r="D167" s="137">
        <f>E167/ORÇAMENTO!$K$125</f>
        <v>1.0514819829746974E-2</v>
      </c>
      <c r="E167" s="168">
        <f>C168*$O$261/$M$261</f>
        <v>14881.892212353758</v>
      </c>
      <c r="F167" s="132"/>
      <c r="G167" s="133"/>
      <c r="H167" s="133"/>
      <c r="I167" s="169"/>
      <c r="J167" s="150"/>
      <c r="K167" s="133"/>
      <c r="L167" s="133"/>
      <c r="M167" s="184"/>
      <c r="N167" s="184"/>
      <c r="O167" s="184"/>
      <c r="P167" s="184"/>
      <c r="Q167" s="184"/>
      <c r="R167" s="184"/>
      <c r="S167" s="184"/>
      <c r="T167" s="184"/>
      <c r="U167" s="184"/>
      <c r="V167" s="184"/>
      <c r="W167" s="184"/>
      <c r="X167" s="184"/>
      <c r="Y167" s="184"/>
      <c r="Z167" s="184"/>
      <c r="AA167" s="184"/>
      <c r="AB167" s="184"/>
      <c r="AC167" s="195"/>
      <c r="AD167" s="150"/>
      <c r="AE167" s="133"/>
      <c r="AF167" s="133"/>
      <c r="AG167" s="133"/>
      <c r="AH167" s="133"/>
      <c r="AI167" s="133"/>
      <c r="AJ167" s="133"/>
      <c r="AK167" s="133"/>
      <c r="AL167" s="152"/>
      <c r="AM167" s="141"/>
      <c r="AN167" s="133"/>
      <c r="AO167" s="133"/>
      <c r="AP167" s="133"/>
      <c r="AQ167" s="142"/>
      <c r="AR167" s="132"/>
      <c r="AS167" s="133"/>
      <c r="AT167" s="133"/>
      <c r="AU167" s="133"/>
      <c r="AV167" s="133"/>
      <c r="AW167" s="133"/>
      <c r="AX167" s="133"/>
      <c r="AY167" s="133"/>
      <c r="AZ167" s="142"/>
      <c r="BA167" s="132"/>
    </row>
    <row r="168" spans="1:53" ht="14.6" outlineLevel="3" x14ac:dyDescent="0.4">
      <c r="A168" s="143" t="s">
        <v>264</v>
      </c>
      <c r="B168" s="133" t="s">
        <v>127</v>
      </c>
      <c r="C168" s="144">
        <v>7</v>
      </c>
      <c r="D168" s="145"/>
      <c r="E168" s="173"/>
      <c r="F168" s="132"/>
      <c r="G168" s="133"/>
      <c r="H168" s="133"/>
      <c r="I168" s="169"/>
      <c r="J168" s="150"/>
      <c r="K168" s="133"/>
      <c r="L168" s="133"/>
      <c r="M168" s="184"/>
      <c r="N168" s="184"/>
      <c r="O168" s="184"/>
      <c r="P168" s="184"/>
      <c r="Q168" s="184"/>
      <c r="R168" s="184"/>
      <c r="S168" s="184"/>
      <c r="T168" s="184"/>
      <c r="U168" s="184"/>
      <c r="V168" s="184"/>
      <c r="W168" s="184"/>
      <c r="X168" s="184"/>
      <c r="Y168" s="184"/>
      <c r="Z168" s="184"/>
      <c r="AA168" s="184"/>
      <c r="AB168" s="184"/>
      <c r="AC168" s="195"/>
      <c r="AD168" s="150"/>
      <c r="AE168" s="133"/>
      <c r="AF168" s="133"/>
      <c r="AG168" s="133"/>
      <c r="AH168" s="133"/>
      <c r="AI168" s="133"/>
      <c r="AJ168" s="133"/>
      <c r="AK168" s="133"/>
      <c r="AL168" s="175"/>
      <c r="AM168" s="133"/>
      <c r="AN168" s="133"/>
      <c r="AO168" s="133"/>
      <c r="AP168" s="133"/>
      <c r="AQ168" s="142"/>
      <c r="AR168" s="132"/>
      <c r="AS168" s="133"/>
      <c r="AT168" s="133"/>
      <c r="AU168" s="133"/>
      <c r="AV168" s="133"/>
      <c r="AW168" s="133"/>
      <c r="AX168" s="133"/>
      <c r="AY168" s="133"/>
      <c r="AZ168" s="142"/>
      <c r="BA168" s="132"/>
    </row>
    <row r="169" spans="1:53" ht="14.6" outlineLevel="3" x14ac:dyDescent="0.4">
      <c r="A169" s="143" t="s">
        <v>265</v>
      </c>
      <c r="B169" s="133" t="s">
        <v>75</v>
      </c>
      <c r="C169" s="144">
        <v>2</v>
      </c>
      <c r="D169" s="145"/>
      <c r="E169" s="173"/>
      <c r="F169" s="132"/>
      <c r="G169" s="133"/>
      <c r="H169" s="133"/>
      <c r="I169" s="169"/>
      <c r="J169" s="150"/>
      <c r="K169" s="133"/>
      <c r="L169" s="133"/>
      <c r="M169" s="184"/>
      <c r="N169" s="184"/>
      <c r="O169" s="184"/>
      <c r="P169" s="184"/>
      <c r="Q169" s="184"/>
      <c r="R169" s="184"/>
      <c r="S169" s="184"/>
      <c r="T169" s="184"/>
      <c r="U169" s="184"/>
      <c r="V169" s="184"/>
      <c r="W169" s="184"/>
      <c r="X169" s="184"/>
      <c r="Y169" s="184"/>
      <c r="Z169" s="184"/>
      <c r="AA169" s="184"/>
      <c r="AB169" s="184"/>
      <c r="AC169" s="195"/>
      <c r="AD169" s="150"/>
      <c r="AE169" s="133"/>
      <c r="AF169" s="133"/>
      <c r="AG169" s="133"/>
      <c r="AH169" s="133"/>
      <c r="AI169" s="133"/>
      <c r="AJ169" s="133"/>
      <c r="AK169" s="133"/>
      <c r="AL169" s="133"/>
      <c r="AM169" s="151"/>
      <c r="AN169" s="133"/>
      <c r="AO169" s="133"/>
      <c r="AP169" s="133"/>
      <c r="AQ169" s="142"/>
      <c r="AR169" s="132"/>
      <c r="AS169" s="133"/>
      <c r="AT169" s="133"/>
      <c r="AU169" s="133"/>
      <c r="AV169" s="133"/>
      <c r="AW169" s="133"/>
      <c r="AX169" s="133"/>
      <c r="AY169" s="133"/>
      <c r="AZ169" s="142"/>
      <c r="BA169" s="132"/>
    </row>
    <row r="170" spans="1:53" ht="14.6" outlineLevel="3" x14ac:dyDescent="0.4">
      <c r="A170" s="143" t="s">
        <v>266</v>
      </c>
      <c r="B170" s="133" t="s">
        <v>77</v>
      </c>
      <c r="C170" s="144">
        <v>1</v>
      </c>
      <c r="D170" s="145"/>
      <c r="E170" s="173"/>
      <c r="F170" s="132"/>
      <c r="G170" s="133"/>
      <c r="H170" s="133"/>
      <c r="I170" s="169"/>
      <c r="J170" s="150"/>
      <c r="K170" s="133"/>
      <c r="L170" s="133"/>
      <c r="M170" s="184"/>
      <c r="N170" s="184"/>
      <c r="O170" s="184"/>
      <c r="P170" s="184"/>
      <c r="Q170" s="184"/>
      <c r="R170" s="184"/>
      <c r="S170" s="184"/>
      <c r="T170" s="184"/>
      <c r="U170" s="184"/>
      <c r="V170" s="184"/>
      <c r="W170" s="184"/>
      <c r="X170" s="184"/>
      <c r="Y170" s="184"/>
      <c r="Z170" s="184"/>
      <c r="AA170" s="184"/>
      <c r="AB170" s="184"/>
      <c r="AC170" s="195"/>
      <c r="AD170" s="150"/>
      <c r="AE170" s="133"/>
      <c r="AF170" s="133"/>
      <c r="AG170" s="133"/>
      <c r="AH170" s="133"/>
      <c r="AI170" s="133"/>
      <c r="AJ170" s="133"/>
      <c r="AK170" s="133"/>
      <c r="AL170" s="133"/>
      <c r="AM170" s="151"/>
      <c r="AN170" s="133"/>
      <c r="AO170" s="133"/>
      <c r="AP170" s="133"/>
      <c r="AQ170" s="142"/>
      <c r="AR170" s="132"/>
      <c r="AS170" s="133"/>
      <c r="AT170" s="133"/>
      <c r="AU170" s="133"/>
      <c r="AV170" s="133"/>
      <c r="AW170" s="133"/>
      <c r="AX170" s="133"/>
      <c r="AY170" s="133"/>
      <c r="AZ170" s="142"/>
      <c r="BA170" s="132"/>
    </row>
    <row r="171" spans="1:53" ht="14.6" outlineLevel="2" x14ac:dyDescent="0.4">
      <c r="A171" s="134" t="s">
        <v>267</v>
      </c>
      <c r="B171" s="135" t="s">
        <v>137</v>
      </c>
      <c r="C171" s="136">
        <f>SUM(C172:C174)</f>
        <v>10</v>
      </c>
      <c r="D171" s="137">
        <f>E171/ORÇAMENTO!$K$125</f>
        <v>1.051481995966057E-2</v>
      </c>
      <c r="E171" s="168">
        <f>C172*$O$263/$M$263</f>
        <v>14881.892396223777</v>
      </c>
      <c r="F171" s="132"/>
      <c r="G171" s="133"/>
      <c r="H171" s="133"/>
      <c r="I171" s="169"/>
      <c r="J171" s="150"/>
      <c r="K171" s="133"/>
      <c r="L171" s="133"/>
      <c r="M171" s="184"/>
      <c r="N171" s="184"/>
      <c r="O171" s="184"/>
      <c r="P171" s="184"/>
      <c r="Q171" s="184"/>
      <c r="R171" s="184"/>
      <c r="S171" s="184"/>
      <c r="T171" s="184"/>
      <c r="U171" s="184"/>
      <c r="V171" s="184"/>
      <c r="W171" s="184"/>
      <c r="X171" s="184"/>
      <c r="Y171" s="184"/>
      <c r="Z171" s="184"/>
      <c r="AA171" s="184"/>
      <c r="AB171" s="184"/>
      <c r="AC171" s="195"/>
      <c r="AD171" s="150"/>
      <c r="AE171" s="133"/>
      <c r="AF171" s="133"/>
      <c r="AG171" s="133"/>
      <c r="AH171" s="133"/>
      <c r="AI171" s="133"/>
      <c r="AJ171" s="133"/>
      <c r="AK171" s="133"/>
      <c r="AL171" s="133"/>
      <c r="AM171" s="152"/>
      <c r="AN171" s="141"/>
      <c r="AO171" s="133"/>
      <c r="AP171" s="133"/>
      <c r="AQ171" s="142"/>
      <c r="AR171" s="132"/>
      <c r="AS171" s="133"/>
      <c r="AT171" s="133"/>
      <c r="AU171" s="133"/>
      <c r="AV171" s="133"/>
      <c r="AW171" s="133"/>
      <c r="AX171" s="133"/>
      <c r="AY171" s="133"/>
      <c r="AZ171" s="142"/>
      <c r="BA171" s="132"/>
    </row>
    <row r="172" spans="1:53" ht="14.6" outlineLevel="3" x14ac:dyDescent="0.4">
      <c r="A172" s="143" t="s">
        <v>268</v>
      </c>
      <c r="B172" s="133" t="s">
        <v>139</v>
      </c>
      <c r="C172" s="144">
        <v>7</v>
      </c>
      <c r="D172" s="145"/>
      <c r="E172" s="173"/>
      <c r="F172" s="132"/>
      <c r="G172" s="133"/>
      <c r="H172" s="133"/>
      <c r="I172" s="169"/>
      <c r="J172" s="150"/>
      <c r="K172" s="133"/>
      <c r="L172" s="133"/>
      <c r="M172" s="184"/>
      <c r="N172" s="184"/>
      <c r="O172" s="184"/>
      <c r="P172" s="184"/>
      <c r="Q172" s="184"/>
      <c r="R172" s="184"/>
      <c r="S172" s="184"/>
      <c r="T172" s="184"/>
      <c r="U172" s="184"/>
      <c r="V172" s="184"/>
      <c r="W172" s="184"/>
      <c r="X172" s="184"/>
      <c r="Y172" s="184"/>
      <c r="Z172" s="184"/>
      <c r="AA172" s="184"/>
      <c r="AB172" s="184"/>
      <c r="AC172" s="195"/>
      <c r="AD172" s="150"/>
      <c r="AE172" s="133"/>
      <c r="AF172" s="133"/>
      <c r="AG172" s="133"/>
      <c r="AH172" s="133"/>
      <c r="AI172" s="133"/>
      <c r="AJ172" s="133"/>
      <c r="AK172" s="133"/>
      <c r="AL172" s="133"/>
      <c r="AM172" s="175"/>
      <c r="AN172" s="133"/>
      <c r="AO172" s="133"/>
      <c r="AP172" s="133"/>
      <c r="AQ172" s="142"/>
      <c r="AR172" s="132"/>
      <c r="AS172" s="133"/>
      <c r="AT172" s="133"/>
      <c r="AU172" s="133"/>
      <c r="AV172" s="133"/>
      <c r="AW172" s="133"/>
      <c r="AX172" s="133"/>
      <c r="AY172" s="133"/>
      <c r="AZ172" s="142"/>
      <c r="BA172" s="132"/>
    </row>
    <row r="173" spans="1:53" ht="14.6" outlineLevel="3" x14ac:dyDescent="0.4">
      <c r="A173" s="143" t="s">
        <v>269</v>
      </c>
      <c r="B173" s="133" t="s">
        <v>75</v>
      </c>
      <c r="C173" s="144">
        <v>2</v>
      </c>
      <c r="D173" s="145"/>
      <c r="E173" s="173"/>
      <c r="F173" s="132"/>
      <c r="G173" s="133"/>
      <c r="H173" s="133"/>
      <c r="I173" s="169"/>
      <c r="J173" s="150"/>
      <c r="K173" s="133"/>
      <c r="L173" s="133"/>
      <c r="M173" s="184"/>
      <c r="N173" s="184"/>
      <c r="O173" s="184"/>
      <c r="P173" s="184"/>
      <c r="Q173" s="184"/>
      <c r="R173" s="184"/>
      <c r="S173" s="184"/>
      <c r="T173" s="184"/>
      <c r="U173" s="184"/>
      <c r="V173" s="184"/>
      <c r="W173" s="184"/>
      <c r="X173" s="184"/>
      <c r="Y173" s="184"/>
      <c r="Z173" s="184"/>
      <c r="AA173" s="184"/>
      <c r="AB173" s="184"/>
      <c r="AC173" s="195"/>
      <c r="AD173" s="150"/>
      <c r="AE173" s="133"/>
      <c r="AF173" s="133"/>
      <c r="AG173" s="133"/>
      <c r="AH173" s="133"/>
      <c r="AI173" s="133"/>
      <c r="AJ173" s="133"/>
      <c r="AK173" s="133"/>
      <c r="AL173" s="133"/>
      <c r="AM173" s="133"/>
      <c r="AN173" s="151"/>
      <c r="AO173" s="133"/>
      <c r="AP173" s="133"/>
      <c r="AQ173" s="142"/>
      <c r="AR173" s="132"/>
      <c r="AS173" s="133"/>
      <c r="AT173" s="133"/>
      <c r="AU173" s="133"/>
      <c r="AV173" s="133"/>
      <c r="AW173" s="133"/>
      <c r="AX173" s="133"/>
      <c r="AY173" s="133"/>
      <c r="AZ173" s="142"/>
      <c r="BA173" s="132"/>
    </row>
    <row r="174" spans="1:53" ht="14.6" outlineLevel="3" x14ac:dyDescent="0.4">
      <c r="A174" s="143" t="s">
        <v>270</v>
      </c>
      <c r="B174" s="133" t="s">
        <v>77</v>
      </c>
      <c r="C174" s="144">
        <v>1</v>
      </c>
      <c r="D174" s="145"/>
      <c r="E174" s="173"/>
      <c r="F174" s="132"/>
      <c r="G174" s="133"/>
      <c r="H174" s="133"/>
      <c r="I174" s="169"/>
      <c r="J174" s="150"/>
      <c r="K174" s="133"/>
      <c r="L174" s="133"/>
      <c r="M174" s="184"/>
      <c r="N174" s="184"/>
      <c r="O174" s="184"/>
      <c r="P174" s="184"/>
      <c r="Q174" s="184"/>
      <c r="R174" s="184"/>
      <c r="S174" s="184"/>
      <c r="T174" s="184"/>
      <c r="U174" s="184"/>
      <c r="V174" s="184"/>
      <c r="W174" s="184"/>
      <c r="X174" s="184"/>
      <c r="Y174" s="184"/>
      <c r="Z174" s="184"/>
      <c r="AA174" s="184"/>
      <c r="AB174" s="184"/>
      <c r="AC174" s="195"/>
      <c r="AD174" s="150"/>
      <c r="AE174" s="133"/>
      <c r="AF174" s="133"/>
      <c r="AG174" s="133"/>
      <c r="AH174" s="133"/>
      <c r="AI174" s="133"/>
      <c r="AJ174" s="133"/>
      <c r="AK174" s="133"/>
      <c r="AL174" s="133"/>
      <c r="AM174" s="133"/>
      <c r="AN174" s="151"/>
      <c r="AO174" s="133"/>
      <c r="AP174" s="133"/>
      <c r="AQ174" s="142"/>
      <c r="AR174" s="132"/>
      <c r="AS174" s="133"/>
      <c r="AT174" s="133"/>
      <c r="AU174" s="133"/>
      <c r="AV174" s="133"/>
      <c r="AW174" s="133"/>
      <c r="AX174" s="133"/>
      <c r="AY174" s="133"/>
      <c r="AZ174" s="142"/>
      <c r="BA174" s="132"/>
    </row>
    <row r="175" spans="1:53" ht="14.6" outlineLevel="2" x14ac:dyDescent="0.4">
      <c r="A175" s="134" t="s">
        <v>271</v>
      </c>
      <c r="B175" s="135" t="s">
        <v>131</v>
      </c>
      <c r="C175" s="136">
        <f>SUM(C176:C178)</f>
        <v>14</v>
      </c>
      <c r="D175" s="137">
        <f>E175/ORÇAMENTO!$K$125</f>
        <v>2.1806910295600414E-2</v>
      </c>
      <c r="E175" s="168">
        <f>C176*$O$262/$M$262</f>
        <v>30863.875345299391</v>
      </c>
      <c r="F175" s="132"/>
      <c r="G175" s="133"/>
      <c r="H175" s="133"/>
      <c r="I175" s="169"/>
      <c r="J175" s="150"/>
      <c r="K175" s="133"/>
      <c r="L175" s="133"/>
      <c r="M175" s="184"/>
      <c r="N175" s="184"/>
      <c r="O175" s="184"/>
      <c r="P175" s="184"/>
      <c r="Q175" s="184"/>
      <c r="R175" s="184"/>
      <c r="S175" s="184"/>
      <c r="T175" s="184"/>
      <c r="U175" s="184"/>
      <c r="V175" s="184"/>
      <c r="W175" s="184"/>
      <c r="X175" s="184"/>
      <c r="Y175" s="184"/>
      <c r="Z175" s="184"/>
      <c r="AA175" s="184"/>
      <c r="AB175" s="184"/>
      <c r="AC175" s="195"/>
      <c r="AD175" s="150"/>
      <c r="AE175" s="133"/>
      <c r="AF175" s="133"/>
      <c r="AG175" s="133"/>
      <c r="AH175" s="133"/>
      <c r="AI175" s="133"/>
      <c r="AJ175" s="133"/>
      <c r="AK175" s="133"/>
      <c r="AL175" s="133"/>
      <c r="AM175" s="133"/>
      <c r="AN175" s="152"/>
      <c r="AO175" s="140"/>
      <c r="AP175" s="141"/>
      <c r="AQ175" s="142"/>
      <c r="AR175" s="132"/>
      <c r="AS175" s="133"/>
      <c r="AT175" s="133"/>
      <c r="AU175" s="133"/>
      <c r="AV175" s="133"/>
      <c r="AW175" s="133"/>
      <c r="AX175" s="133"/>
      <c r="AY175" s="133"/>
      <c r="AZ175" s="142"/>
      <c r="BA175" s="132"/>
    </row>
    <row r="176" spans="1:53" ht="14.6" outlineLevel="3" x14ac:dyDescent="0.4">
      <c r="A176" s="143" t="s">
        <v>272</v>
      </c>
      <c r="B176" s="133" t="s">
        <v>133</v>
      </c>
      <c r="C176" s="144">
        <v>10</v>
      </c>
      <c r="D176" s="145"/>
      <c r="E176" s="173"/>
      <c r="F176" s="132"/>
      <c r="G176" s="133"/>
      <c r="H176" s="133"/>
      <c r="I176" s="169"/>
      <c r="J176" s="150"/>
      <c r="K176" s="133"/>
      <c r="L176" s="133"/>
      <c r="M176" s="184"/>
      <c r="N176" s="184"/>
      <c r="O176" s="184"/>
      <c r="P176" s="184"/>
      <c r="Q176" s="184"/>
      <c r="R176" s="184"/>
      <c r="S176" s="184"/>
      <c r="T176" s="184"/>
      <c r="U176" s="184"/>
      <c r="V176" s="184"/>
      <c r="W176" s="184"/>
      <c r="X176" s="184"/>
      <c r="Y176" s="184"/>
      <c r="Z176" s="184"/>
      <c r="AA176" s="184"/>
      <c r="AB176" s="184"/>
      <c r="AC176" s="195"/>
      <c r="AD176" s="150"/>
      <c r="AE176" s="133"/>
      <c r="AF176" s="133"/>
      <c r="AG176" s="133"/>
      <c r="AH176" s="133"/>
      <c r="AI176" s="133"/>
      <c r="AJ176" s="133"/>
      <c r="AK176" s="133"/>
      <c r="AL176" s="133"/>
      <c r="AM176" s="133"/>
      <c r="AN176" s="154"/>
      <c r="AO176" s="149"/>
      <c r="AP176" s="133"/>
      <c r="AQ176" s="142"/>
      <c r="AR176" s="132"/>
      <c r="AS176" s="133"/>
      <c r="AT176" s="133"/>
      <c r="AU176" s="133"/>
      <c r="AV176" s="133"/>
      <c r="AW176" s="133"/>
      <c r="AX176" s="133"/>
      <c r="AY176" s="133"/>
      <c r="AZ176" s="142"/>
      <c r="BA176" s="132"/>
    </row>
    <row r="177" spans="1:53" ht="14.6" outlineLevel="3" x14ac:dyDescent="0.4">
      <c r="A177" s="143" t="s">
        <v>273</v>
      </c>
      <c r="B177" s="133" t="s">
        <v>75</v>
      </c>
      <c r="C177" s="144">
        <v>3</v>
      </c>
      <c r="D177" s="145"/>
      <c r="E177" s="173"/>
      <c r="F177" s="132"/>
      <c r="G177" s="133"/>
      <c r="H177" s="133"/>
      <c r="I177" s="169"/>
      <c r="J177" s="150"/>
      <c r="K177" s="133"/>
      <c r="L177" s="133"/>
      <c r="M177" s="184"/>
      <c r="N177" s="184"/>
      <c r="O177" s="184"/>
      <c r="P177" s="184"/>
      <c r="Q177" s="184"/>
      <c r="R177" s="184"/>
      <c r="S177" s="184"/>
      <c r="T177" s="184"/>
      <c r="U177" s="184"/>
      <c r="V177" s="184"/>
      <c r="W177" s="184"/>
      <c r="X177" s="184"/>
      <c r="Y177" s="184"/>
      <c r="Z177" s="184"/>
      <c r="AA177" s="184"/>
      <c r="AB177" s="184"/>
      <c r="AC177" s="195"/>
      <c r="AD177" s="150"/>
      <c r="AE177" s="133"/>
      <c r="AF177" s="133"/>
      <c r="AG177" s="133"/>
      <c r="AH177" s="133"/>
      <c r="AI177" s="133"/>
      <c r="AJ177" s="133"/>
      <c r="AK177" s="133"/>
      <c r="AL177" s="133"/>
      <c r="AM177" s="133"/>
      <c r="AN177" s="133"/>
      <c r="AO177" s="133"/>
      <c r="AP177" s="151"/>
      <c r="AQ177" s="142"/>
      <c r="AR177" s="132"/>
      <c r="AS177" s="133"/>
      <c r="AT177" s="133"/>
      <c r="AU177" s="133"/>
      <c r="AV177" s="133"/>
      <c r="AW177" s="133"/>
      <c r="AX177" s="133"/>
      <c r="AY177" s="133"/>
      <c r="AZ177" s="142"/>
      <c r="BA177" s="132"/>
    </row>
    <row r="178" spans="1:53" ht="14.6" outlineLevel="3" x14ac:dyDescent="0.4">
      <c r="A178" s="143" t="s">
        <v>274</v>
      </c>
      <c r="B178" s="133" t="s">
        <v>77</v>
      </c>
      <c r="C178" s="144">
        <v>1</v>
      </c>
      <c r="D178" s="145"/>
      <c r="E178" s="173"/>
      <c r="F178" s="132"/>
      <c r="G178" s="133"/>
      <c r="H178" s="133"/>
      <c r="I178" s="169"/>
      <c r="J178" s="150"/>
      <c r="K178" s="133"/>
      <c r="L178" s="133"/>
      <c r="M178" s="184"/>
      <c r="N178" s="184"/>
      <c r="O178" s="184"/>
      <c r="P178" s="184"/>
      <c r="Q178" s="184"/>
      <c r="R178" s="184"/>
      <c r="S178" s="184"/>
      <c r="T178" s="184"/>
      <c r="U178" s="184"/>
      <c r="V178" s="184"/>
      <c r="W178" s="184"/>
      <c r="X178" s="184"/>
      <c r="Y178" s="184"/>
      <c r="Z178" s="184"/>
      <c r="AA178" s="184"/>
      <c r="AB178" s="184"/>
      <c r="AC178" s="195"/>
      <c r="AD178" s="150"/>
      <c r="AE178" s="133"/>
      <c r="AF178" s="133"/>
      <c r="AG178" s="133"/>
      <c r="AH178" s="133"/>
      <c r="AI178" s="133"/>
      <c r="AJ178" s="133"/>
      <c r="AK178" s="133"/>
      <c r="AL178" s="133"/>
      <c r="AM178" s="133"/>
      <c r="AN178" s="133"/>
      <c r="AO178" s="133"/>
      <c r="AP178" s="151"/>
      <c r="AQ178" s="142"/>
      <c r="AR178" s="132"/>
      <c r="AS178" s="133"/>
      <c r="AT178" s="133"/>
      <c r="AU178" s="133"/>
      <c r="AV178" s="133"/>
      <c r="AW178" s="133"/>
      <c r="AX178" s="133"/>
      <c r="AY178" s="133"/>
      <c r="AZ178" s="142"/>
      <c r="BA178" s="132"/>
    </row>
    <row r="179" spans="1:53" ht="14.6" outlineLevel="2" x14ac:dyDescent="0.4">
      <c r="A179" s="134" t="s">
        <v>275</v>
      </c>
      <c r="B179" s="135" t="s">
        <v>143</v>
      </c>
      <c r="C179" s="136">
        <f>SUM(C180:C182)</f>
        <v>10</v>
      </c>
      <c r="D179" s="137">
        <f>E179/ORÇAMENTO!$K$125</f>
        <v>1.051481995966057E-2</v>
      </c>
      <c r="E179" s="168">
        <f>C180*$O$265/$M$265</f>
        <v>14881.892396223777</v>
      </c>
      <c r="F179" s="132"/>
      <c r="G179" s="133"/>
      <c r="H179" s="133"/>
      <c r="I179" s="169"/>
      <c r="J179" s="150"/>
      <c r="K179" s="133"/>
      <c r="L179" s="133"/>
      <c r="M179" s="184"/>
      <c r="N179" s="184"/>
      <c r="O179" s="184"/>
      <c r="P179" s="184"/>
      <c r="Q179" s="184"/>
      <c r="R179" s="184"/>
      <c r="S179" s="184"/>
      <c r="T179" s="184"/>
      <c r="U179" s="184"/>
      <c r="V179" s="184"/>
      <c r="W179" s="184"/>
      <c r="X179" s="184"/>
      <c r="Y179" s="184"/>
      <c r="Z179" s="184"/>
      <c r="AA179" s="184"/>
      <c r="AB179" s="184"/>
      <c r="AC179" s="195"/>
      <c r="AD179" s="150"/>
      <c r="AE179" s="133"/>
      <c r="AF179" s="133"/>
      <c r="AG179" s="133"/>
      <c r="AH179" s="133"/>
      <c r="AI179" s="133"/>
      <c r="AJ179" s="133"/>
      <c r="AK179" s="133"/>
      <c r="AL179" s="152"/>
      <c r="AM179" s="141"/>
      <c r="AN179" s="133"/>
      <c r="AO179" s="133"/>
      <c r="AP179" s="133"/>
      <c r="AQ179" s="142"/>
      <c r="AR179" s="132"/>
      <c r="AS179" s="133"/>
      <c r="AT179" s="133"/>
      <c r="AU179" s="133"/>
      <c r="AV179" s="133"/>
      <c r="AW179" s="133"/>
      <c r="AX179" s="133"/>
      <c r="AY179" s="133"/>
      <c r="AZ179" s="142"/>
      <c r="BA179" s="132"/>
    </row>
    <row r="180" spans="1:53" ht="14.6" outlineLevel="3" x14ac:dyDescent="0.4">
      <c r="A180" s="143" t="s">
        <v>276</v>
      </c>
      <c r="B180" s="133" t="s">
        <v>145</v>
      </c>
      <c r="C180" s="144">
        <v>7</v>
      </c>
      <c r="D180" s="145"/>
      <c r="E180" s="173"/>
      <c r="F180" s="132"/>
      <c r="G180" s="133"/>
      <c r="H180" s="133"/>
      <c r="I180" s="169"/>
      <c r="J180" s="150"/>
      <c r="K180" s="133"/>
      <c r="L180" s="133"/>
      <c r="M180" s="184"/>
      <c r="N180" s="184"/>
      <c r="O180" s="184"/>
      <c r="P180" s="184"/>
      <c r="Q180" s="184"/>
      <c r="R180" s="184"/>
      <c r="S180" s="184"/>
      <c r="T180" s="184"/>
      <c r="U180" s="184"/>
      <c r="V180" s="184"/>
      <c r="W180" s="184"/>
      <c r="X180" s="184"/>
      <c r="Y180" s="184"/>
      <c r="Z180" s="184"/>
      <c r="AA180" s="184"/>
      <c r="AB180" s="184"/>
      <c r="AC180" s="195"/>
      <c r="AD180" s="150"/>
      <c r="AE180" s="133"/>
      <c r="AF180" s="133"/>
      <c r="AG180" s="133"/>
      <c r="AH180" s="133"/>
      <c r="AI180" s="133"/>
      <c r="AJ180" s="133"/>
      <c r="AK180" s="133"/>
      <c r="AL180" s="175"/>
      <c r="AM180" s="133"/>
      <c r="AN180" s="133"/>
      <c r="AO180" s="133"/>
      <c r="AP180" s="133"/>
      <c r="AQ180" s="142"/>
      <c r="AR180" s="132"/>
      <c r="AS180" s="133"/>
      <c r="AT180" s="133"/>
      <c r="AU180" s="133"/>
      <c r="AV180" s="133"/>
      <c r="AW180" s="133"/>
      <c r="AX180" s="133"/>
      <c r="AY180" s="133"/>
      <c r="AZ180" s="142"/>
      <c r="BA180" s="132"/>
    </row>
    <row r="181" spans="1:53" ht="14.6" outlineLevel="3" x14ac:dyDescent="0.4">
      <c r="A181" s="143" t="s">
        <v>277</v>
      </c>
      <c r="B181" s="133" t="s">
        <v>75</v>
      </c>
      <c r="C181" s="144">
        <v>2</v>
      </c>
      <c r="D181" s="145"/>
      <c r="E181" s="173"/>
      <c r="F181" s="132"/>
      <c r="G181" s="133"/>
      <c r="H181" s="133"/>
      <c r="I181" s="169"/>
      <c r="J181" s="150"/>
      <c r="K181" s="133"/>
      <c r="L181" s="133"/>
      <c r="M181" s="184"/>
      <c r="N181" s="184"/>
      <c r="O181" s="184"/>
      <c r="P181" s="184"/>
      <c r="Q181" s="184"/>
      <c r="R181" s="184"/>
      <c r="S181" s="184"/>
      <c r="T181" s="184"/>
      <c r="U181" s="184"/>
      <c r="V181" s="184"/>
      <c r="W181" s="184"/>
      <c r="X181" s="184"/>
      <c r="Y181" s="184"/>
      <c r="Z181" s="184"/>
      <c r="AA181" s="184"/>
      <c r="AB181" s="184"/>
      <c r="AC181" s="195"/>
      <c r="AD181" s="150"/>
      <c r="AE181" s="133"/>
      <c r="AF181" s="133"/>
      <c r="AG181" s="133"/>
      <c r="AH181" s="133"/>
      <c r="AI181" s="133"/>
      <c r="AJ181" s="133"/>
      <c r="AK181" s="133"/>
      <c r="AL181" s="133"/>
      <c r="AM181" s="151"/>
      <c r="AN181" s="133"/>
      <c r="AO181" s="133"/>
      <c r="AP181" s="133"/>
      <c r="AQ181" s="142"/>
      <c r="AR181" s="132"/>
      <c r="AS181" s="133"/>
      <c r="AT181" s="133"/>
      <c r="AU181" s="133"/>
      <c r="AV181" s="133"/>
      <c r="AW181" s="133"/>
      <c r="AX181" s="133"/>
      <c r="AY181" s="133"/>
      <c r="AZ181" s="142"/>
      <c r="BA181" s="132"/>
    </row>
    <row r="182" spans="1:53" ht="14.6" outlineLevel="3" x14ac:dyDescent="0.4">
      <c r="A182" s="143" t="s">
        <v>278</v>
      </c>
      <c r="B182" s="133" t="s">
        <v>77</v>
      </c>
      <c r="C182" s="144">
        <v>1</v>
      </c>
      <c r="D182" s="145"/>
      <c r="E182" s="173"/>
      <c r="F182" s="132"/>
      <c r="G182" s="133"/>
      <c r="H182" s="133"/>
      <c r="I182" s="169"/>
      <c r="J182" s="150"/>
      <c r="K182" s="133"/>
      <c r="L182" s="133"/>
      <c r="M182" s="184"/>
      <c r="N182" s="184"/>
      <c r="O182" s="184"/>
      <c r="P182" s="184"/>
      <c r="Q182" s="184"/>
      <c r="R182" s="184"/>
      <c r="S182" s="184"/>
      <c r="T182" s="184"/>
      <c r="U182" s="184"/>
      <c r="V182" s="184"/>
      <c r="W182" s="184"/>
      <c r="X182" s="184"/>
      <c r="Y182" s="184"/>
      <c r="Z182" s="184"/>
      <c r="AA182" s="184"/>
      <c r="AB182" s="184"/>
      <c r="AC182" s="195"/>
      <c r="AD182" s="150"/>
      <c r="AE182" s="133"/>
      <c r="AF182" s="133"/>
      <c r="AG182" s="133"/>
      <c r="AH182" s="133"/>
      <c r="AI182" s="133"/>
      <c r="AJ182" s="133"/>
      <c r="AK182" s="133"/>
      <c r="AL182" s="133"/>
      <c r="AM182" s="151"/>
      <c r="AN182" s="133"/>
      <c r="AO182" s="133"/>
      <c r="AP182" s="133"/>
      <c r="AQ182" s="142"/>
      <c r="AR182" s="132"/>
      <c r="AS182" s="133"/>
      <c r="AT182" s="133"/>
      <c r="AU182" s="133"/>
      <c r="AV182" s="133"/>
      <c r="AW182" s="133"/>
      <c r="AX182" s="133"/>
      <c r="AY182" s="133"/>
      <c r="AZ182" s="142"/>
      <c r="BA182" s="132"/>
    </row>
    <row r="183" spans="1:53" ht="14.6" outlineLevel="2" x14ac:dyDescent="0.4">
      <c r="A183" s="134" t="s">
        <v>279</v>
      </c>
      <c r="B183" s="135" t="s">
        <v>155</v>
      </c>
      <c r="C183" s="136">
        <f>SUM(C184:C186)</f>
        <v>7</v>
      </c>
      <c r="D183" s="137">
        <f>E183/ORÇAMENTO!$K$125</f>
        <v>5.3609683893685259E-3</v>
      </c>
      <c r="E183" s="168">
        <f>C184*$O$267/$M$267</f>
        <v>7587.5150517284683</v>
      </c>
      <c r="F183" s="132"/>
      <c r="G183" s="133"/>
      <c r="H183" s="133"/>
      <c r="I183" s="169"/>
      <c r="J183" s="150"/>
      <c r="K183" s="133"/>
      <c r="L183" s="133"/>
      <c r="M183" s="184"/>
      <c r="N183" s="184"/>
      <c r="O183" s="184"/>
      <c r="P183" s="184"/>
      <c r="Q183" s="184"/>
      <c r="R183" s="184"/>
      <c r="S183" s="184"/>
      <c r="T183" s="184"/>
      <c r="U183" s="184"/>
      <c r="V183" s="184"/>
      <c r="W183" s="184"/>
      <c r="X183" s="184"/>
      <c r="Y183" s="184"/>
      <c r="Z183" s="184"/>
      <c r="AA183" s="184"/>
      <c r="AB183" s="184"/>
      <c r="AC183" s="195"/>
      <c r="AD183" s="150"/>
      <c r="AE183" s="133"/>
      <c r="AF183" s="133"/>
      <c r="AG183" s="133"/>
      <c r="AH183" s="133"/>
      <c r="AI183" s="133"/>
      <c r="AJ183" s="133"/>
      <c r="AK183" s="133"/>
      <c r="AL183" s="135"/>
      <c r="AM183" s="133"/>
      <c r="AN183" s="133"/>
      <c r="AO183" s="133"/>
      <c r="AP183" s="133"/>
      <c r="AQ183" s="142"/>
      <c r="AR183" s="132"/>
      <c r="AS183" s="133"/>
      <c r="AT183" s="133"/>
      <c r="AU183" s="133"/>
      <c r="AV183" s="133"/>
      <c r="AW183" s="133"/>
      <c r="AX183" s="133"/>
      <c r="AY183" s="133"/>
      <c r="AZ183" s="142"/>
      <c r="BA183" s="132"/>
    </row>
    <row r="184" spans="1:53" ht="14.6" outlineLevel="3" x14ac:dyDescent="0.4">
      <c r="A184" s="143" t="s">
        <v>280</v>
      </c>
      <c r="B184" s="133" t="s">
        <v>157</v>
      </c>
      <c r="C184" s="144">
        <v>4</v>
      </c>
      <c r="D184" s="145"/>
      <c r="E184" s="173"/>
      <c r="F184" s="132"/>
      <c r="G184" s="133"/>
      <c r="H184" s="133"/>
      <c r="I184" s="169"/>
      <c r="J184" s="150"/>
      <c r="K184" s="133"/>
      <c r="L184" s="133"/>
      <c r="M184" s="184"/>
      <c r="N184" s="184"/>
      <c r="O184" s="184"/>
      <c r="P184" s="184"/>
      <c r="Q184" s="184"/>
      <c r="R184" s="184"/>
      <c r="S184" s="184"/>
      <c r="T184" s="184"/>
      <c r="U184" s="184"/>
      <c r="V184" s="184"/>
      <c r="W184" s="184"/>
      <c r="X184" s="184"/>
      <c r="Y184" s="184"/>
      <c r="Z184" s="184"/>
      <c r="AA184" s="184"/>
      <c r="AB184" s="184"/>
      <c r="AC184" s="195"/>
      <c r="AD184" s="150"/>
      <c r="AE184" s="133"/>
      <c r="AF184" s="133"/>
      <c r="AG184" s="133"/>
      <c r="AH184" s="133"/>
      <c r="AI184" s="133"/>
      <c r="AJ184" s="133"/>
      <c r="AK184" s="133"/>
      <c r="AL184" s="175"/>
      <c r="AM184" s="133"/>
      <c r="AN184" s="133"/>
      <c r="AO184" s="133"/>
      <c r="AP184" s="133"/>
      <c r="AQ184" s="142"/>
      <c r="AR184" s="132"/>
      <c r="AS184" s="133"/>
      <c r="AT184" s="133"/>
      <c r="AU184" s="133"/>
      <c r="AV184" s="133"/>
      <c r="AW184" s="133"/>
      <c r="AX184" s="133"/>
      <c r="AY184" s="133"/>
      <c r="AZ184" s="142"/>
      <c r="BA184" s="132"/>
    </row>
    <row r="185" spans="1:53" ht="14.6" outlineLevel="3" x14ac:dyDescent="0.4">
      <c r="A185" s="143" t="s">
        <v>281</v>
      </c>
      <c r="B185" s="133" t="s">
        <v>75</v>
      </c>
      <c r="C185" s="144">
        <v>2</v>
      </c>
      <c r="D185" s="145"/>
      <c r="E185" s="173"/>
      <c r="F185" s="132"/>
      <c r="G185" s="133"/>
      <c r="H185" s="133"/>
      <c r="I185" s="169"/>
      <c r="J185" s="150"/>
      <c r="K185" s="133"/>
      <c r="L185" s="133"/>
      <c r="M185" s="184"/>
      <c r="N185" s="184"/>
      <c r="O185" s="184"/>
      <c r="P185" s="184"/>
      <c r="Q185" s="184"/>
      <c r="R185" s="184"/>
      <c r="S185" s="184"/>
      <c r="T185" s="184"/>
      <c r="U185" s="184"/>
      <c r="V185" s="184"/>
      <c r="W185" s="184"/>
      <c r="X185" s="184"/>
      <c r="Y185" s="184"/>
      <c r="Z185" s="184"/>
      <c r="AA185" s="184"/>
      <c r="AB185" s="184"/>
      <c r="AC185" s="195"/>
      <c r="AD185" s="150"/>
      <c r="AE185" s="133"/>
      <c r="AF185" s="133"/>
      <c r="AG185" s="133"/>
      <c r="AH185" s="133"/>
      <c r="AI185" s="133"/>
      <c r="AJ185" s="133"/>
      <c r="AK185" s="133"/>
      <c r="AL185" s="151"/>
      <c r="AM185" s="133"/>
      <c r="AN185" s="133"/>
      <c r="AO185" s="133"/>
      <c r="AP185" s="133"/>
      <c r="AQ185" s="142"/>
      <c r="AR185" s="132"/>
      <c r="AS185" s="133"/>
      <c r="AT185" s="133"/>
      <c r="AU185" s="133"/>
      <c r="AV185" s="133"/>
      <c r="AW185" s="133"/>
      <c r="AX185" s="133"/>
      <c r="AY185" s="133"/>
      <c r="AZ185" s="142"/>
      <c r="BA185" s="132"/>
    </row>
    <row r="186" spans="1:53" ht="14.6" outlineLevel="3" x14ac:dyDescent="0.4">
      <c r="A186" s="143" t="s">
        <v>282</v>
      </c>
      <c r="B186" s="133" t="s">
        <v>77</v>
      </c>
      <c r="C186" s="144">
        <v>1</v>
      </c>
      <c r="D186" s="145"/>
      <c r="E186" s="173"/>
      <c r="F186" s="132"/>
      <c r="G186" s="133"/>
      <c r="H186" s="133"/>
      <c r="I186" s="169"/>
      <c r="J186" s="150"/>
      <c r="K186" s="133"/>
      <c r="L186" s="133"/>
      <c r="M186" s="184"/>
      <c r="N186" s="184"/>
      <c r="O186" s="184"/>
      <c r="P186" s="184"/>
      <c r="Q186" s="184"/>
      <c r="R186" s="184"/>
      <c r="S186" s="184"/>
      <c r="T186" s="184"/>
      <c r="U186" s="184"/>
      <c r="V186" s="184"/>
      <c r="W186" s="184"/>
      <c r="X186" s="184"/>
      <c r="Y186" s="184"/>
      <c r="Z186" s="184"/>
      <c r="AA186" s="184"/>
      <c r="AB186" s="184"/>
      <c r="AC186" s="195"/>
      <c r="AD186" s="150"/>
      <c r="AE186" s="133"/>
      <c r="AF186" s="133"/>
      <c r="AG186" s="133"/>
      <c r="AH186" s="133"/>
      <c r="AI186" s="133"/>
      <c r="AJ186" s="133"/>
      <c r="AK186" s="133"/>
      <c r="AL186" s="151"/>
      <c r="AM186" s="133"/>
      <c r="AN186" s="133"/>
      <c r="AO186" s="133"/>
      <c r="AP186" s="133"/>
      <c r="AQ186" s="142"/>
      <c r="AR186" s="132"/>
      <c r="AS186" s="133"/>
      <c r="AT186" s="133"/>
      <c r="AU186" s="133"/>
      <c r="AV186" s="133"/>
      <c r="AW186" s="133"/>
      <c r="AX186" s="133"/>
      <c r="AY186" s="133"/>
      <c r="AZ186" s="142"/>
      <c r="BA186" s="132"/>
    </row>
    <row r="187" spans="1:53" ht="14.6" outlineLevel="2" x14ac:dyDescent="0.4">
      <c r="A187" s="134" t="s">
        <v>283</v>
      </c>
      <c r="B187" s="135" t="s">
        <v>233</v>
      </c>
      <c r="C187" s="136">
        <f>SUM(C188:C190)</f>
        <v>5</v>
      </c>
      <c r="D187" s="137">
        <f>E187/ORÇAMENTO!$K$125</f>
        <v>3.0042265536092253E-3</v>
      </c>
      <c r="E187" s="168">
        <f>C188*$O$264/$M$264</f>
        <v>4251.9583289311913</v>
      </c>
      <c r="F187" s="132"/>
      <c r="G187" s="133"/>
      <c r="H187" s="133"/>
      <c r="I187" s="169"/>
      <c r="J187" s="150"/>
      <c r="K187" s="133"/>
      <c r="L187" s="133"/>
      <c r="M187" s="184"/>
      <c r="N187" s="184"/>
      <c r="O187" s="184"/>
      <c r="P187" s="133"/>
      <c r="Q187" s="133"/>
      <c r="R187" s="133"/>
      <c r="S187" s="133"/>
      <c r="T187" s="133"/>
      <c r="U187" s="133"/>
      <c r="V187" s="133"/>
      <c r="W187" s="133"/>
      <c r="X187" s="133"/>
      <c r="Y187" s="133"/>
      <c r="Z187" s="133"/>
      <c r="AA187" s="133"/>
      <c r="AB187" s="133"/>
      <c r="AC187" s="169"/>
      <c r="AD187" s="150"/>
      <c r="AE187" s="133"/>
      <c r="AF187" s="133"/>
      <c r="AG187" s="133"/>
      <c r="AH187" s="133"/>
      <c r="AI187" s="133"/>
      <c r="AJ187" s="133"/>
      <c r="AK187" s="133"/>
      <c r="AL187" s="133"/>
      <c r="AM187" s="135"/>
      <c r="AN187" s="133"/>
      <c r="AO187" s="133"/>
      <c r="AP187" s="133"/>
      <c r="AQ187" s="142"/>
      <c r="AR187" s="132"/>
      <c r="AS187" s="133"/>
      <c r="AT187" s="133"/>
      <c r="AU187" s="133"/>
      <c r="AV187" s="133"/>
      <c r="AW187" s="133"/>
      <c r="AX187" s="133"/>
      <c r="AY187" s="133"/>
      <c r="AZ187" s="142"/>
      <c r="BA187" s="132"/>
    </row>
    <row r="188" spans="1:53" ht="14.6" outlineLevel="3" x14ac:dyDescent="0.4">
      <c r="A188" s="143" t="s">
        <v>284</v>
      </c>
      <c r="B188" s="133" t="s">
        <v>235</v>
      </c>
      <c r="C188" s="144">
        <v>2</v>
      </c>
      <c r="D188" s="145"/>
      <c r="E188" s="173"/>
      <c r="F188" s="132"/>
      <c r="G188" s="133"/>
      <c r="H188" s="133"/>
      <c r="I188" s="169"/>
      <c r="J188" s="150"/>
      <c r="K188" s="133"/>
      <c r="L188" s="133"/>
      <c r="M188" s="184"/>
      <c r="N188" s="184"/>
      <c r="O188" s="184"/>
      <c r="P188" s="133"/>
      <c r="Q188" s="133"/>
      <c r="R188" s="133"/>
      <c r="S188" s="133"/>
      <c r="T188" s="133"/>
      <c r="U188" s="133"/>
      <c r="V188" s="133"/>
      <c r="W188" s="133"/>
      <c r="X188" s="133"/>
      <c r="Y188" s="133"/>
      <c r="Z188" s="133"/>
      <c r="AA188" s="133"/>
      <c r="AB188" s="133"/>
      <c r="AC188" s="169"/>
      <c r="AD188" s="150"/>
      <c r="AE188" s="133"/>
      <c r="AF188" s="133"/>
      <c r="AG188" s="133"/>
      <c r="AH188" s="133"/>
      <c r="AI188" s="133"/>
      <c r="AJ188" s="133"/>
      <c r="AK188" s="133"/>
      <c r="AL188" s="133"/>
      <c r="AM188" s="175"/>
      <c r="AN188" s="133"/>
      <c r="AO188" s="133"/>
      <c r="AP188" s="133"/>
      <c r="AQ188" s="142"/>
      <c r="AR188" s="132"/>
      <c r="AS188" s="133"/>
      <c r="AT188" s="133"/>
      <c r="AU188" s="133"/>
      <c r="AV188" s="133"/>
      <c r="AW188" s="133"/>
      <c r="AX188" s="133"/>
      <c r="AY188" s="133"/>
      <c r="AZ188" s="142"/>
      <c r="BA188" s="132"/>
    </row>
    <row r="189" spans="1:53" ht="14.6" outlineLevel="3" x14ac:dyDescent="0.4">
      <c r="A189" s="143" t="s">
        <v>285</v>
      </c>
      <c r="B189" s="133" t="s">
        <v>75</v>
      </c>
      <c r="C189" s="144">
        <v>2</v>
      </c>
      <c r="D189" s="145"/>
      <c r="E189" s="173"/>
      <c r="F189" s="132"/>
      <c r="G189" s="133"/>
      <c r="H189" s="133"/>
      <c r="I189" s="169"/>
      <c r="J189" s="150"/>
      <c r="K189" s="133"/>
      <c r="L189" s="133"/>
      <c r="M189" s="184"/>
      <c r="N189" s="184"/>
      <c r="O189" s="184"/>
      <c r="P189" s="133"/>
      <c r="Q189" s="133"/>
      <c r="R189" s="133"/>
      <c r="S189" s="133"/>
      <c r="T189" s="133"/>
      <c r="U189" s="133"/>
      <c r="V189" s="133"/>
      <c r="W189" s="133"/>
      <c r="X189" s="133"/>
      <c r="Y189" s="133"/>
      <c r="Z189" s="133"/>
      <c r="AA189" s="133"/>
      <c r="AB189" s="133"/>
      <c r="AC189" s="169"/>
      <c r="AD189" s="150"/>
      <c r="AE189" s="133"/>
      <c r="AF189" s="133"/>
      <c r="AG189" s="133"/>
      <c r="AH189" s="133"/>
      <c r="AI189" s="133"/>
      <c r="AJ189" s="133"/>
      <c r="AK189" s="133"/>
      <c r="AL189" s="133"/>
      <c r="AM189" s="151"/>
      <c r="AN189" s="133"/>
      <c r="AO189" s="133"/>
      <c r="AP189" s="133"/>
      <c r="AQ189" s="142"/>
      <c r="AR189" s="132"/>
      <c r="AS189" s="133"/>
      <c r="AT189" s="133"/>
      <c r="AU189" s="133"/>
      <c r="AV189" s="133"/>
      <c r="AW189" s="133"/>
      <c r="AX189" s="133"/>
      <c r="AY189" s="133"/>
      <c r="AZ189" s="142"/>
      <c r="BA189" s="132"/>
    </row>
    <row r="190" spans="1:53" ht="14.6" outlineLevel="3" x14ac:dyDescent="0.4">
      <c r="A190" s="143" t="s">
        <v>286</v>
      </c>
      <c r="B190" s="133" t="s">
        <v>77</v>
      </c>
      <c r="C190" s="144">
        <v>1</v>
      </c>
      <c r="D190" s="145"/>
      <c r="E190" s="173"/>
      <c r="F190" s="132"/>
      <c r="G190" s="133"/>
      <c r="H190" s="133"/>
      <c r="I190" s="169"/>
      <c r="J190" s="150"/>
      <c r="K190" s="133"/>
      <c r="L190" s="133"/>
      <c r="M190" s="184"/>
      <c r="N190" s="184"/>
      <c r="O190" s="184"/>
      <c r="P190" s="133"/>
      <c r="Q190" s="133"/>
      <c r="R190" s="133"/>
      <c r="S190" s="133"/>
      <c r="T190" s="133"/>
      <c r="U190" s="133"/>
      <c r="V190" s="133"/>
      <c r="W190" s="133"/>
      <c r="X190" s="133"/>
      <c r="Y190" s="133"/>
      <c r="Z190" s="133"/>
      <c r="AA190" s="133"/>
      <c r="AB190" s="133"/>
      <c r="AC190" s="169"/>
      <c r="AD190" s="150"/>
      <c r="AE190" s="133"/>
      <c r="AF190" s="133"/>
      <c r="AG190" s="133"/>
      <c r="AH190" s="133"/>
      <c r="AI190" s="133"/>
      <c r="AJ190" s="133"/>
      <c r="AK190" s="133"/>
      <c r="AL190" s="133"/>
      <c r="AM190" s="151"/>
      <c r="AN190" s="133"/>
      <c r="AO190" s="133"/>
      <c r="AP190" s="133"/>
      <c r="AQ190" s="142"/>
      <c r="AR190" s="132"/>
      <c r="AS190" s="133"/>
      <c r="AT190" s="133"/>
      <c r="AU190" s="133"/>
      <c r="AV190" s="133"/>
      <c r="AW190" s="133"/>
      <c r="AX190" s="133"/>
      <c r="AY190" s="133"/>
      <c r="AZ190" s="142"/>
      <c r="BA190" s="132"/>
    </row>
    <row r="191" spans="1:53" ht="14.6" outlineLevel="2" x14ac:dyDescent="0.4">
      <c r="A191" s="134" t="s">
        <v>287</v>
      </c>
      <c r="B191" s="135" t="s">
        <v>161</v>
      </c>
      <c r="C191" s="136">
        <f>SUM(C192:C194)</f>
        <v>12</v>
      </c>
      <c r="D191" s="137">
        <f>E191/ORÇAMENTO!$K$125</f>
        <v>1.051481949774556E-2</v>
      </c>
      <c r="E191" s="168">
        <f>C192*$O$268/$M$268</f>
        <v>14881.891742463702</v>
      </c>
      <c r="F191" s="132"/>
      <c r="G191" s="133"/>
      <c r="H191" s="133"/>
      <c r="I191" s="169"/>
      <c r="J191" s="150"/>
      <c r="K191" s="133"/>
      <c r="L191" s="133"/>
      <c r="M191" s="184"/>
      <c r="N191" s="184"/>
      <c r="O191" s="184"/>
      <c r="P191" s="184"/>
      <c r="Q191" s="184"/>
      <c r="R191" s="184"/>
      <c r="S191" s="184"/>
      <c r="T191" s="184"/>
      <c r="U191" s="184"/>
      <c r="V191" s="184"/>
      <c r="W191" s="184"/>
      <c r="X191" s="184"/>
      <c r="Y191" s="184"/>
      <c r="Z191" s="184"/>
      <c r="AA191" s="184"/>
      <c r="AB191" s="184"/>
      <c r="AC191" s="195"/>
      <c r="AD191" s="150"/>
      <c r="AE191" s="133"/>
      <c r="AF191" s="133"/>
      <c r="AG191" s="133"/>
      <c r="AH191" s="133"/>
      <c r="AI191" s="133"/>
      <c r="AJ191" s="133"/>
      <c r="AK191" s="133"/>
      <c r="AL191" s="133"/>
      <c r="AM191" s="133"/>
      <c r="AN191" s="133"/>
      <c r="AO191" s="133"/>
      <c r="AP191" s="152"/>
      <c r="AQ191" s="153"/>
      <c r="AR191" s="132"/>
      <c r="AS191" s="133"/>
      <c r="AT191" s="133"/>
      <c r="AU191" s="133"/>
      <c r="AV191" s="133"/>
      <c r="AW191" s="133"/>
      <c r="AX191" s="133"/>
      <c r="AY191" s="133"/>
      <c r="AZ191" s="142"/>
      <c r="BA191" s="132"/>
    </row>
    <row r="192" spans="1:53" ht="14.6" outlineLevel="3" x14ac:dyDescent="0.4">
      <c r="A192" s="143" t="s">
        <v>288</v>
      </c>
      <c r="B192" s="133" t="s">
        <v>163</v>
      </c>
      <c r="C192" s="144">
        <v>7</v>
      </c>
      <c r="D192" s="145"/>
      <c r="E192" s="173"/>
      <c r="F192" s="132"/>
      <c r="G192" s="133"/>
      <c r="H192" s="133"/>
      <c r="I192" s="169"/>
      <c r="J192" s="150"/>
      <c r="K192" s="133"/>
      <c r="L192" s="133"/>
      <c r="M192" s="184"/>
      <c r="N192" s="184"/>
      <c r="O192" s="184"/>
      <c r="P192" s="184"/>
      <c r="Q192" s="184"/>
      <c r="R192" s="184"/>
      <c r="S192" s="184"/>
      <c r="T192" s="184"/>
      <c r="U192" s="184"/>
      <c r="V192" s="184"/>
      <c r="W192" s="184"/>
      <c r="X192" s="184"/>
      <c r="Y192" s="184"/>
      <c r="Z192" s="184"/>
      <c r="AA192" s="184"/>
      <c r="AB192" s="184"/>
      <c r="AC192" s="195"/>
      <c r="AD192" s="187"/>
      <c r="AE192" s="184"/>
      <c r="AF192" s="184"/>
      <c r="AG192" s="133"/>
      <c r="AH192" s="133"/>
      <c r="AI192" s="133"/>
      <c r="AJ192" s="133"/>
      <c r="AK192" s="133"/>
      <c r="AL192" s="184"/>
      <c r="AM192" s="184"/>
      <c r="AN192" s="184"/>
      <c r="AO192" s="133"/>
      <c r="AP192" s="175"/>
      <c r="AQ192" s="142"/>
      <c r="AR192" s="132"/>
      <c r="AS192" s="133"/>
      <c r="AT192" s="133"/>
      <c r="AU192" s="133"/>
      <c r="AV192" s="133"/>
      <c r="AW192" s="133"/>
      <c r="AX192" s="133"/>
      <c r="AY192" s="133"/>
      <c r="AZ192" s="142"/>
      <c r="BA192" s="132"/>
    </row>
    <row r="193" spans="1:53" ht="14.6" outlineLevel="3" x14ac:dyDescent="0.4">
      <c r="A193" s="143" t="s">
        <v>289</v>
      </c>
      <c r="B193" s="133" t="s">
        <v>75</v>
      </c>
      <c r="C193" s="144">
        <v>3</v>
      </c>
      <c r="D193" s="145"/>
      <c r="E193" s="173"/>
      <c r="F193" s="132"/>
      <c r="G193" s="133"/>
      <c r="H193" s="133"/>
      <c r="I193" s="169"/>
      <c r="J193" s="150"/>
      <c r="K193" s="133"/>
      <c r="L193" s="133"/>
      <c r="M193" s="184"/>
      <c r="N193" s="184"/>
      <c r="O193" s="184"/>
      <c r="P193" s="184"/>
      <c r="Q193" s="184"/>
      <c r="R193" s="184"/>
      <c r="S193" s="184"/>
      <c r="T193" s="184"/>
      <c r="U193" s="184"/>
      <c r="V193" s="184"/>
      <c r="W193" s="184"/>
      <c r="X193" s="184"/>
      <c r="Y193" s="184"/>
      <c r="Z193" s="184"/>
      <c r="AA193" s="184"/>
      <c r="AB193" s="184"/>
      <c r="AC193" s="195"/>
      <c r="AD193" s="187"/>
      <c r="AE193" s="184"/>
      <c r="AF193" s="184"/>
      <c r="AG193" s="133"/>
      <c r="AH193" s="133"/>
      <c r="AI193" s="133"/>
      <c r="AJ193" s="133"/>
      <c r="AK193" s="133"/>
      <c r="AL193" s="184"/>
      <c r="AM193" s="184"/>
      <c r="AN193" s="184"/>
      <c r="AO193" s="133"/>
      <c r="AP193" s="133"/>
      <c r="AQ193" s="155"/>
      <c r="AR193" s="132"/>
      <c r="AS193" s="133"/>
      <c r="AT193" s="133"/>
      <c r="AU193" s="133"/>
      <c r="AV193" s="133"/>
      <c r="AW193" s="133"/>
      <c r="AX193" s="133"/>
      <c r="AY193" s="133"/>
      <c r="AZ193" s="142"/>
      <c r="BA193" s="132"/>
    </row>
    <row r="194" spans="1:53" ht="15" outlineLevel="3" thickBot="1" x14ac:dyDescent="0.45">
      <c r="A194" s="143" t="s">
        <v>290</v>
      </c>
      <c r="B194" s="133" t="s">
        <v>77</v>
      </c>
      <c r="C194" s="144">
        <f>1+1</f>
        <v>2</v>
      </c>
      <c r="D194" s="145"/>
      <c r="E194" s="173"/>
      <c r="F194" s="132"/>
      <c r="G194" s="133"/>
      <c r="H194" s="133"/>
      <c r="I194" s="169"/>
      <c r="J194" s="150"/>
      <c r="K194" s="133"/>
      <c r="L194" s="133"/>
      <c r="M194" s="184"/>
      <c r="N194" s="184"/>
      <c r="O194" s="184"/>
      <c r="P194" s="184"/>
      <c r="Q194" s="184"/>
      <c r="R194" s="184"/>
      <c r="S194" s="184"/>
      <c r="T194" s="184"/>
      <c r="U194" s="184"/>
      <c r="V194" s="184"/>
      <c r="W194" s="184"/>
      <c r="X194" s="184"/>
      <c r="Y194" s="184"/>
      <c r="Z194" s="184"/>
      <c r="AA194" s="184"/>
      <c r="AB194" s="184"/>
      <c r="AC194" s="195"/>
      <c r="AD194" s="188"/>
      <c r="AE194" s="189"/>
      <c r="AF194" s="189"/>
      <c r="AG194" s="157"/>
      <c r="AH194" s="157"/>
      <c r="AI194" s="157"/>
      <c r="AJ194" s="157"/>
      <c r="AK194" s="157"/>
      <c r="AL194" s="189"/>
      <c r="AM194" s="189"/>
      <c r="AN194" s="189"/>
      <c r="AO194" s="157"/>
      <c r="AP194" s="160"/>
      <c r="AQ194" s="196"/>
      <c r="AR194" s="159"/>
      <c r="AS194" s="160"/>
      <c r="AT194" s="160"/>
      <c r="AU194" s="160"/>
      <c r="AV194" s="160"/>
      <c r="AW194" s="160"/>
      <c r="AX194" s="160"/>
      <c r="AY194" s="160"/>
      <c r="AZ194" s="197"/>
      <c r="BA194" s="132"/>
    </row>
    <row r="195" spans="1:53" ht="14.6" outlineLevel="1" x14ac:dyDescent="0.4">
      <c r="A195" s="134" t="s">
        <v>291</v>
      </c>
      <c r="B195" s="135" t="s">
        <v>50</v>
      </c>
      <c r="C195" s="136">
        <v>77</v>
      </c>
      <c r="D195" s="137">
        <f>E195/ORÇAMENTO!$K$125</f>
        <v>0.1587362132821947</v>
      </c>
      <c r="E195" s="168">
        <f>SUM(E196:E235)</f>
        <v>224663.40408228032</v>
      </c>
      <c r="F195" s="132"/>
      <c r="G195" s="133"/>
      <c r="H195" s="133"/>
      <c r="I195" s="169"/>
      <c r="J195" s="150"/>
      <c r="K195" s="133"/>
      <c r="L195" s="133"/>
      <c r="M195" s="184"/>
      <c r="N195" s="184"/>
      <c r="O195" s="184"/>
      <c r="P195" s="184"/>
      <c r="Q195" s="184"/>
      <c r="R195" s="184"/>
      <c r="S195" s="184"/>
      <c r="T195" s="184"/>
      <c r="U195" s="184"/>
      <c r="V195" s="184"/>
      <c r="W195" s="184"/>
      <c r="X195" s="184"/>
      <c r="Y195" s="184"/>
      <c r="Z195" s="184"/>
      <c r="AA195" s="184"/>
      <c r="AB195" s="184"/>
      <c r="AC195" s="184"/>
      <c r="AD195" s="182"/>
      <c r="AE195" s="182"/>
      <c r="AF195" s="182"/>
      <c r="AG195" s="164"/>
      <c r="AH195" s="164"/>
      <c r="AI195" s="164"/>
      <c r="AJ195" s="164"/>
      <c r="AK195" s="164"/>
      <c r="AL195" s="182"/>
      <c r="AM195" s="182"/>
      <c r="AN195" s="182"/>
      <c r="AO195" s="194"/>
      <c r="AP195" s="170"/>
      <c r="AQ195" s="171"/>
      <c r="AR195" s="171"/>
      <c r="AS195" s="171"/>
      <c r="AT195" s="171"/>
      <c r="AU195" s="171"/>
      <c r="AV195" s="171"/>
      <c r="AW195" s="171"/>
      <c r="AX195" s="171"/>
      <c r="AY195" s="171"/>
      <c r="AZ195" s="172"/>
      <c r="BA195" s="132"/>
    </row>
    <row r="196" spans="1:53" ht="14.6" outlineLevel="2" x14ac:dyDescent="0.4">
      <c r="A196" s="134" t="s">
        <v>292</v>
      </c>
      <c r="B196" s="135" t="s">
        <v>107</v>
      </c>
      <c r="C196" s="136">
        <f>SUM(C197:C199)</f>
        <v>21</v>
      </c>
      <c r="D196" s="137">
        <f>E196/ORÇAMENTO!$K$125</f>
        <v>2.1435394203369994E-2</v>
      </c>
      <c r="E196" s="168">
        <f>C197*$O$258/$M$258</f>
        <v>30338.059161165969</v>
      </c>
      <c r="F196" s="132"/>
      <c r="G196" s="133"/>
      <c r="H196" s="133"/>
      <c r="I196" s="169"/>
      <c r="J196" s="150"/>
      <c r="K196" s="133"/>
      <c r="L196" s="133"/>
      <c r="M196" s="184"/>
      <c r="N196" s="184"/>
      <c r="O196" s="184"/>
      <c r="P196" s="184"/>
      <c r="Q196" s="184"/>
      <c r="R196" s="184"/>
      <c r="S196" s="184"/>
      <c r="T196" s="184"/>
      <c r="U196" s="184"/>
      <c r="V196" s="184"/>
      <c r="W196" s="184"/>
      <c r="X196" s="184"/>
      <c r="Y196" s="184"/>
      <c r="Z196" s="184"/>
      <c r="AA196" s="184"/>
      <c r="AB196" s="184"/>
      <c r="AC196" s="184"/>
      <c r="AD196" s="184"/>
      <c r="AE196" s="184"/>
      <c r="AF196" s="184"/>
      <c r="AG196" s="133"/>
      <c r="AH196" s="133"/>
      <c r="AI196" s="133"/>
      <c r="AJ196" s="133"/>
      <c r="AK196" s="133"/>
      <c r="AL196" s="184"/>
      <c r="AM196" s="184"/>
      <c r="AN196" s="184"/>
      <c r="AO196" s="195"/>
      <c r="AP196" s="139"/>
      <c r="AQ196" s="140"/>
      <c r="AR196" s="141"/>
      <c r="AS196" s="133"/>
      <c r="AT196" s="133"/>
      <c r="AU196" s="133"/>
      <c r="AV196" s="133"/>
      <c r="AW196" s="133"/>
      <c r="AX196" s="133"/>
      <c r="AY196" s="133"/>
      <c r="AZ196" s="142"/>
      <c r="BA196" s="132"/>
    </row>
    <row r="197" spans="1:53" ht="14.6" outlineLevel="3" x14ac:dyDescent="0.4">
      <c r="A197" s="143" t="s">
        <v>293</v>
      </c>
      <c r="B197" s="133" t="s">
        <v>109</v>
      </c>
      <c r="C197" s="144">
        <v>14</v>
      </c>
      <c r="D197" s="145"/>
      <c r="E197" s="173"/>
      <c r="F197" s="132"/>
      <c r="G197" s="133"/>
      <c r="H197" s="133"/>
      <c r="I197" s="169"/>
      <c r="J197" s="150"/>
      <c r="K197" s="133"/>
      <c r="L197" s="133"/>
      <c r="M197" s="184"/>
      <c r="N197" s="184"/>
      <c r="O197" s="184"/>
      <c r="P197" s="184"/>
      <c r="Q197" s="184"/>
      <c r="R197" s="184"/>
      <c r="S197" s="184"/>
      <c r="T197" s="184"/>
      <c r="U197" s="184"/>
      <c r="V197" s="184"/>
      <c r="W197" s="184"/>
      <c r="X197" s="184"/>
      <c r="Y197" s="184"/>
      <c r="Z197" s="184"/>
      <c r="AA197" s="184"/>
      <c r="AB197" s="184"/>
      <c r="AC197" s="184"/>
      <c r="AD197" s="184"/>
      <c r="AE197" s="184"/>
      <c r="AF197" s="184"/>
      <c r="AG197" s="133"/>
      <c r="AH197" s="133"/>
      <c r="AI197" s="133"/>
      <c r="AJ197" s="133"/>
      <c r="AK197" s="133"/>
      <c r="AL197" s="184"/>
      <c r="AM197" s="184"/>
      <c r="AN197" s="184"/>
      <c r="AO197" s="195"/>
      <c r="AP197" s="147"/>
      <c r="AQ197" s="149"/>
      <c r="AR197" s="133"/>
      <c r="AS197" s="133"/>
      <c r="AT197" s="133"/>
      <c r="AU197" s="133"/>
      <c r="AV197" s="133"/>
      <c r="AW197" s="133"/>
      <c r="AX197" s="133"/>
      <c r="AY197" s="133"/>
      <c r="AZ197" s="142"/>
      <c r="BA197" s="132"/>
    </row>
    <row r="198" spans="1:53" ht="14.6" outlineLevel="3" x14ac:dyDescent="0.4">
      <c r="A198" s="143" t="s">
        <v>294</v>
      </c>
      <c r="B198" s="133" t="s">
        <v>75</v>
      </c>
      <c r="C198" s="144">
        <v>5</v>
      </c>
      <c r="D198" s="145"/>
      <c r="E198" s="173"/>
      <c r="F198" s="132"/>
      <c r="G198" s="133"/>
      <c r="H198" s="133"/>
      <c r="I198" s="169"/>
      <c r="J198" s="150"/>
      <c r="K198" s="133"/>
      <c r="L198" s="133"/>
      <c r="M198" s="184"/>
      <c r="N198" s="184"/>
      <c r="O198" s="184"/>
      <c r="P198" s="184"/>
      <c r="Q198" s="184"/>
      <c r="R198" s="184"/>
      <c r="S198" s="184"/>
      <c r="T198" s="184"/>
      <c r="U198" s="184"/>
      <c r="V198" s="184"/>
      <c r="W198" s="184"/>
      <c r="X198" s="184"/>
      <c r="Y198" s="184"/>
      <c r="Z198" s="184"/>
      <c r="AA198" s="184"/>
      <c r="AB198" s="184"/>
      <c r="AC198" s="184"/>
      <c r="AD198" s="184"/>
      <c r="AE198" s="184"/>
      <c r="AF198" s="184"/>
      <c r="AG198" s="133"/>
      <c r="AH198" s="133"/>
      <c r="AI198" s="133"/>
      <c r="AJ198" s="133"/>
      <c r="AK198" s="133"/>
      <c r="AL198" s="184"/>
      <c r="AM198" s="184"/>
      <c r="AN198" s="184"/>
      <c r="AO198" s="195"/>
      <c r="AP198" s="150"/>
      <c r="AQ198" s="133"/>
      <c r="AR198" s="151"/>
      <c r="AS198" s="133"/>
      <c r="AT198" s="133"/>
      <c r="AU198" s="133"/>
      <c r="AV198" s="133"/>
      <c r="AW198" s="133"/>
      <c r="AX198" s="133"/>
      <c r="AY198" s="133"/>
      <c r="AZ198" s="142"/>
      <c r="BA198" s="132"/>
    </row>
    <row r="199" spans="1:53" ht="14.6" outlineLevel="3" x14ac:dyDescent="0.4">
      <c r="A199" s="143" t="s">
        <v>295</v>
      </c>
      <c r="B199" s="133" t="s">
        <v>77</v>
      </c>
      <c r="C199" s="144">
        <v>2</v>
      </c>
      <c r="D199" s="145"/>
      <c r="E199" s="173"/>
      <c r="F199" s="132"/>
      <c r="G199" s="133"/>
      <c r="H199" s="133"/>
      <c r="I199" s="169"/>
      <c r="J199" s="150"/>
      <c r="K199" s="133"/>
      <c r="L199" s="133"/>
      <c r="M199" s="184"/>
      <c r="N199" s="184"/>
      <c r="O199" s="184"/>
      <c r="P199" s="184"/>
      <c r="Q199" s="184"/>
      <c r="R199" s="184"/>
      <c r="S199" s="184"/>
      <c r="T199" s="184"/>
      <c r="U199" s="184"/>
      <c r="V199" s="184"/>
      <c r="W199" s="184"/>
      <c r="X199" s="184"/>
      <c r="Y199" s="184"/>
      <c r="Z199" s="184"/>
      <c r="AA199" s="184"/>
      <c r="AB199" s="184"/>
      <c r="AC199" s="184"/>
      <c r="AD199" s="184"/>
      <c r="AE199" s="184"/>
      <c r="AF199" s="184"/>
      <c r="AG199" s="133"/>
      <c r="AH199" s="133"/>
      <c r="AI199" s="133"/>
      <c r="AJ199" s="133"/>
      <c r="AK199" s="133"/>
      <c r="AL199" s="184"/>
      <c r="AM199" s="184"/>
      <c r="AN199" s="184"/>
      <c r="AO199" s="169"/>
      <c r="AP199" s="150"/>
      <c r="AQ199" s="133"/>
      <c r="AR199" s="151"/>
      <c r="AS199" s="133"/>
      <c r="AT199" s="133"/>
      <c r="AU199" s="133"/>
      <c r="AV199" s="133"/>
      <c r="AW199" s="133"/>
      <c r="AX199" s="133"/>
      <c r="AY199" s="133"/>
      <c r="AZ199" s="142"/>
      <c r="BA199" s="132"/>
    </row>
    <row r="200" spans="1:53" ht="14.6" outlineLevel="2" x14ac:dyDescent="0.4">
      <c r="A200" s="134" t="s">
        <v>296</v>
      </c>
      <c r="B200" s="135" t="s">
        <v>113</v>
      </c>
      <c r="C200" s="136">
        <f>SUM(C201:C203)</f>
        <v>7</v>
      </c>
      <c r="D200" s="137">
        <f>E200/ORÇAMENTO!$K$125</f>
        <v>6.0084682844260334E-3</v>
      </c>
      <c r="E200" s="168">
        <f>C201*$O$259/$M$259</f>
        <v>8503.9381385506858</v>
      </c>
      <c r="F200" s="132"/>
      <c r="G200" s="133"/>
      <c r="H200" s="133"/>
      <c r="I200" s="169"/>
      <c r="J200" s="150"/>
      <c r="K200" s="133"/>
      <c r="L200" s="133"/>
      <c r="M200" s="184"/>
      <c r="N200" s="184"/>
      <c r="O200" s="184"/>
      <c r="P200" s="184"/>
      <c r="Q200" s="184"/>
      <c r="R200" s="184"/>
      <c r="S200" s="184"/>
      <c r="T200" s="184"/>
      <c r="U200" s="184"/>
      <c r="V200" s="184"/>
      <c r="W200" s="184"/>
      <c r="X200" s="184"/>
      <c r="Y200" s="184"/>
      <c r="Z200" s="184"/>
      <c r="AA200" s="184"/>
      <c r="AB200" s="184"/>
      <c r="AC200" s="184"/>
      <c r="AD200" s="184"/>
      <c r="AE200" s="184"/>
      <c r="AF200" s="184"/>
      <c r="AG200" s="133"/>
      <c r="AH200" s="133"/>
      <c r="AI200" s="133"/>
      <c r="AJ200" s="133"/>
      <c r="AK200" s="133"/>
      <c r="AL200" s="184"/>
      <c r="AM200" s="184"/>
      <c r="AN200" s="184"/>
      <c r="AO200" s="169"/>
      <c r="AP200" s="150"/>
      <c r="AQ200" s="133"/>
      <c r="AR200" s="133"/>
      <c r="AS200" s="135"/>
      <c r="AT200" s="133"/>
      <c r="AU200" s="133"/>
      <c r="AV200" s="133"/>
      <c r="AW200" s="133"/>
      <c r="AX200" s="133"/>
      <c r="AY200" s="133"/>
      <c r="AZ200" s="142"/>
      <c r="BA200" s="132"/>
    </row>
    <row r="201" spans="1:53" ht="14.6" outlineLevel="3" x14ac:dyDescent="0.4">
      <c r="A201" s="143" t="s">
        <v>297</v>
      </c>
      <c r="B201" s="133" t="s">
        <v>115</v>
      </c>
      <c r="C201" s="144">
        <v>4</v>
      </c>
      <c r="D201" s="145"/>
      <c r="E201" s="173"/>
      <c r="F201" s="132"/>
      <c r="G201" s="133"/>
      <c r="H201" s="133"/>
      <c r="I201" s="169"/>
      <c r="J201" s="150"/>
      <c r="K201" s="133"/>
      <c r="L201" s="133"/>
      <c r="M201" s="184"/>
      <c r="N201" s="184"/>
      <c r="O201" s="184"/>
      <c r="P201" s="184"/>
      <c r="Q201" s="184"/>
      <c r="R201" s="184"/>
      <c r="S201" s="184"/>
      <c r="T201" s="184"/>
      <c r="U201" s="184"/>
      <c r="V201" s="184"/>
      <c r="W201" s="184"/>
      <c r="X201" s="184"/>
      <c r="Y201" s="184"/>
      <c r="Z201" s="184"/>
      <c r="AA201" s="184"/>
      <c r="AB201" s="184"/>
      <c r="AC201" s="184"/>
      <c r="AD201" s="184"/>
      <c r="AE201" s="184"/>
      <c r="AF201" s="184"/>
      <c r="AG201" s="133"/>
      <c r="AH201" s="133"/>
      <c r="AI201" s="133"/>
      <c r="AJ201" s="133"/>
      <c r="AK201" s="133"/>
      <c r="AL201" s="184"/>
      <c r="AM201" s="184"/>
      <c r="AN201" s="184"/>
      <c r="AO201" s="169"/>
      <c r="AP201" s="150"/>
      <c r="AQ201" s="133"/>
      <c r="AR201" s="133"/>
      <c r="AS201" s="175"/>
      <c r="AT201" s="133"/>
      <c r="AU201" s="133"/>
      <c r="AV201" s="133"/>
      <c r="AW201" s="133"/>
      <c r="AX201" s="133"/>
      <c r="AY201" s="133"/>
      <c r="AZ201" s="142"/>
      <c r="BA201" s="132"/>
    </row>
    <row r="202" spans="1:53" ht="14.6" outlineLevel="3" x14ac:dyDescent="0.4">
      <c r="A202" s="143" t="s">
        <v>298</v>
      </c>
      <c r="B202" s="133" t="s">
        <v>75</v>
      </c>
      <c r="C202" s="144">
        <v>2</v>
      </c>
      <c r="D202" s="145"/>
      <c r="E202" s="173"/>
      <c r="F202" s="132"/>
      <c r="G202" s="133"/>
      <c r="H202" s="133"/>
      <c r="I202" s="169"/>
      <c r="J202" s="150"/>
      <c r="K202" s="133"/>
      <c r="L202" s="133"/>
      <c r="M202" s="184"/>
      <c r="N202" s="184"/>
      <c r="O202" s="184"/>
      <c r="P202" s="184"/>
      <c r="Q202" s="184"/>
      <c r="R202" s="184"/>
      <c r="S202" s="184"/>
      <c r="T202" s="184"/>
      <c r="U202" s="184"/>
      <c r="V202" s="184"/>
      <c r="W202" s="184"/>
      <c r="X202" s="184"/>
      <c r="Y202" s="184"/>
      <c r="Z202" s="184"/>
      <c r="AA202" s="184"/>
      <c r="AB202" s="184"/>
      <c r="AC202" s="184"/>
      <c r="AD202" s="184"/>
      <c r="AE202" s="184"/>
      <c r="AF202" s="184"/>
      <c r="AG202" s="133"/>
      <c r="AH202" s="133"/>
      <c r="AI202" s="133"/>
      <c r="AJ202" s="133"/>
      <c r="AK202" s="133"/>
      <c r="AL202" s="184"/>
      <c r="AM202" s="184"/>
      <c r="AN202" s="184"/>
      <c r="AO202" s="169"/>
      <c r="AP202" s="150"/>
      <c r="AQ202" s="133"/>
      <c r="AR202" s="133"/>
      <c r="AS202" s="151"/>
      <c r="AT202" s="133"/>
      <c r="AU202" s="133"/>
      <c r="AV202" s="133"/>
      <c r="AW202" s="133"/>
      <c r="AX202" s="133"/>
      <c r="AY202" s="133"/>
      <c r="AZ202" s="142"/>
      <c r="BA202" s="132"/>
    </row>
    <row r="203" spans="1:53" ht="14.6" outlineLevel="3" x14ac:dyDescent="0.4">
      <c r="A203" s="143" t="s">
        <v>299</v>
      </c>
      <c r="B203" s="133" t="s">
        <v>77</v>
      </c>
      <c r="C203" s="144">
        <v>1</v>
      </c>
      <c r="D203" s="145"/>
      <c r="E203" s="173"/>
      <c r="F203" s="132"/>
      <c r="G203" s="133"/>
      <c r="H203" s="133"/>
      <c r="I203" s="169"/>
      <c r="J203" s="150"/>
      <c r="K203" s="133"/>
      <c r="L203" s="133"/>
      <c r="M203" s="184"/>
      <c r="N203" s="184"/>
      <c r="O203" s="184"/>
      <c r="P203" s="184"/>
      <c r="Q203" s="184"/>
      <c r="R203" s="184"/>
      <c r="S203" s="184"/>
      <c r="T203" s="184"/>
      <c r="U203" s="184"/>
      <c r="V203" s="184"/>
      <c r="W203" s="184"/>
      <c r="X203" s="184"/>
      <c r="Y203" s="184"/>
      <c r="Z203" s="184"/>
      <c r="AA203" s="184"/>
      <c r="AB203" s="184"/>
      <c r="AC203" s="184"/>
      <c r="AD203" s="184"/>
      <c r="AE203" s="184"/>
      <c r="AF203" s="184"/>
      <c r="AG203" s="133"/>
      <c r="AH203" s="133"/>
      <c r="AI203" s="133"/>
      <c r="AJ203" s="133"/>
      <c r="AK203" s="133"/>
      <c r="AL203" s="184"/>
      <c r="AM203" s="184"/>
      <c r="AN203" s="184"/>
      <c r="AO203" s="169"/>
      <c r="AP203" s="150"/>
      <c r="AQ203" s="133"/>
      <c r="AR203" s="133"/>
      <c r="AS203" s="151"/>
      <c r="AT203" s="133"/>
      <c r="AU203" s="133"/>
      <c r="AV203" s="133"/>
      <c r="AW203" s="133"/>
      <c r="AX203" s="133"/>
      <c r="AY203" s="133"/>
      <c r="AZ203" s="142"/>
      <c r="BA203" s="132"/>
    </row>
    <row r="204" spans="1:53" ht="14.6" outlineLevel="2" x14ac:dyDescent="0.4">
      <c r="A204" s="134" t="s">
        <v>300</v>
      </c>
      <c r="B204" s="135" t="s">
        <v>119</v>
      </c>
      <c r="C204" s="136">
        <f>SUM(C205:C207)</f>
        <v>17</v>
      </c>
      <c r="D204" s="137">
        <f>E204/ORÇAMENTO!$K$125</f>
        <v>1.5021173221141724E-2</v>
      </c>
      <c r="E204" s="168">
        <f>C205*$O$260/$M$260</f>
        <v>21259.848898952092</v>
      </c>
      <c r="F204" s="132"/>
      <c r="G204" s="133"/>
      <c r="H204" s="133"/>
      <c r="I204" s="169"/>
      <c r="J204" s="150"/>
      <c r="K204" s="133"/>
      <c r="L204" s="133"/>
      <c r="M204" s="184"/>
      <c r="N204" s="184"/>
      <c r="O204" s="184"/>
      <c r="P204" s="184"/>
      <c r="Q204" s="184"/>
      <c r="R204" s="184"/>
      <c r="S204" s="184"/>
      <c r="T204" s="184"/>
      <c r="U204" s="184"/>
      <c r="V204" s="184"/>
      <c r="W204" s="184"/>
      <c r="X204" s="184"/>
      <c r="Y204" s="184"/>
      <c r="Z204" s="184"/>
      <c r="AA204" s="184"/>
      <c r="AB204" s="184"/>
      <c r="AC204" s="184"/>
      <c r="AD204" s="184"/>
      <c r="AE204" s="184"/>
      <c r="AF204" s="184"/>
      <c r="AG204" s="133"/>
      <c r="AH204" s="133"/>
      <c r="AI204" s="133"/>
      <c r="AJ204" s="133"/>
      <c r="AK204" s="133"/>
      <c r="AL204" s="184"/>
      <c r="AM204" s="184"/>
      <c r="AN204" s="184"/>
      <c r="AO204" s="169"/>
      <c r="AP204" s="150"/>
      <c r="AQ204" s="133"/>
      <c r="AR204" s="133"/>
      <c r="AS204" s="152"/>
      <c r="AT204" s="140"/>
      <c r="AU204" s="141"/>
      <c r="AV204" s="133"/>
      <c r="AW204" s="133"/>
      <c r="AX204" s="133"/>
      <c r="AY204" s="133"/>
      <c r="AZ204" s="142"/>
      <c r="BA204" s="132"/>
    </row>
    <row r="205" spans="1:53" ht="14.6" outlineLevel="3" x14ac:dyDescent="0.4">
      <c r="A205" s="143" t="s">
        <v>301</v>
      </c>
      <c r="B205" s="133" t="s">
        <v>121</v>
      </c>
      <c r="C205" s="144">
        <v>10</v>
      </c>
      <c r="D205" s="145"/>
      <c r="E205" s="173"/>
      <c r="F205" s="132"/>
      <c r="G205" s="133"/>
      <c r="H205" s="133"/>
      <c r="I205" s="169"/>
      <c r="J205" s="150"/>
      <c r="K205" s="133"/>
      <c r="L205" s="133"/>
      <c r="M205" s="184"/>
      <c r="N205" s="184"/>
      <c r="O205" s="184"/>
      <c r="P205" s="184"/>
      <c r="Q205" s="184"/>
      <c r="R205" s="184"/>
      <c r="S205" s="184"/>
      <c r="T205" s="184"/>
      <c r="U205" s="184"/>
      <c r="V205" s="184"/>
      <c r="W205" s="184"/>
      <c r="X205" s="184"/>
      <c r="Y205" s="184"/>
      <c r="Z205" s="184"/>
      <c r="AA205" s="184"/>
      <c r="AB205" s="184"/>
      <c r="AC205" s="184"/>
      <c r="AD205" s="184"/>
      <c r="AE205" s="184"/>
      <c r="AF205" s="184"/>
      <c r="AG205" s="133"/>
      <c r="AH205" s="133"/>
      <c r="AI205" s="133"/>
      <c r="AJ205" s="133"/>
      <c r="AK205" s="133"/>
      <c r="AL205" s="184"/>
      <c r="AM205" s="184"/>
      <c r="AN205" s="184"/>
      <c r="AO205" s="169"/>
      <c r="AP205" s="150"/>
      <c r="AQ205" s="133"/>
      <c r="AR205" s="133"/>
      <c r="AS205" s="154"/>
      <c r="AT205" s="149"/>
      <c r="AU205" s="133"/>
      <c r="AV205" s="133"/>
      <c r="AW205" s="133"/>
      <c r="AX205" s="133"/>
      <c r="AY205" s="133"/>
      <c r="AZ205" s="142"/>
      <c r="BA205" s="132"/>
    </row>
    <row r="206" spans="1:53" ht="14.6" outlineLevel="3" x14ac:dyDescent="0.4">
      <c r="A206" s="143" t="s">
        <v>302</v>
      </c>
      <c r="B206" s="133" t="s">
        <v>75</v>
      </c>
      <c r="C206" s="144">
        <v>5</v>
      </c>
      <c r="D206" s="145"/>
      <c r="E206" s="173"/>
      <c r="F206" s="132"/>
      <c r="G206" s="133"/>
      <c r="H206" s="133"/>
      <c r="I206" s="169"/>
      <c r="J206" s="150"/>
      <c r="K206" s="133"/>
      <c r="L206" s="133"/>
      <c r="M206" s="184"/>
      <c r="N206" s="184"/>
      <c r="O206" s="184"/>
      <c r="P206" s="184"/>
      <c r="Q206" s="184"/>
      <c r="R206" s="184"/>
      <c r="S206" s="184"/>
      <c r="T206" s="184"/>
      <c r="U206" s="184"/>
      <c r="V206" s="184"/>
      <c r="W206" s="184"/>
      <c r="X206" s="184"/>
      <c r="Y206" s="184"/>
      <c r="Z206" s="184"/>
      <c r="AA206" s="184"/>
      <c r="AB206" s="184"/>
      <c r="AC206" s="184"/>
      <c r="AD206" s="184"/>
      <c r="AE206" s="184"/>
      <c r="AF206" s="184"/>
      <c r="AG206" s="133"/>
      <c r="AH206" s="133"/>
      <c r="AI206" s="133"/>
      <c r="AJ206" s="133"/>
      <c r="AK206" s="133"/>
      <c r="AL206" s="184"/>
      <c r="AM206" s="184"/>
      <c r="AN206" s="184"/>
      <c r="AO206" s="169"/>
      <c r="AP206" s="150"/>
      <c r="AQ206" s="133"/>
      <c r="AR206" s="133"/>
      <c r="AS206" s="133"/>
      <c r="AT206" s="133"/>
      <c r="AU206" s="151"/>
      <c r="AV206" s="133"/>
      <c r="AW206" s="133"/>
      <c r="AX206" s="133"/>
      <c r="AY206" s="133"/>
      <c r="AZ206" s="142"/>
      <c r="BA206" s="132"/>
    </row>
    <row r="207" spans="1:53" ht="14.6" outlineLevel="3" x14ac:dyDescent="0.4">
      <c r="A207" s="143" t="s">
        <v>303</v>
      </c>
      <c r="B207" s="133" t="s">
        <v>77</v>
      </c>
      <c r="C207" s="144">
        <v>2</v>
      </c>
      <c r="D207" s="145"/>
      <c r="E207" s="173"/>
      <c r="F207" s="132"/>
      <c r="G207" s="133"/>
      <c r="H207" s="133"/>
      <c r="I207" s="169"/>
      <c r="J207" s="150"/>
      <c r="K207" s="133"/>
      <c r="L207" s="133"/>
      <c r="M207" s="184"/>
      <c r="N207" s="184"/>
      <c r="O207" s="184"/>
      <c r="P207" s="184"/>
      <c r="Q207" s="184"/>
      <c r="R207" s="184"/>
      <c r="S207" s="184"/>
      <c r="T207" s="184"/>
      <c r="U207" s="184"/>
      <c r="V207" s="184"/>
      <c r="W207" s="184"/>
      <c r="X207" s="184"/>
      <c r="Y207" s="184"/>
      <c r="Z207" s="184"/>
      <c r="AA207" s="184"/>
      <c r="AB207" s="184"/>
      <c r="AC207" s="184"/>
      <c r="AD207" s="184"/>
      <c r="AE207" s="184"/>
      <c r="AF207" s="184"/>
      <c r="AG207" s="133"/>
      <c r="AH207" s="133"/>
      <c r="AI207" s="133"/>
      <c r="AJ207" s="133"/>
      <c r="AK207" s="133"/>
      <c r="AL207" s="184"/>
      <c r="AM207" s="184"/>
      <c r="AN207" s="184"/>
      <c r="AO207" s="169"/>
      <c r="AP207" s="150"/>
      <c r="AQ207" s="133"/>
      <c r="AR207" s="133"/>
      <c r="AS207" s="133"/>
      <c r="AT207" s="133"/>
      <c r="AU207" s="151"/>
      <c r="AV207" s="133"/>
      <c r="AW207" s="133"/>
      <c r="AX207" s="133"/>
      <c r="AY207" s="133"/>
      <c r="AZ207" s="142"/>
      <c r="BA207" s="132"/>
    </row>
    <row r="208" spans="1:53" ht="14.6" outlineLevel="2" x14ac:dyDescent="0.4">
      <c r="A208" s="134" t="s">
        <v>304</v>
      </c>
      <c r="B208" s="135" t="s">
        <v>125</v>
      </c>
      <c r="C208" s="136">
        <f>SUM(C209:C211)</f>
        <v>7</v>
      </c>
      <c r="D208" s="137">
        <f>E208/ORÇAMENTO!$K$125</f>
        <v>6.0084684741411295E-3</v>
      </c>
      <c r="E208" s="168">
        <f>C209*$O$261/$M$261</f>
        <v>8503.9384070592914</v>
      </c>
      <c r="F208" s="132"/>
      <c r="G208" s="133"/>
      <c r="H208" s="133"/>
      <c r="I208" s="169"/>
      <c r="J208" s="150"/>
      <c r="K208" s="133"/>
      <c r="L208" s="133"/>
      <c r="M208" s="184"/>
      <c r="N208" s="184"/>
      <c r="O208" s="184"/>
      <c r="P208" s="184"/>
      <c r="Q208" s="184"/>
      <c r="R208" s="184"/>
      <c r="S208" s="184"/>
      <c r="T208" s="184"/>
      <c r="U208" s="184"/>
      <c r="V208" s="184"/>
      <c r="W208" s="184"/>
      <c r="X208" s="184"/>
      <c r="Y208" s="184"/>
      <c r="Z208" s="184"/>
      <c r="AA208" s="184"/>
      <c r="AB208" s="184"/>
      <c r="AC208" s="184"/>
      <c r="AD208" s="184"/>
      <c r="AE208" s="184"/>
      <c r="AF208" s="184"/>
      <c r="AG208" s="133"/>
      <c r="AH208" s="133"/>
      <c r="AI208" s="133"/>
      <c r="AJ208" s="133"/>
      <c r="AK208" s="133"/>
      <c r="AL208" s="184"/>
      <c r="AM208" s="184"/>
      <c r="AN208" s="184"/>
      <c r="AO208" s="169"/>
      <c r="AP208" s="150"/>
      <c r="AQ208" s="133"/>
      <c r="AR208" s="133"/>
      <c r="AS208" s="135"/>
      <c r="AT208" s="133"/>
      <c r="AU208" s="133"/>
      <c r="AV208" s="133"/>
      <c r="AW208" s="133"/>
      <c r="AX208" s="133"/>
      <c r="AY208" s="133"/>
      <c r="AZ208" s="142"/>
      <c r="BA208" s="132"/>
    </row>
    <row r="209" spans="1:53" ht="14.6" outlineLevel="3" x14ac:dyDescent="0.4">
      <c r="A209" s="143" t="s">
        <v>305</v>
      </c>
      <c r="B209" s="133" t="s">
        <v>127</v>
      </c>
      <c r="C209" s="144">
        <v>4</v>
      </c>
      <c r="D209" s="145"/>
      <c r="E209" s="173"/>
      <c r="F209" s="132"/>
      <c r="G209" s="133"/>
      <c r="H209" s="133"/>
      <c r="I209" s="169"/>
      <c r="J209" s="150"/>
      <c r="K209" s="133"/>
      <c r="L209" s="133"/>
      <c r="M209" s="184"/>
      <c r="N209" s="184"/>
      <c r="O209" s="184"/>
      <c r="P209" s="184"/>
      <c r="Q209" s="184"/>
      <c r="R209" s="184"/>
      <c r="S209" s="184"/>
      <c r="T209" s="184"/>
      <c r="U209" s="184"/>
      <c r="V209" s="184"/>
      <c r="W209" s="184"/>
      <c r="X209" s="184"/>
      <c r="Y209" s="184"/>
      <c r="Z209" s="184"/>
      <c r="AA209" s="184"/>
      <c r="AB209" s="184"/>
      <c r="AC209" s="184"/>
      <c r="AD209" s="184"/>
      <c r="AE209" s="184"/>
      <c r="AF209" s="184"/>
      <c r="AG209" s="133"/>
      <c r="AH209" s="133"/>
      <c r="AI209" s="133"/>
      <c r="AJ209" s="133"/>
      <c r="AK209" s="133"/>
      <c r="AL209" s="184"/>
      <c r="AM209" s="184"/>
      <c r="AN209" s="184"/>
      <c r="AO209" s="169"/>
      <c r="AP209" s="150"/>
      <c r="AQ209" s="133"/>
      <c r="AR209" s="133"/>
      <c r="AS209" s="175"/>
      <c r="AT209" s="133"/>
      <c r="AU209" s="133"/>
      <c r="AV209" s="133"/>
      <c r="AW209" s="133"/>
      <c r="AX209" s="133"/>
      <c r="AY209" s="133"/>
      <c r="AZ209" s="142"/>
      <c r="BA209" s="132"/>
    </row>
    <row r="210" spans="1:53" ht="14.6" outlineLevel="3" x14ac:dyDescent="0.4">
      <c r="A210" s="143" t="s">
        <v>306</v>
      </c>
      <c r="B210" s="133" t="s">
        <v>75</v>
      </c>
      <c r="C210" s="144">
        <v>2</v>
      </c>
      <c r="D210" s="145"/>
      <c r="E210" s="173"/>
      <c r="F210" s="132"/>
      <c r="G210" s="133"/>
      <c r="H210" s="133"/>
      <c r="I210" s="169"/>
      <c r="J210" s="150"/>
      <c r="K210" s="133"/>
      <c r="L210" s="133"/>
      <c r="M210" s="184"/>
      <c r="N210" s="184"/>
      <c r="O210" s="184"/>
      <c r="P210" s="184"/>
      <c r="Q210" s="184"/>
      <c r="R210" s="184"/>
      <c r="S210" s="184"/>
      <c r="T210" s="184"/>
      <c r="U210" s="184"/>
      <c r="V210" s="184"/>
      <c r="W210" s="184"/>
      <c r="X210" s="184"/>
      <c r="Y210" s="184"/>
      <c r="Z210" s="184"/>
      <c r="AA210" s="184"/>
      <c r="AB210" s="184"/>
      <c r="AC210" s="184"/>
      <c r="AD210" s="184"/>
      <c r="AE210" s="184"/>
      <c r="AF210" s="184"/>
      <c r="AG210" s="133"/>
      <c r="AH210" s="133"/>
      <c r="AI210" s="133"/>
      <c r="AJ210" s="133"/>
      <c r="AK210" s="133"/>
      <c r="AL210" s="184"/>
      <c r="AM210" s="184"/>
      <c r="AN210" s="184"/>
      <c r="AO210" s="169"/>
      <c r="AP210" s="150"/>
      <c r="AQ210" s="133"/>
      <c r="AR210" s="133"/>
      <c r="AS210" s="151"/>
      <c r="AT210" s="133"/>
      <c r="AU210" s="133"/>
      <c r="AV210" s="133"/>
      <c r="AW210" s="133"/>
      <c r="AX210" s="133"/>
      <c r="AY210" s="133"/>
      <c r="AZ210" s="142"/>
      <c r="BA210" s="132"/>
    </row>
    <row r="211" spans="1:53" ht="14.6" outlineLevel="3" x14ac:dyDescent="0.4">
      <c r="A211" s="143" t="s">
        <v>307</v>
      </c>
      <c r="B211" s="133" t="s">
        <v>77</v>
      </c>
      <c r="C211" s="144">
        <v>1</v>
      </c>
      <c r="D211" s="145"/>
      <c r="E211" s="173"/>
      <c r="F211" s="132"/>
      <c r="G211" s="133"/>
      <c r="H211" s="133"/>
      <c r="I211" s="169"/>
      <c r="J211" s="150"/>
      <c r="K211" s="133"/>
      <c r="L211" s="133"/>
      <c r="M211" s="184"/>
      <c r="N211" s="184"/>
      <c r="O211" s="184"/>
      <c r="P211" s="184"/>
      <c r="Q211" s="184"/>
      <c r="R211" s="184"/>
      <c r="S211" s="184"/>
      <c r="T211" s="184"/>
      <c r="U211" s="184"/>
      <c r="V211" s="184"/>
      <c r="W211" s="184"/>
      <c r="X211" s="184"/>
      <c r="Y211" s="184"/>
      <c r="Z211" s="184"/>
      <c r="AA211" s="184"/>
      <c r="AB211" s="184"/>
      <c r="AC211" s="184"/>
      <c r="AD211" s="184"/>
      <c r="AE211" s="184"/>
      <c r="AF211" s="184"/>
      <c r="AG211" s="133"/>
      <c r="AH211" s="133"/>
      <c r="AI211" s="133"/>
      <c r="AJ211" s="133"/>
      <c r="AK211" s="133"/>
      <c r="AL211" s="184"/>
      <c r="AM211" s="184"/>
      <c r="AN211" s="184"/>
      <c r="AO211" s="169"/>
      <c r="AP211" s="150"/>
      <c r="AQ211" s="133"/>
      <c r="AR211" s="133"/>
      <c r="AS211" s="151"/>
      <c r="AT211" s="133"/>
      <c r="AU211" s="133"/>
      <c r="AV211" s="133"/>
      <c r="AW211" s="133"/>
      <c r="AX211" s="133"/>
      <c r="AY211" s="133"/>
      <c r="AZ211" s="142"/>
      <c r="BA211" s="132"/>
    </row>
    <row r="212" spans="1:53" ht="14.6" outlineLevel="2" x14ac:dyDescent="0.4">
      <c r="A212" s="134" t="s">
        <v>308</v>
      </c>
      <c r="B212" s="135" t="s">
        <v>137</v>
      </c>
      <c r="C212" s="136">
        <f>SUM(C213:C215)</f>
        <v>7</v>
      </c>
      <c r="D212" s="137">
        <f>E212/ORÇAMENTO!$K$125</f>
        <v>6.0084685483774696E-3</v>
      </c>
      <c r="E212" s="168">
        <f>C213*$O$263/$M$263</f>
        <v>8503.9385121278738</v>
      </c>
      <c r="F212" s="132"/>
      <c r="G212" s="133"/>
      <c r="H212" s="133"/>
      <c r="I212" s="169"/>
      <c r="J212" s="150"/>
      <c r="K212" s="133"/>
      <c r="L212" s="133"/>
      <c r="M212" s="184"/>
      <c r="N212" s="184"/>
      <c r="O212" s="184"/>
      <c r="P212" s="184"/>
      <c r="Q212" s="184"/>
      <c r="R212" s="184"/>
      <c r="S212" s="184"/>
      <c r="T212" s="184"/>
      <c r="U212" s="184"/>
      <c r="V212" s="184"/>
      <c r="W212" s="184"/>
      <c r="X212" s="184"/>
      <c r="Y212" s="184"/>
      <c r="Z212" s="184"/>
      <c r="AA212" s="184"/>
      <c r="AB212" s="184"/>
      <c r="AC212" s="184"/>
      <c r="AD212" s="184"/>
      <c r="AE212" s="184"/>
      <c r="AF212" s="184"/>
      <c r="AG212" s="133"/>
      <c r="AH212" s="133"/>
      <c r="AI212" s="133"/>
      <c r="AJ212" s="133"/>
      <c r="AK212" s="133"/>
      <c r="AL212" s="184"/>
      <c r="AM212" s="184"/>
      <c r="AN212" s="184"/>
      <c r="AO212" s="169"/>
      <c r="AP212" s="150"/>
      <c r="AQ212" s="133"/>
      <c r="AR212" s="133"/>
      <c r="AS212" s="133"/>
      <c r="AT212" s="135"/>
      <c r="AU212" s="133"/>
      <c r="AV212" s="133"/>
      <c r="AW212" s="133"/>
      <c r="AX212" s="133"/>
      <c r="AY212" s="133"/>
      <c r="AZ212" s="142"/>
      <c r="BA212" s="132"/>
    </row>
    <row r="213" spans="1:53" ht="14.6" outlineLevel="3" x14ac:dyDescent="0.4">
      <c r="A213" s="143" t="s">
        <v>309</v>
      </c>
      <c r="B213" s="133" t="s">
        <v>139</v>
      </c>
      <c r="C213" s="144">
        <v>4</v>
      </c>
      <c r="D213" s="145"/>
      <c r="E213" s="173"/>
      <c r="F213" s="132"/>
      <c r="G213" s="133"/>
      <c r="H213" s="133"/>
      <c r="I213" s="169"/>
      <c r="J213" s="150"/>
      <c r="K213" s="133"/>
      <c r="L213" s="133"/>
      <c r="M213" s="184"/>
      <c r="N213" s="184"/>
      <c r="O213" s="184"/>
      <c r="P213" s="184"/>
      <c r="Q213" s="184"/>
      <c r="R213" s="184"/>
      <c r="S213" s="184"/>
      <c r="T213" s="184"/>
      <c r="U213" s="184"/>
      <c r="V213" s="184"/>
      <c r="W213" s="184"/>
      <c r="X213" s="184"/>
      <c r="Y213" s="184"/>
      <c r="Z213" s="184"/>
      <c r="AA213" s="184"/>
      <c r="AB213" s="184"/>
      <c r="AC213" s="184"/>
      <c r="AD213" s="184"/>
      <c r="AE213" s="184"/>
      <c r="AF213" s="184"/>
      <c r="AG213" s="133"/>
      <c r="AH213" s="133"/>
      <c r="AI213" s="133"/>
      <c r="AJ213" s="133"/>
      <c r="AK213" s="133"/>
      <c r="AL213" s="184"/>
      <c r="AM213" s="184"/>
      <c r="AN213" s="184"/>
      <c r="AO213" s="169"/>
      <c r="AP213" s="150"/>
      <c r="AQ213" s="133"/>
      <c r="AR213" s="133"/>
      <c r="AS213" s="133"/>
      <c r="AT213" s="175"/>
      <c r="AU213" s="133"/>
      <c r="AV213" s="133"/>
      <c r="AW213" s="133"/>
      <c r="AX213" s="133"/>
      <c r="AY213" s="133"/>
      <c r="AZ213" s="142"/>
      <c r="BA213" s="132"/>
    </row>
    <row r="214" spans="1:53" ht="14.6" outlineLevel="3" x14ac:dyDescent="0.4">
      <c r="A214" s="143" t="s">
        <v>310</v>
      </c>
      <c r="B214" s="133" t="s">
        <v>75</v>
      </c>
      <c r="C214" s="144">
        <v>2</v>
      </c>
      <c r="D214" s="145"/>
      <c r="E214" s="173"/>
      <c r="F214" s="132"/>
      <c r="G214" s="133"/>
      <c r="H214" s="133"/>
      <c r="I214" s="169"/>
      <c r="J214" s="150"/>
      <c r="K214" s="133"/>
      <c r="L214" s="133"/>
      <c r="M214" s="184"/>
      <c r="N214" s="184"/>
      <c r="O214" s="184"/>
      <c r="P214" s="184"/>
      <c r="Q214" s="184"/>
      <c r="R214" s="184"/>
      <c r="S214" s="184"/>
      <c r="T214" s="184"/>
      <c r="U214" s="184"/>
      <c r="V214" s="184"/>
      <c r="W214" s="184"/>
      <c r="X214" s="184"/>
      <c r="Y214" s="184"/>
      <c r="Z214" s="184"/>
      <c r="AA214" s="184"/>
      <c r="AB214" s="184"/>
      <c r="AC214" s="184"/>
      <c r="AD214" s="184"/>
      <c r="AE214" s="184"/>
      <c r="AF214" s="184"/>
      <c r="AG214" s="133"/>
      <c r="AH214" s="133"/>
      <c r="AI214" s="133"/>
      <c r="AJ214" s="133"/>
      <c r="AK214" s="133"/>
      <c r="AL214" s="184"/>
      <c r="AM214" s="184"/>
      <c r="AN214" s="184"/>
      <c r="AO214" s="169"/>
      <c r="AP214" s="150"/>
      <c r="AQ214" s="133"/>
      <c r="AR214" s="133"/>
      <c r="AS214" s="133"/>
      <c r="AT214" s="151"/>
      <c r="AU214" s="133"/>
      <c r="AV214" s="133"/>
      <c r="AW214" s="133"/>
      <c r="AX214" s="133"/>
      <c r="AY214" s="133"/>
      <c r="AZ214" s="142"/>
      <c r="BA214" s="132"/>
    </row>
    <row r="215" spans="1:53" ht="14.6" outlineLevel="3" x14ac:dyDescent="0.4">
      <c r="A215" s="143" t="s">
        <v>311</v>
      </c>
      <c r="B215" s="133" t="s">
        <v>77</v>
      </c>
      <c r="C215" s="144">
        <v>1</v>
      </c>
      <c r="D215" s="145"/>
      <c r="E215" s="173"/>
      <c r="F215" s="132"/>
      <c r="G215" s="133"/>
      <c r="H215" s="133"/>
      <c r="I215" s="169"/>
      <c r="J215" s="150"/>
      <c r="K215" s="133"/>
      <c r="L215" s="133"/>
      <c r="M215" s="184"/>
      <c r="N215" s="184"/>
      <c r="O215" s="184"/>
      <c r="P215" s="184"/>
      <c r="Q215" s="184"/>
      <c r="R215" s="184"/>
      <c r="S215" s="184"/>
      <c r="T215" s="184"/>
      <c r="U215" s="184"/>
      <c r="V215" s="184"/>
      <c r="W215" s="184"/>
      <c r="X215" s="184"/>
      <c r="Y215" s="184"/>
      <c r="Z215" s="184"/>
      <c r="AA215" s="184"/>
      <c r="AB215" s="184"/>
      <c r="AC215" s="184"/>
      <c r="AD215" s="184"/>
      <c r="AE215" s="184"/>
      <c r="AF215" s="184"/>
      <c r="AG215" s="133"/>
      <c r="AH215" s="133"/>
      <c r="AI215" s="133"/>
      <c r="AJ215" s="133"/>
      <c r="AK215" s="133"/>
      <c r="AL215" s="184"/>
      <c r="AM215" s="184"/>
      <c r="AN215" s="184"/>
      <c r="AO215" s="169"/>
      <c r="AP215" s="150"/>
      <c r="AQ215" s="133"/>
      <c r="AR215" s="133"/>
      <c r="AS215" s="133"/>
      <c r="AT215" s="151"/>
      <c r="AU215" s="133"/>
      <c r="AV215" s="133"/>
      <c r="AW215" s="133"/>
      <c r="AX215" s="133"/>
      <c r="AY215" s="133"/>
      <c r="AZ215" s="142"/>
      <c r="BA215" s="132"/>
    </row>
    <row r="216" spans="1:53" ht="14.6" outlineLevel="2" x14ac:dyDescent="0.4">
      <c r="A216" s="134" t="s">
        <v>312</v>
      </c>
      <c r="B216" s="135" t="s">
        <v>131</v>
      </c>
      <c r="C216" s="136">
        <f>SUM(C217:C219)</f>
        <v>7</v>
      </c>
      <c r="D216" s="137">
        <f>E216/ORÇAMENTO!$K$125</f>
        <v>8.7227641182401668E-3</v>
      </c>
      <c r="E216" s="168">
        <f>C217*$O$262/$M$262</f>
        <v>12345.550138119757</v>
      </c>
      <c r="F216" s="132"/>
      <c r="G216" s="133"/>
      <c r="H216" s="133"/>
      <c r="I216" s="169"/>
      <c r="J216" s="150"/>
      <c r="K216" s="133"/>
      <c r="L216" s="133"/>
      <c r="M216" s="184"/>
      <c r="N216" s="184"/>
      <c r="O216" s="184"/>
      <c r="P216" s="184"/>
      <c r="Q216" s="184"/>
      <c r="R216" s="184"/>
      <c r="S216" s="184"/>
      <c r="T216" s="184"/>
      <c r="U216" s="184"/>
      <c r="V216" s="184"/>
      <c r="W216" s="184"/>
      <c r="X216" s="184"/>
      <c r="Y216" s="184"/>
      <c r="Z216" s="184"/>
      <c r="AA216" s="184"/>
      <c r="AB216" s="184"/>
      <c r="AC216" s="184"/>
      <c r="AD216" s="184"/>
      <c r="AE216" s="184"/>
      <c r="AF216" s="184"/>
      <c r="AG216" s="133"/>
      <c r="AH216" s="133"/>
      <c r="AI216" s="133"/>
      <c r="AJ216" s="133"/>
      <c r="AK216" s="133"/>
      <c r="AL216" s="184"/>
      <c r="AM216" s="184"/>
      <c r="AN216" s="184"/>
      <c r="AO216" s="169"/>
      <c r="AP216" s="150"/>
      <c r="AQ216" s="133"/>
      <c r="AR216" s="133"/>
      <c r="AS216" s="133"/>
      <c r="AT216" s="133"/>
      <c r="AU216" s="135"/>
      <c r="AV216" s="133"/>
      <c r="AW216" s="133"/>
      <c r="AX216" s="133"/>
      <c r="AY216" s="133"/>
      <c r="AZ216" s="142"/>
      <c r="BA216" s="132"/>
    </row>
    <row r="217" spans="1:53" ht="14.6" outlineLevel="3" x14ac:dyDescent="0.4">
      <c r="A217" s="143" t="s">
        <v>313</v>
      </c>
      <c r="B217" s="133" t="s">
        <v>133</v>
      </c>
      <c r="C217" s="144">
        <v>4</v>
      </c>
      <c r="D217" s="145"/>
      <c r="E217" s="173"/>
      <c r="F217" s="132"/>
      <c r="G217" s="133"/>
      <c r="H217" s="133"/>
      <c r="I217" s="169"/>
      <c r="J217" s="150"/>
      <c r="K217" s="133"/>
      <c r="L217" s="133"/>
      <c r="M217" s="184"/>
      <c r="N217" s="184"/>
      <c r="O217" s="184"/>
      <c r="P217" s="184"/>
      <c r="Q217" s="184"/>
      <c r="R217" s="184"/>
      <c r="S217" s="184"/>
      <c r="T217" s="184"/>
      <c r="U217" s="184"/>
      <c r="V217" s="184"/>
      <c r="W217" s="184"/>
      <c r="X217" s="184"/>
      <c r="Y217" s="184"/>
      <c r="Z217" s="184"/>
      <c r="AA217" s="184"/>
      <c r="AB217" s="184"/>
      <c r="AC217" s="184"/>
      <c r="AD217" s="184"/>
      <c r="AE217" s="184"/>
      <c r="AF217" s="184"/>
      <c r="AG217" s="133"/>
      <c r="AH217" s="133"/>
      <c r="AI217" s="133"/>
      <c r="AJ217" s="133"/>
      <c r="AK217" s="133"/>
      <c r="AL217" s="184"/>
      <c r="AM217" s="184"/>
      <c r="AN217" s="184"/>
      <c r="AO217" s="169"/>
      <c r="AP217" s="150"/>
      <c r="AQ217" s="133"/>
      <c r="AR217" s="133"/>
      <c r="AS217" s="133"/>
      <c r="AT217" s="133"/>
      <c r="AU217" s="175"/>
      <c r="AV217" s="133"/>
      <c r="AW217" s="133"/>
      <c r="AX217" s="133"/>
      <c r="AY217" s="133"/>
      <c r="AZ217" s="142"/>
      <c r="BA217" s="132"/>
    </row>
    <row r="218" spans="1:53" ht="14.6" outlineLevel="3" x14ac:dyDescent="0.4">
      <c r="A218" s="143" t="s">
        <v>314</v>
      </c>
      <c r="B218" s="133" t="s">
        <v>75</v>
      </c>
      <c r="C218" s="144">
        <v>2</v>
      </c>
      <c r="D218" s="145"/>
      <c r="E218" s="173"/>
      <c r="F218" s="132"/>
      <c r="G218" s="133"/>
      <c r="H218" s="133"/>
      <c r="I218" s="169"/>
      <c r="J218" s="150"/>
      <c r="K218" s="133"/>
      <c r="L218" s="133"/>
      <c r="M218" s="184"/>
      <c r="N218" s="184"/>
      <c r="O218" s="184"/>
      <c r="P218" s="184"/>
      <c r="Q218" s="184"/>
      <c r="R218" s="184"/>
      <c r="S218" s="184"/>
      <c r="T218" s="184"/>
      <c r="U218" s="184"/>
      <c r="V218" s="184"/>
      <c r="W218" s="184"/>
      <c r="X218" s="184"/>
      <c r="Y218" s="184"/>
      <c r="Z218" s="184"/>
      <c r="AA218" s="184"/>
      <c r="AB218" s="184"/>
      <c r="AC218" s="184"/>
      <c r="AD218" s="184"/>
      <c r="AE218" s="184"/>
      <c r="AF218" s="184"/>
      <c r="AG218" s="133"/>
      <c r="AH218" s="133"/>
      <c r="AI218" s="133"/>
      <c r="AJ218" s="133"/>
      <c r="AK218" s="133"/>
      <c r="AL218" s="184"/>
      <c r="AM218" s="184"/>
      <c r="AN218" s="184"/>
      <c r="AO218" s="169"/>
      <c r="AP218" s="150"/>
      <c r="AQ218" s="133"/>
      <c r="AR218" s="133"/>
      <c r="AS218" s="133"/>
      <c r="AT218" s="133"/>
      <c r="AU218" s="151"/>
      <c r="AV218" s="133"/>
      <c r="AW218" s="133"/>
      <c r="AX218" s="133"/>
      <c r="AY218" s="133"/>
      <c r="AZ218" s="142"/>
      <c r="BA218" s="132"/>
    </row>
    <row r="219" spans="1:53" ht="14.6" outlineLevel="3" x14ac:dyDescent="0.4">
      <c r="A219" s="143" t="s">
        <v>315</v>
      </c>
      <c r="B219" s="133" t="s">
        <v>77</v>
      </c>
      <c r="C219" s="144">
        <v>1</v>
      </c>
      <c r="D219" s="145"/>
      <c r="E219" s="173"/>
      <c r="F219" s="132"/>
      <c r="G219" s="133"/>
      <c r="H219" s="133"/>
      <c r="I219" s="169"/>
      <c r="J219" s="150"/>
      <c r="K219" s="133"/>
      <c r="L219" s="133"/>
      <c r="M219" s="184"/>
      <c r="N219" s="184"/>
      <c r="O219" s="184"/>
      <c r="P219" s="184"/>
      <c r="Q219" s="184"/>
      <c r="R219" s="184"/>
      <c r="S219" s="184"/>
      <c r="T219" s="184"/>
      <c r="U219" s="184"/>
      <c r="V219" s="184"/>
      <c r="W219" s="184"/>
      <c r="X219" s="184"/>
      <c r="Y219" s="184"/>
      <c r="Z219" s="184"/>
      <c r="AA219" s="184"/>
      <c r="AB219" s="184"/>
      <c r="AC219" s="184"/>
      <c r="AD219" s="184"/>
      <c r="AE219" s="184"/>
      <c r="AF219" s="184"/>
      <c r="AG219" s="133"/>
      <c r="AH219" s="133"/>
      <c r="AI219" s="133"/>
      <c r="AJ219" s="133"/>
      <c r="AK219" s="133"/>
      <c r="AL219" s="184"/>
      <c r="AM219" s="184"/>
      <c r="AN219" s="184"/>
      <c r="AO219" s="169"/>
      <c r="AP219" s="150"/>
      <c r="AQ219" s="133"/>
      <c r="AR219" s="133"/>
      <c r="AS219" s="133"/>
      <c r="AT219" s="133"/>
      <c r="AU219" s="151"/>
      <c r="AV219" s="133"/>
      <c r="AW219" s="133"/>
      <c r="AX219" s="133"/>
      <c r="AY219" s="133"/>
      <c r="AZ219" s="142"/>
      <c r="BA219" s="132"/>
    </row>
    <row r="220" spans="1:53" ht="14.6" outlineLevel="2" x14ac:dyDescent="0.4">
      <c r="A220" s="134" t="s">
        <v>316</v>
      </c>
      <c r="B220" s="135" t="s">
        <v>143</v>
      </c>
      <c r="C220" s="136">
        <f>SUM(C221:C223)</f>
        <v>7</v>
      </c>
      <c r="D220" s="137">
        <f>E220/ORÇAMENTO!$K$125</f>
        <v>6.0084685483774696E-3</v>
      </c>
      <c r="E220" s="168">
        <f>C221*$O$265/$M$265</f>
        <v>8503.9385121278738</v>
      </c>
      <c r="F220" s="132"/>
      <c r="G220" s="133"/>
      <c r="H220" s="133"/>
      <c r="I220" s="169"/>
      <c r="J220" s="150"/>
      <c r="K220" s="133"/>
      <c r="L220" s="133"/>
      <c r="M220" s="184"/>
      <c r="N220" s="184"/>
      <c r="O220" s="184"/>
      <c r="P220" s="184"/>
      <c r="Q220" s="184"/>
      <c r="R220" s="184"/>
      <c r="S220" s="184"/>
      <c r="T220" s="184"/>
      <c r="U220" s="184"/>
      <c r="V220" s="184"/>
      <c r="W220" s="184"/>
      <c r="X220" s="184"/>
      <c r="Y220" s="184"/>
      <c r="Z220" s="184"/>
      <c r="AA220" s="184"/>
      <c r="AB220" s="184"/>
      <c r="AC220" s="184"/>
      <c r="AD220" s="184"/>
      <c r="AE220" s="184"/>
      <c r="AF220" s="184"/>
      <c r="AG220" s="133"/>
      <c r="AH220" s="133"/>
      <c r="AI220" s="133"/>
      <c r="AJ220" s="133"/>
      <c r="AK220" s="133"/>
      <c r="AL220" s="184"/>
      <c r="AM220" s="184"/>
      <c r="AN220" s="184"/>
      <c r="AO220" s="169"/>
      <c r="AP220" s="150"/>
      <c r="AQ220" s="133"/>
      <c r="AR220" s="133"/>
      <c r="AS220" s="133"/>
      <c r="AT220" s="135"/>
      <c r="AU220" s="133"/>
      <c r="AV220" s="133"/>
      <c r="AW220" s="133"/>
      <c r="AX220" s="133"/>
      <c r="AY220" s="133"/>
      <c r="AZ220" s="142"/>
      <c r="BA220" s="132"/>
    </row>
    <row r="221" spans="1:53" ht="14.6" outlineLevel="3" x14ac:dyDescent="0.4">
      <c r="A221" s="143" t="s">
        <v>317</v>
      </c>
      <c r="B221" s="133" t="s">
        <v>145</v>
      </c>
      <c r="C221" s="144">
        <v>4</v>
      </c>
      <c r="D221" s="145"/>
      <c r="E221" s="173"/>
      <c r="F221" s="132"/>
      <c r="G221" s="133"/>
      <c r="H221" s="133"/>
      <c r="I221" s="169"/>
      <c r="J221" s="150"/>
      <c r="K221" s="133"/>
      <c r="L221" s="133"/>
      <c r="M221" s="184"/>
      <c r="N221" s="184"/>
      <c r="O221" s="184"/>
      <c r="P221" s="184"/>
      <c r="Q221" s="184"/>
      <c r="R221" s="184"/>
      <c r="S221" s="184"/>
      <c r="T221" s="184"/>
      <c r="U221" s="184"/>
      <c r="V221" s="184"/>
      <c r="W221" s="184"/>
      <c r="X221" s="184"/>
      <c r="Y221" s="184"/>
      <c r="Z221" s="184"/>
      <c r="AA221" s="184"/>
      <c r="AB221" s="184"/>
      <c r="AC221" s="184"/>
      <c r="AD221" s="184"/>
      <c r="AE221" s="184"/>
      <c r="AF221" s="184"/>
      <c r="AG221" s="133"/>
      <c r="AH221" s="133"/>
      <c r="AI221" s="133"/>
      <c r="AJ221" s="133"/>
      <c r="AK221" s="133"/>
      <c r="AL221" s="184"/>
      <c r="AM221" s="184"/>
      <c r="AN221" s="184"/>
      <c r="AO221" s="169"/>
      <c r="AP221" s="150"/>
      <c r="AQ221" s="133"/>
      <c r="AR221" s="133"/>
      <c r="AS221" s="133"/>
      <c r="AT221" s="175"/>
      <c r="AU221" s="133"/>
      <c r="AV221" s="133"/>
      <c r="AW221" s="133"/>
      <c r="AX221" s="133"/>
      <c r="AY221" s="133"/>
      <c r="AZ221" s="142"/>
      <c r="BA221" s="132"/>
    </row>
    <row r="222" spans="1:53" ht="14.6" outlineLevel="3" x14ac:dyDescent="0.4">
      <c r="A222" s="143" t="s">
        <v>318</v>
      </c>
      <c r="B222" s="133" t="s">
        <v>75</v>
      </c>
      <c r="C222" s="144">
        <v>2</v>
      </c>
      <c r="D222" s="145"/>
      <c r="E222" s="173"/>
      <c r="F222" s="132"/>
      <c r="G222" s="133"/>
      <c r="H222" s="133"/>
      <c r="I222" s="169"/>
      <c r="J222" s="150"/>
      <c r="K222" s="133"/>
      <c r="L222" s="133"/>
      <c r="M222" s="184"/>
      <c r="N222" s="184"/>
      <c r="O222" s="184"/>
      <c r="P222" s="184"/>
      <c r="Q222" s="184"/>
      <c r="R222" s="184"/>
      <c r="S222" s="184"/>
      <c r="T222" s="184"/>
      <c r="U222" s="184"/>
      <c r="V222" s="184"/>
      <c r="W222" s="184"/>
      <c r="X222" s="184"/>
      <c r="Y222" s="184"/>
      <c r="Z222" s="184"/>
      <c r="AA222" s="184"/>
      <c r="AB222" s="184"/>
      <c r="AC222" s="184"/>
      <c r="AD222" s="184"/>
      <c r="AE222" s="184"/>
      <c r="AF222" s="184"/>
      <c r="AG222" s="133"/>
      <c r="AH222" s="133"/>
      <c r="AI222" s="133"/>
      <c r="AJ222" s="133"/>
      <c r="AK222" s="133"/>
      <c r="AL222" s="184"/>
      <c r="AM222" s="184"/>
      <c r="AN222" s="184"/>
      <c r="AO222" s="169"/>
      <c r="AP222" s="150"/>
      <c r="AQ222" s="133"/>
      <c r="AR222" s="133"/>
      <c r="AS222" s="133"/>
      <c r="AT222" s="151"/>
      <c r="AU222" s="133"/>
      <c r="AV222" s="133"/>
      <c r="AW222" s="133"/>
      <c r="AX222" s="133"/>
      <c r="AY222" s="133"/>
      <c r="AZ222" s="142"/>
      <c r="BA222" s="132"/>
    </row>
    <row r="223" spans="1:53" ht="14.6" outlineLevel="3" x14ac:dyDescent="0.4">
      <c r="A223" s="143" t="s">
        <v>319</v>
      </c>
      <c r="B223" s="133" t="s">
        <v>77</v>
      </c>
      <c r="C223" s="144">
        <v>1</v>
      </c>
      <c r="D223" s="145"/>
      <c r="E223" s="173"/>
      <c r="F223" s="132"/>
      <c r="G223" s="133"/>
      <c r="H223" s="133"/>
      <c r="I223" s="169"/>
      <c r="J223" s="150"/>
      <c r="K223" s="133"/>
      <c r="L223" s="133"/>
      <c r="M223" s="184"/>
      <c r="N223" s="184"/>
      <c r="O223" s="184"/>
      <c r="P223" s="184"/>
      <c r="Q223" s="184"/>
      <c r="R223" s="184"/>
      <c r="S223" s="184"/>
      <c r="T223" s="184"/>
      <c r="U223" s="184"/>
      <c r="V223" s="184"/>
      <c r="W223" s="184"/>
      <c r="X223" s="184"/>
      <c r="Y223" s="184"/>
      <c r="Z223" s="184"/>
      <c r="AA223" s="184"/>
      <c r="AB223" s="184"/>
      <c r="AC223" s="184"/>
      <c r="AD223" s="184"/>
      <c r="AE223" s="184"/>
      <c r="AF223" s="184"/>
      <c r="AG223" s="133"/>
      <c r="AH223" s="133"/>
      <c r="AI223" s="133"/>
      <c r="AJ223" s="133"/>
      <c r="AK223" s="133"/>
      <c r="AL223" s="184"/>
      <c r="AM223" s="184"/>
      <c r="AN223" s="184"/>
      <c r="AO223" s="169"/>
      <c r="AP223" s="150"/>
      <c r="AQ223" s="133"/>
      <c r="AR223" s="133"/>
      <c r="AS223" s="133"/>
      <c r="AT223" s="151"/>
      <c r="AU223" s="133"/>
      <c r="AV223" s="133"/>
      <c r="AW223" s="133"/>
      <c r="AX223" s="133"/>
      <c r="AY223" s="133"/>
      <c r="AZ223" s="142"/>
      <c r="BA223" s="132"/>
    </row>
    <row r="224" spans="1:53" ht="14.6" outlineLevel="2" x14ac:dyDescent="0.4">
      <c r="A224" s="134" t="s">
        <v>320</v>
      </c>
      <c r="B224" s="135" t="s">
        <v>149</v>
      </c>
      <c r="C224" s="136">
        <f>SUM(C225:C227)</f>
        <v>49</v>
      </c>
      <c r="D224" s="137">
        <f>E224/ORÇAMENTO!$K$125</f>
        <v>7.9331938333903923E-2</v>
      </c>
      <c r="E224" s="168">
        <f>C225*$O$266/$M$266</f>
        <v>112280.51211512421</v>
      </c>
      <c r="F224" s="132"/>
      <c r="G224" s="133"/>
      <c r="H224" s="133"/>
      <c r="I224" s="169"/>
      <c r="J224" s="150"/>
      <c r="K224" s="133"/>
      <c r="L224" s="133"/>
      <c r="M224" s="184"/>
      <c r="N224" s="184"/>
      <c r="O224" s="184"/>
      <c r="P224" s="184"/>
      <c r="Q224" s="184"/>
      <c r="R224" s="184"/>
      <c r="S224" s="184"/>
      <c r="T224" s="184"/>
      <c r="U224" s="184"/>
      <c r="V224" s="184"/>
      <c r="W224" s="184"/>
      <c r="X224" s="184"/>
      <c r="Y224" s="184"/>
      <c r="Z224" s="184"/>
      <c r="AA224" s="184"/>
      <c r="AB224" s="184"/>
      <c r="AC224" s="184"/>
      <c r="AD224" s="184"/>
      <c r="AE224" s="184"/>
      <c r="AF224" s="184"/>
      <c r="AG224" s="133"/>
      <c r="AH224" s="133"/>
      <c r="AI224" s="133"/>
      <c r="AJ224" s="133"/>
      <c r="AK224" s="133"/>
      <c r="AL224" s="184"/>
      <c r="AM224" s="184"/>
      <c r="AN224" s="184"/>
      <c r="AO224" s="169"/>
      <c r="AP224" s="150"/>
      <c r="AQ224" s="133"/>
      <c r="AR224" s="133"/>
      <c r="AS224" s="152"/>
      <c r="AT224" s="140"/>
      <c r="AU224" s="140"/>
      <c r="AV224" s="140"/>
      <c r="AW224" s="140"/>
      <c r="AX224" s="140"/>
      <c r="AY224" s="141"/>
      <c r="AZ224" s="142"/>
      <c r="BA224" s="132"/>
    </row>
    <row r="225" spans="1:53" ht="14.6" outlineLevel="3" x14ac:dyDescent="0.4">
      <c r="A225" s="143" t="s">
        <v>321</v>
      </c>
      <c r="B225" s="133" t="s">
        <v>151</v>
      </c>
      <c r="C225" s="144">
        <v>35</v>
      </c>
      <c r="D225" s="145"/>
      <c r="E225" s="173"/>
      <c r="F225" s="132"/>
      <c r="G225" s="133"/>
      <c r="H225" s="133"/>
      <c r="I225" s="169"/>
      <c r="J225" s="150"/>
      <c r="K225" s="133"/>
      <c r="L225" s="133"/>
      <c r="M225" s="184"/>
      <c r="N225" s="184"/>
      <c r="O225" s="184"/>
      <c r="P225" s="184"/>
      <c r="Q225" s="184"/>
      <c r="R225" s="184"/>
      <c r="S225" s="184"/>
      <c r="T225" s="184"/>
      <c r="U225" s="184"/>
      <c r="V225" s="184"/>
      <c r="W225" s="184"/>
      <c r="X225" s="184"/>
      <c r="Y225" s="184"/>
      <c r="Z225" s="184"/>
      <c r="AA225" s="184"/>
      <c r="AB225" s="184"/>
      <c r="AC225" s="184"/>
      <c r="AD225" s="184"/>
      <c r="AE225" s="184"/>
      <c r="AF225" s="184"/>
      <c r="AG225" s="133"/>
      <c r="AH225" s="133"/>
      <c r="AI225" s="133"/>
      <c r="AJ225" s="133"/>
      <c r="AK225" s="133"/>
      <c r="AL225" s="184"/>
      <c r="AM225" s="184"/>
      <c r="AN225" s="184"/>
      <c r="AO225" s="169"/>
      <c r="AP225" s="150"/>
      <c r="AQ225" s="133"/>
      <c r="AR225" s="133"/>
      <c r="AS225" s="154"/>
      <c r="AT225" s="148"/>
      <c r="AU225" s="148"/>
      <c r="AV225" s="148"/>
      <c r="AW225" s="149"/>
      <c r="AX225" s="133"/>
      <c r="AY225" s="133"/>
      <c r="AZ225" s="142"/>
      <c r="BA225" s="132"/>
    </row>
    <row r="226" spans="1:53" ht="14.6" outlineLevel="3" x14ac:dyDescent="0.4">
      <c r="A226" s="143" t="s">
        <v>322</v>
      </c>
      <c r="B226" s="133" t="s">
        <v>75</v>
      </c>
      <c r="C226" s="144">
        <v>12</v>
      </c>
      <c r="D226" s="145"/>
      <c r="E226" s="173"/>
      <c r="F226" s="132"/>
      <c r="G226" s="133"/>
      <c r="H226" s="133"/>
      <c r="I226" s="169"/>
      <c r="J226" s="150"/>
      <c r="K226" s="133"/>
      <c r="L226" s="133"/>
      <c r="M226" s="184"/>
      <c r="N226" s="184"/>
      <c r="O226" s="184"/>
      <c r="P226" s="184"/>
      <c r="Q226" s="184"/>
      <c r="R226" s="184"/>
      <c r="S226" s="184"/>
      <c r="T226" s="184"/>
      <c r="U226" s="184"/>
      <c r="V226" s="184"/>
      <c r="W226" s="184"/>
      <c r="X226" s="184"/>
      <c r="Y226" s="184"/>
      <c r="Z226" s="184"/>
      <c r="AA226" s="184"/>
      <c r="AB226" s="184"/>
      <c r="AC226" s="184"/>
      <c r="AD226" s="184"/>
      <c r="AE226" s="184"/>
      <c r="AF226" s="184"/>
      <c r="AG226" s="133"/>
      <c r="AH226" s="133"/>
      <c r="AI226" s="133"/>
      <c r="AJ226" s="133"/>
      <c r="AK226" s="133"/>
      <c r="AL226" s="184"/>
      <c r="AM226" s="184"/>
      <c r="AN226" s="184"/>
      <c r="AO226" s="169"/>
      <c r="AP226" s="150"/>
      <c r="AQ226" s="133"/>
      <c r="AR226" s="133"/>
      <c r="AS226" s="133"/>
      <c r="AT226" s="133"/>
      <c r="AU226" s="133"/>
      <c r="AV226" s="133"/>
      <c r="AW226" s="133"/>
      <c r="AX226" s="176"/>
      <c r="AY226" s="177"/>
      <c r="AZ226" s="142"/>
      <c r="BA226" s="132"/>
    </row>
    <row r="227" spans="1:53" ht="14.6" outlineLevel="3" x14ac:dyDescent="0.4">
      <c r="A227" s="143" t="s">
        <v>323</v>
      </c>
      <c r="B227" s="133" t="s">
        <v>77</v>
      </c>
      <c r="C227" s="144">
        <v>2</v>
      </c>
      <c r="D227" s="145"/>
      <c r="E227" s="173"/>
      <c r="F227" s="132"/>
      <c r="G227" s="133"/>
      <c r="H227" s="133"/>
      <c r="I227" s="169"/>
      <c r="J227" s="150"/>
      <c r="K227" s="133"/>
      <c r="L227" s="133"/>
      <c r="M227" s="184"/>
      <c r="N227" s="184"/>
      <c r="O227" s="184"/>
      <c r="P227" s="184"/>
      <c r="Q227" s="184"/>
      <c r="R227" s="184"/>
      <c r="S227" s="184"/>
      <c r="T227" s="184"/>
      <c r="U227" s="184"/>
      <c r="V227" s="184"/>
      <c r="W227" s="184"/>
      <c r="X227" s="184"/>
      <c r="Y227" s="184"/>
      <c r="Z227" s="184"/>
      <c r="AA227" s="184"/>
      <c r="AB227" s="184"/>
      <c r="AC227" s="184"/>
      <c r="AD227" s="184"/>
      <c r="AE227" s="184"/>
      <c r="AF227" s="184"/>
      <c r="AG227" s="133"/>
      <c r="AH227" s="133"/>
      <c r="AI227" s="133"/>
      <c r="AJ227" s="133"/>
      <c r="AK227" s="133"/>
      <c r="AL227" s="184"/>
      <c r="AM227" s="184"/>
      <c r="AN227" s="184"/>
      <c r="AO227" s="169"/>
      <c r="AP227" s="150"/>
      <c r="AQ227" s="133"/>
      <c r="AR227" s="133"/>
      <c r="AS227" s="133"/>
      <c r="AT227" s="133"/>
      <c r="AU227" s="133"/>
      <c r="AV227" s="133"/>
      <c r="AW227" s="133"/>
      <c r="AX227" s="133"/>
      <c r="AY227" s="151"/>
      <c r="AZ227" s="142"/>
      <c r="BA227" s="132"/>
    </row>
    <row r="228" spans="1:53" ht="14.6" outlineLevel="2" x14ac:dyDescent="0.4">
      <c r="A228" s="134" t="s">
        <v>324</v>
      </c>
      <c r="B228" s="135" t="s">
        <v>155</v>
      </c>
      <c r="C228" s="136">
        <f>SUM(C229:C231)</f>
        <v>4</v>
      </c>
      <c r="D228" s="137">
        <f>E228/ORÇAMENTO!$K$125</f>
        <v>2.680484194684263E-3</v>
      </c>
      <c r="E228" s="168">
        <f>C229*$O$267/$M$267</f>
        <v>3793.7575258642341</v>
      </c>
      <c r="F228" s="132"/>
      <c r="G228" s="133"/>
      <c r="H228" s="133"/>
      <c r="I228" s="169"/>
      <c r="J228" s="150"/>
      <c r="K228" s="133"/>
      <c r="L228" s="133"/>
      <c r="M228" s="184"/>
      <c r="N228" s="184"/>
      <c r="O228" s="184"/>
      <c r="P228" s="184"/>
      <c r="Q228" s="184"/>
      <c r="R228" s="184"/>
      <c r="S228" s="184"/>
      <c r="T228" s="184"/>
      <c r="U228" s="184"/>
      <c r="V228" s="184"/>
      <c r="W228" s="184"/>
      <c r="X228" s="184"/>
      <c r="Y228" s="184"/>
      <c r="Z228" s="184"/>
      <c r="AA228" s="184"/>
      <c r="AB228" s="184"/>
      <c r="AC228" s="184"/>
      <c r="AD228" s="184"/>
      <c r="AE228" s="184"/>
      <c r="AF228" s="184"/>
      <c r="AG228" s="133"/>
      <c r="AH228" s="133"/>
      <c r="AI228" s="133"/>
      <c r="AJ228" s="133"/>
      <c r="AK228" s="133"/>
      <c r="AL228" s="184"/>
      <c r="AM228" s="184"/>
      <c r="AN228" s="184"/>
      <c r="AO228" s="169"/>
      <c r="AP228" s="150"/>
      <c r="AQ228" s="133"/>
      <c r="AR228" s="133"/>
      <c r="AS228" s="135"/>
      <c r="AT228" s="121"/>
      <c r="AU228" s="133"/>
      <c r="AV228" s="133"/>
      <c r="AW228" s="133"/>
      <c r="AX228" s="133"/>
      <c r="AY228" s="133"/>
      <c r="AZ228" s="142"/>
      <c r="BA228" s="132"/>
    </row>
    <row r="229" spans="1:53" ht="14.6" outlineLevel="3" x14ac:dyDescent="0.4">
      <c r="A229" s="143" t="s">
        <v>325</v>
      </c>
      <c r="B229" s="133" t="s">
        <v>157</v>
      </c>
      <c r="C229" s="144">
        <v>2</v>
      </c>
      <c r="D229" s="145"/>
      <c r="E229" s="173"/>
      <c r="F229" s="132"/>
      <c r="G229" s="133"/>
      <c r="H229" s="133"/>
      <c r="I229" s="169"/>
      <c r="J229" s="150"/>
      <c r="K229" s="133"/>
      <c r="L229" s="133"/>
      <c r="M229" s="184"/>
      <c r="N229" s="184"/>
      <c r="O229" s="184"/>
      <c r="P229" s="184"/>
      <c r="Q229" s="184"/>
      <c r="R229" s="184"/>
      <c r="S229" s="184"/>
      <c r="T229" s="184"/>
      <c r="U229" s="184"/>
      <c r="V229" s="184"/>
      <c r="W229" s="184"/>
      <c r="X229" s="184"/>
      <c r="Y229" s="184"/>
      <c r="Z229" s="184"/>
      <c r="AA229" s="184"/>
      <c r="AB229" s="184"/>
      <c r="AC229" s="184"/>
      <c r="AD229" s="184"/>
      <c r="AE229" s="184"/>
      <c r="AF229" s="184"/>
      <c r="AG229" s="133"/>
      <c r="AH229" s="133"/>
      <c r="AI229" s="133"/>
      <c r="AJ229" s="133"/>
      <c r="AK229" s="133"/>
      <c r="AL229" s="184"/>
      <c r="AM229" s="184"/>
      <c r="AN229" s="184"/>
      <c r="AO229" s="169"/>
      <c r="AP229" s="150"/>
      <c r="AQ229" s="133"/>
      <c r="AR229" s="133"/>
      <c r="AS229" s="175"/>
      <c r="AT229" s="133"/>
      <c r="AU229" s="133"/>
      <c r="AV229" s="133"/>
      <c r="AW229" s="133"/>
      <c r="AX229" s="133"/>
      <c r="AY229" s="133"/>
      <c r="AZ229" s="142"/>
      <c r="BA229" s="132"/>
    </row>
    <row r="230" spans="1:53" ht="14.6" outlineLevel="3" x14ac:dyDescent="0.4">
      <c r="A230" s="143" t="s">
        <v>326</v>
      </c>
      <c r="B230" s="133" t="s">
        <v>75</v>
      </c>
      <c r="C230" s="144">
        <v>1</v>
      </c>
      <c r="D230" s="145"/>
      <c r="E230" s="173"/>
      <c r="F230" s="132"/>
      <c r="G230" s="133"/>
      <c r="H230" s="133"/>
      <c r="I230" s="169"/>
      <c r="J230" s="150"/>
      <c r="K230" s="133"/>
      <c r="L230" s="133"/>
      <c r="M230" s="184"/>
      <c r="N230" s="184"/>
      <c r="O230" s="184"/>
      <c r="P230" s="184"/>
      <c r="Q230" s="184"/>
      <c r="R230" s="184"/>
      <c r="S230" s="184"/>
      <c r="T230" s="184"/>
      <c r="U230" s="184"/>
      <c r="V230" s="184"/>
      <c r="W230" s="184"/>
      <c r="X230" s="184"/>
      <c r="Y230" s="184"/>
      <c r="Z230" s="184"/>
      <c r="AA230" s="184"/>
      <c r="AB230" s="184"/>
      <c r="AC230" s="184"/>
      <c r="AD230" s="184"/>
      <c r="AE230" s="184"/>
      <c r="AF230" s="184"/>
      <c r="AG230" s="133"/>
      <c r="AH230" s="133"/>
      <c r="AI230" s="133"/>
      <c r="AJ230" s="133"/>
      <c r="AK230" s="133"/>
      <c r="AL230" s="184"/>
      <c r="AM230" s="184"/>
      <c r="AN230" s="184"/>
      <c r="AO230" s="169"/>
      <c r="AP230" s="150"/>
      <c r="AQ230" s="133"/>
      <c r="AR230" s="133"/>
      <c r="AS230" s="151"/>
      <c r="AT230" s="133"/>
      <c r="AU230" s="133"/>
      <c r="AV230" s="133"/>
      <c r="AW230" s="133"/>
      <c r="AX230" s="133"/>
      <c r="AY230" s="133"/>
      <c r="AZ230" s="142"/>
      <c r="BA230" s="132"/>
    </row>
    <row r="231" spans="1:53" ht="14.6" outlineLevel="3" x14ac:dyDescent="0.4">
      <c r="A231" s="143" t="s">
        <v>327</v>
      </c>
      <c r="B231" s="133" t="s">
        <v>77</v>
      </c>
      <c r="C231" s="144">
        <v>1</v>
      </c>
      <c r="D231" s="145"/>
      <c r="E231" s="173"/>
      <c r="F231" s="132"/>
      <c r="G231" s="133"/>
      <c r="H231" s="133"/>
      <c r="I231" s="169"/>
      <c r="J231" s="150"/>
      <c r="K231" s="133"/>
      <c r="L231" s="133"/>
      <c r="M231" s="184"/>
      <c r="N231" s="184"/>
      <c r="O231" s="184"/>
      <c r="P231" s="184"/>
      <c r="Q231" s="184"/>
      <c r="R231" s="184"/>
      <c r="S231" s="184"/>
      <c r="T231" s="184"/>
      <c r="U231" s="184"/>
      <c r="V231" s="184"/>
      <c r="W231" s="184"/>
      <c r="X231" s="184"/>
      <c r="Y231" s="184"/>
      <c r="Z231" s="184"/>
      <c r="AA231" s="184"/>
      <c r="AB231" s="184"/>
      <c r="AC231" s="184"/>
      <c r="AD231" s="184"/>
      <c r="AE231" s="184"/>
      <c r="AF231" s="184"/>
      <c r="AG231" s="133"/>
      <c r="AH231" s="133"/>
      <c r="AI231" s="133"/>
      <c r="AJ231" s="133"/>
      <c r="AK231" s="133"/>
      <c r="AL231" s="184"/>
      <c r="AM231" s="184"/>
      <c r="AN231" s="184"/>
      <c r="AO231" s="169"/>
      <c r="AP231" s="150"/>
      <c r="AQ231" s="133"/>
      <c r="AR231" s="133"/>
      <c r="AS231" s="151"/>
      <c r="AT231" s="133"/>
      <c r="AU231" s="133"/>
      <c r="AV231" s="133"/>
      <c r="AW231" s="133"/>
      <c r="AX231" s="133"/>
      <c r="AY231" s="133"/>
      <c r="AZ231" s="142"/>
      <c r="BA231" s="132"/>
    </row>
    <row r="232" spans="1:53" ht="14.6" outlineLevel="2" x14ac:dyDescent="0.4">
      <c r="A232" s="134" t="s">
        <v>328</v>
      </c>
      <c r="B232" s="135" t="s">
        <v>161</v>
      </c>
      <c r="C232" s="136">
        <f>SUM(C233:C235)</f>
        <v>9</v>
      </c>
      <c r="D232" s="137">
        <f>E232/ORÇAMENTO!$K$125</f>
        <v>7.5105853555325411E-3</v>
      </c>
      <c r="E232" s="168">
        <f>C233*$O$268/$M$268</f>
        <v>10629.922673188357</v>
      </c>
      <c r="F232" s="132"/>
      <c r="G232" s="133"/>
      <c r="H232" s="133"/>
      <c r="I232" s="169"/>
      <c r="J232" s="150"/>
      <c r="K232" s="133"/>
      <c r="L232" s="133"/>
      <c r="M232" s="184"/>
      <c r="N232" s="184"/>
      <c r="O232" s="184"/>
      <c r="P232" s="184"/>
      <c r="Q232" s="184"/>
      <c r="R232" s="184"/>
      <c r="S232" s="184"/>
      <c r="T232" s="184"/>
      <c r="U232" s="184"/>
      <c r="V232" s="184"/>
      <c r="W232" s="184"/>
      <c r="X232" s="184"/>
      <c r="Y232" s="184"/>
      <c r="Z232" s="184"/>
      <c r="AA232" s="184"/>
      <c r="AB232" s="184"/>
      <c r="AC232" s="184"/>
      <c r="AD232" s="184"/>
      <c r="AE232" s="184"/>
      <c r="AF232" s="184"/>
      <c r="AG232" s="133"/>
      <c r="AH232" s="133"/>
      <c r="AI232" s="133"/>
      <c r="AJ232" s="133"/>
      <c r="AK232" s="133"/>
      <c r="AL232" s="184"/>
      <c r="AM232" s="184"/>
      <c r="AN232" s="184"/>
      <c r="AO232" s="169"/>
      <c r="AP232" s="150"/>
      <c r="AQ232" s="133"/>
      <c r="AR232" s="133"/>
      <c r="AS232" s="133"/>
      <c r="AT232" s="133"/>
      <c r="AU232" s="133"/>
      <c r="AV232" s="135"/>
      <c r="AW232" s="121"/>
      <c r="AX232" s="133"/>
      <c r="AY232" s="133"/>
      <c r="AZ232" s="178"/>
      <c r="BA232" s="132"/>
    </row>
    <row r="233" spans="1:53" ht="14.6" outlineLevel="3" x14ac:dyDescent="0.4">
      <c r="A233" s="143" t="s">
        <v>329</v>
      </c>
      <c r="B233" s="133" t="s">
        <v>163</v>
      </c>
      <c r="C233" s="144">
        <f>2+3</f>
        <v>5</v>
      </c>
      <c r="D233" s="145"/>
      <c r="E233" s="173"/>
      <c r="F233" s="132"/>
      <c r="G233" s="133"/>
      <c r="H233" s="133"/>
      <c r="I233" s="169"/>
      <c r="J233" s="150"/>
      <c r="K233" s="133"/>
      <c r="L233" s="133"/>
      <c r="M233" s="184"/>
      <c r="N233" s="184"/>
      <c r="O233" s="184"/>
      <c r="P233" s="184"/>
      <c r="Q233" s="184"/>
      <c r="R233" s="184"/>
      <c r="S233" s="184"/>
      <c r="T233" s="184"/>
      <c r="U233" s="184"/>
      <c r="V233" s="184"/>
      <c r="W233" s="184"/>
      <c r="X233" s="184"/>
      <c r="Y233" s="184"/>
      <c r="Z233" s="184"/>
      <c r="AA233" s="184"/>
      <c r="AB233" s="184"/>
      <c r="AC233" s="184"/>
      <c r="AD233" s="184"/>
      <c r="AE233" s="184"/>
      <c r="AF233" s="184"/>
      <c r="AG233" s="133"/>
      <c r="AH233" s="133"/>
      <c r="AI233" s="133"/>
      <c r="AJ233" s="133"/>
      <c r="AK233" s="133"/>
      <c r="AL233" s="184"/>
      <c r="AM233" s="184"/>
      <c r="AN233" s="184"/>
      <c r="AO233" s="169"/>
      <c r="AP233" s="187"/>
      <c r="AQ233" s="184"/>
      <c r="AR233" s="184"/>
      <c r="AS233" s="184"/>
      <c r="AT233" s="184"/>
      <c r="AU233" s="184"/>
      <c r="AV233" s="175"/>
      <c r="AW233" s="133"/>
      <c r="AX233" s="133"/>
      <c r="AY233" s="133"/>
      <c r="AZ233" s="179"/>
      <c r="BA233" s="132"/>
    </row>
    <row r="234" spans="1:53" ht="14.6" outlineLevel="3" x14ac:dyDescent="0.4">
      <c r="A234" s="143" t="s">
        <v>330</v>
      </c>
      <c r="B234" s="133" t="s">
        <v>75</v>
      </c>
      <c r="C234" s="144">
        <v>2</v>
      </c>
      <c r="D234" s="145"/>
      <c r="E234" s="173"/>
      <c r="F234" s="132"/>
      <c r="G234" s="133"/>
      <c r="H234" s="133"/>
      <c r="I234" s="169"/>
      <c r="J234" s="150"/>
      <c r="K234" s="133"/>
      <c r="L234" s="133"/>
      <c r="M234" s="184"/>
      <c r="N234" s="184"/>
      <c r="O234" s="184"/>
      <c r="P234" s="184"/>
      <c r="Q234" s="184"/>
      <c r="R234" s="184"/>
      <c r="S234" s="184"/>
      <c r="T234" s="184"/>
      <c r="U234" s="184"/>
      <c r="V234" s="184"/>
      <c r="W234" s="184"/>
      <c r="X234" s="184"/>
      <c r="Y234" s="184"/>
      <c r="Z234" s="184"/>
      <c r="AA234" s="184"/>
      <c r="AB234" s="184"/>
      <c r="AC234" s="184"/>
      <c r="AD234" s="184"/>
      <c r="AE234" s="184"/>
      <c r="AF234" s="184"/>
      <c r="AG234" s="133"/>
      <c r="AH234" s="133"/>
      <c r="AI234" s="133"/>
      <c r="AJ234" s="133"/>
      <c r="AK234" s="133"/>
      <c r="AL234" s="184"/>
      <c r="AM234" s="184"/>
      <c r="AN234" s="184"/>
      <c r="AO234" s="169"/>
      <c r="AP234" s="187"/>
      <c r="AQ234" s="184"/>
      <c r="AR234" s="184"/>
      <c r="AS234" s="184"/>
      <c r="AT234" s="184"/>
      <c r="AU234" s="184"/>
      <c r="AV234" s="151"/>
      <c r="AW234" s="133"/>
      <c r="AX234" s="133"/>
      <c r="AY234" s="133"/>
      <c r="AZ234" s="155"/>
      <c r="BA234" s="132"/>
    </row>
    <row r="235" spans="1:53" ht="15" outlineLevel="3" thickBot="1" x14ac:dyDescent="0.45">
      <c r="A235" s="143" t="s">
        <v>331</v>
      </c>
      <c r="B235" s="133" t="s">
        <v>77</v>
      </c>
      <c r="C235" s="144">
        <v>2</v>
      </c>
      <c r="D235" s="145"/>
      <c r="E235" s="173"/>
      <c r="F235" s="132"/>
      <c r="G235" s="133"/>
      <c r="H235" s="133"/>
      <c r="I235" s="169"/>
      <c r="J235" s="156"/>
      <c r="K235" s="157"/>
      <c r="L235" s="157"/>
      <c r="M235" s="189"/>
      <c r="N235" s="189"/>
      <c r="O235" s="189"/>
      <c r="P235" s="189"/>
      <c r="Q235" s="189"/>
      <c r="R235" s="189"/>
      <c r="S235" s="189"/>
      <c r="T235" s="189"/>
      <c r="U235" s="189"/>
      <c r="V235" s="189"/>
      <c r="W235" s="189"/>
      <c r="X235" s="189"/>
      <c r="Y235" s="189"/>
      <c r="Z235" s="189"/>
      <c r="AA235" s="189"/>
      <c r="AB235" s="189"/>
      <c r="AC235" s="189"/>
      <c r="AD235" s="189"/>
      <c r="AE235" s="189"/>
      <c r="AF235" s="189"/>
      <c r="AG235" s="157"/>
      <c r="AH235" s="157"/>
      <c r="AI235" s="157"/>
      <c r="AJ235" s="157"/>
      <c r="AK235" s="157"/>
      <c r="AL235" s="189"/>
      <c r="AM235" s="189"/>
      <c r="AN235" s="189"/>
      <c r="AO235" s="198"/>
      <c r="AP235" s="188"/>
      <c r="AQ235" s="189"/>
      <c r="AR235" s="189"/>
      <c r="AS235" s="189"/>
      <c r="AT235" s="189"/>
      <c r="AU235" s="189"/>
      <c r="AV235" s="180"/>
      <c r="AW235" s="157"/>
      <c r="AX235" s="157"/>
      <c r="AY235" s="157"/>
      <c r="AZ235" s="158"/>
      <c r="BA235" s="132"/>
    </row>
    <row r="236" spans="1:53" ht="14.6" hidden="1" customHeight="1" x14ac:dyDescent="0.4"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53" ht="14.6" hidden="1" customHeight="1" x14ac:dyDescent="0.4">
      <c r="H237" s="5">
        <f>SUMIF(B:B,"PROJETISTA: entrega estudo de tráfego",C:C)</f>
        <v>21</v>
      </c>
      <c r="I237" s="5">
        <f t="shared" ref="I237:I252" si="0">H237/28</f>
        <v>0.75</v>
      </c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53" ht="14.6" hidden="1" customHeight="1" x14ac:dyDescent="0.4">
      <c r="H238" s="5">
        <f>SUMIF(B:B,"PROJETISTA: entrega levantamento topográfico",C:C)</f>
        <v>28</v>
      </c>
      <c r="I238" s="5">
        <f t="shared" si="0"/>
        <v>1</v>
      </c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53" ht="14.6" hidden="1" customHeight="1" x14ac:dyDescent="0.4">
      <c r="H239" s="5">
        <f>SUMIF(B:B,"PROJETISTA: entrega estudos geotécnicos para pavimentação",C:C)</f>
        <v>28</v>
      </c>
      <c r="I239" s="5">
        <f t="shared" si="0"/>
        <v>1</v>
      </c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53" ht="14.6" hidden="1" customHeight="1" x14ac:dyDescent="0.4">
      <c r="H240" s="5">
        <f>SUMIF(B:B,"PROJETISTA: entrega estudos geotécnicos para OAE",C:C)</f>
        <v>28</v>
      </c>
      <c r="I240" s="5">
        <f t="shared" si="0"/>
        <v>1</v>
      </c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6:35" ht="14.6" hidden="1" customHeight="1" x14ac:dyDescent="0.4">
      <c r="H241" s="5">
        <f>SUMIF(B:B,"PROJETISTA: entrega estudo hidrológico",C:C)</f>
        <v>21</v>
      </c>
      <c r="I241" s="5">
        <f t="shared" si="0"/>
        <v>0.75</v>
      </c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6:35" ht="14.6" hidden="1" customHeight="1" x14ac:dyDescent="0.4">
      <c r="H242" s="5">
        <f>SUMIF(B:B,"PROJETISTA: entrega projeto geométrico",C:C)</f>
        <v>105</v>
      </c>
      <c r="I242" s="5">
        <f t="shared" si="0"/>
        <v>3.75</v>
      </c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6:35" ht="14.6" hidden="1" customHeight="1" x14ac:dyDescent="0.4">
      <c r="H243" s="5">
        <f>SUMIF(B:B,"PROJETISTA: entrega projeto de terraplanagem",C:C)</f>
        <v>27</v>
      </c>
      <c r="I243" s="5">
        <f t="shared" si="0"/>
        <v>0.9642857142857143</v>
      </c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6:35" ht="14.6" hidden="1" customHeight="1" x14ac:dyDescent="0.4">
      <c r="H244" s="5">
        <f>SUMIF(B:B,"PROJETISTA: entrega projeto de drenagem",C:C)</f>
        <v>65</v>
      </c>
      <c r="I244" s="5">
        <f t="shared" si="0"/>
        <v>2.3214285714285716</v>
      </c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6:35" ht="14.6" hidden="1" customHeight="1" x14ac:dyDescent="0.4">
      <c r="H245" s="5">
        <f>SUMIF(B:B,"PROJETISTA: entrega projeto de pavimentação",C:C)</f>
        <v>24</v>
      </c>
      <c r="I245" s="5">
        <f t="shared" si="0"/>
        <v>0.8571428571428571</v>
      </c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AC245" s="2"/>
      <c r="AD245" s="2"/>
      <c r="AE245" s="2"/>
      <c r="AF245" s="2"/>
      <c r="AG245" s="2"/>
      <c r="AH245" s="2"/>
      <c r="AI245" s="2"/>
    </row>
    <row r="246" spans="6:35" ht="14.6" hidden="1" customHeight="1" x14ac:dyDescent="0.4">
      <c r="H246" s="5">
        <f>SUMIF(B:B,"PROJETISTA: entrega projeto de contenção",C:C)</f>
        <v>29</v>
      </c>
      <c r="I246" s="5">
        <f t="shared" si="0"/>
        <v>1.0357142857142858</v>
      </c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AC246" s="2"/>
      <c r="AD246" s="2"/>
      <c r="AE246" s="2"/>
      <c r="AF246" s="2"/>
      <c r="AG246" s="2"/>
      <c r="AH246" s="2"/>
      <c r="AI246" s="2"/>
    </row>
    <row r="247" spans="6:35" ht="14.6" hidden="1" customHeight="1" x14ac:dyDescent="0.4">
      <c r="H247" s="5">
        <f>SUMIF(B:B,"PROJETISTA: entrega projeto de sinalização",C:C)</f>
        <v>23</v>
      </c>
      <c r="I247" s="5">
        <f t="shared" si="0"/>
        <v>0.8214285714285714</v>
      </c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AC247" s="2"/>
      <c r="AD247" s="2"/>
      <c r="AE247" s="2"/>
      <c r="AF247" s="2"/>
      <c r="AG247" s="2"/>
      <c r="AH247" s="2"/>
      <c r="AI247" s="2"/>
    </row>
    <row r="248" spans="6:35" hidden="1" x14ac:dyDescent="0.4">
      <c r="H248" s="5">
        <f>SUMIF(B:B,"PROJETISTA: entrega projeto elétrico",C:C)</f>
        <v>6</v>
      </c>
      <c r="I248" s="5">
        <f t="shared" si="0"/>
        <v>0.21428571428571427</v>
      </c>
    </row>
    <row r="249" spans="6:35" hidden="1" x14ac:dyDescent="0.4">
      <c r="H249" s="5">
        <f>SUMIF(B:B,"PROJETISTA: entrega projeto de obras complementares",C:C)</f>
        <v>23</v>
      </c>
      <c r="I249" s="5">
        <f t="shared" si="0"/>
        <v>0.8214285714285714</v>
      </c>
    </row>
    <row r="250" spans="6:35" hidden="1" x14ac:dyDescent="0.4">
      <c r="H250" s="5">
        <f>SUMIF(B:B,"PROJETISTA: entrega projeto de OAE",C:C)</f>
        <v>147</v>
      </c>
      <c r="I250" s="5">
        <f t="shared" si="0"/>
        <v>5.25</v>
      </c>
    </row>
    <row r="251" spans="6:35" hidden="1" x14ac:dyDescent="0.4">
      <c r="H251" s="5">
        <f>SUMIF(B:B,"PROJETISTA: entrega projeto de inventário florestal",C:C)</f>
        <v>18</v>
      </c>
      <c r="I251" s="5">
        <f t="shared" si="0"/>
        <v>0.6428571428571429</v>
      </c>
    </row>
    <row r="252" spans="6:35" hidden="1" x14ac:dyDescent="0.4">
      <c r="F252" s="5" t="s">
        <v>71</v>
      </c>
      <c r="H252" s="5">
        <f>SUMIF(B:B,"PROJETISTA: entrega projeto de documentos",C:C)</f>
        <v>27</v>
      </c>
      <c r="I252" s="5">
        <f t="shared" si="0"/>
        <v>0.9642857142857143</v>
      </c>
    </row>
    <row r="253" spans="6:35" hidden="1" x14ac:dyDescent="0.4">
      <c r="F253" s="5" t="s">
        <v>71</v>
      </c>
      <c r="M253" s="5">
        <f>SUMIF(B:B,"PROJETISTA: entrega estudo de tráfego",C:C)</f>
        <v>21</v>
      </c>
      <c r="N253" s="86">
        <f>ORÇAMENTO!K14</f>
        <v>15924.6</v>
      </c>
      <c r="O253" s="86">
        <f>N253*(1+BDI!$D$22/100)</f>
        <v>23089.817403926234</v>
      </c>
    </row>
    <row r="254" spans="6:35" hidden="1" x14ac:dyDescent="0.4">
      <c r="F254" s="5" t="s">
        <v>79</v>
      </c>
      <c r="M254" s="5">
        <f>SUMIF(B:B,"PROJETISTA: entrega levantamento topográfico",C:C)</f>
        <v>28</v>
      </c>
      <c r="N254" s="86">
        <f>ORÇAMENTO!K24</f>
        <v>24185.839999999997</v>
      </c>
      <c r="O254" s="86">
        <f>N254*(1+BDI!$D$22/100)</f>
        <v>35068.173100773347</v>
      </c>
    </row>
    <row r="255" spans="6:35" hidden="1" x14ac:dyDescent="0.4">
      <c r="F255" s="5" t="s">
        <v>537</v>
      </c>
      <c r="M255" s="5">
        <f>SUMIF(B:B,"PROJETISTA: entrega estudos geotécnicos para pavimentação",C:C)</f>
        <v>28</v>
      </c>
      <c r="N255" s="86">
        <f>ORÇAMENTO!K37</f>
        <v>30494.15</v>
      </c>
      <c r="O255" s="86">
        <f>N255*(1+BDI!$D$22/100)</f>
        <v>44214.884856632962</v>
      </c>
    </row>
    <row r="256" spans="6:35" hidden="1" x14ac:dyDescent="0.4">
      <c r="F256" s="5" t="s">
        <v>538</v>
      </c>
      <c r="M256" s="5">
        <f>SUMIF(CRONOGRAMA!B:B,"PROJETISTA: entrega estudos geotécnicos para OAE",CRONOGRAMA!C:C)</f>
        <v>28</v>
      </c>
      <c r="N256" s="86">
        <f>ORÇAMENTO!K48</f>
        <v>30941.38</v>
      </c>
      <c r="O256" s="86">
        <f>N256*(1+BDI!$D$22/100)</f>
        <v>44863.344412135637</v>
      </c>
    </row>
    <row r="257" spans="6:15" hidden="1" x14ac:dyDescent="0.4">
      <c r="F257" s="5" t="s">
        <v>99</v>
      </c>
      <c r="M257" s="5">
        <f>SUMIF(CRONOGRAMA!B:B,"PROJETISTA: entrega estudo hidrológico",CRONOGRAMA!C:C)</f>
        <v>21</v>
      </c>
      <c r="N257" s="86">
        <f>ORÇAMENTO!K53</f>
        <v>21214.31</v>
      </c>
      <c r="O257" s="86">
        <f>N257*(1+BDI!$D$22/100)</f>
        <v>30759.613695181441</v>
      </c>
    </row>
    <row r="258" spans="6:15" hidden="1" x14ac:dyDescent="0.4">
      <c r="F258" s="5" t="s">
        <v>107</v>
      </c>
      <c r="M258" s="5">
        <f>SUMIF(CRONOGRAMA!B:B,"PROJETISTA: entrega projeto geométrico",CRONOGRAMA!C:C)</f>
        <v>105</v>
      </c>
      <c r="N258" s="86">
        <f>ORÇAMENTO!K60</f>
        <v>156926.78999999998</v>
      </c>
      <c r="O258" s="86">
        <f>N258*(1+BDI!$D$22/100)</f>
        <v>227535.44370874477</v>
      </c>
    </row>
    <row r="259" spans="6:15" hidden="1" x14ac:dyDescent="0.4">
      <c r="F259" s="5" t="s">
        <v>113</v>
      </c>
      <c r="M259" s="5">
        <f>SUMIF(CRONOGRAMA!B:B,"PROJETISTA: entrega projeto de terraplanagem",CRONOGRAMA!C:C)</f>
        <v>27</v>
      </c>
      <c r="N259" s="86">
        <f>ORÇAMENTO!K66</f>
        <v>39588.76</v>
      </c>
      <c r="O259" s="86">
        <f>N259*(1+BDI!$D$22/100)</f>
        <v>57401.582435217133</v>
      </c>
    </row>
    <row r="260" spans="6:15" hidden="1" x14ac:dyDescent="0.4">
      <c r="F260" s="5" t="s">
        <v>119</v>
      </c>
      <c r="M260" s="5">
        <f>SUMIF(CRONOGRAMA!B:B,"PROJETISTA: entrega projeto de drenagem",CRONOGRAMA!C:C)</f>
        <v>65</v>
      </c>
      <c r="N260" s="86">
        <f>ORÇAMENTO!K72</f>
        <v>95306.290000000008</v>
      </c>
      <c r="O260" s="86">
        <f>N260*(1+BDI!$D$22/100)</f>
        <v>138189.0178431886</v>
      </c>
    </row>
    <row r="261" spans="6:15" hidden="1" x14ac:dyDescent="0.4">
      <c r="F261" s="5" t="s">
        <v>125</v>
      </c>
      <c r="M261" s="5">
        <f>SUMIF(CRONOGRAMA!B:B,"PROJETISTA: entrega projeto de pavimentação",CRONOGRAMA!C:C)</f>
        <v>24</v>
      </c>
      <c r="N261" s="86">
        <f>ORÇAMENTO!K78</f>
        <v>35190.01</v>
      </c>
      <c r="O261" s="86">
        <f>N261*(1+BDI!$D$22/100)</f>
        <v>51023.630442355745</v>
      </c>
    </row>
    <row r="262" spans="6:15" hidden="1" x14ac:dyDescent="0.4">
      <c r="F262" s="5" t="s">
        <v>131</v>
      </c>
      <c r="M262" s="5">
        <f>SUMIF(CRONOGRAMA!B:B,"PROJETISTA: entrega projeto de contenção",CRONOGRAMA!C:C)</f>
        <v>29</v>
      </c>
      <c r="N262" s="86">
        <f>ORÇAMENTO!K85</f>
        <v>61730.03</v>
      </c>
      <c r="O262" s="86">
        <f>N262*(1+BDI!$D$22/100)</f>
        <v>89505.238501368236</v>
      </c>
    </row>
    <row r="263" spans="6:15" hidden="1" x14ac:dyDescent="0.4">
      <c r="F263" s="5" t="s">
        <v>137</v>
      </c>
      <c r="M263" s="5">
        <f>SUMIF(CRONOGRAMA!B:B,"PROJETISTA: entrega projeto de sinalização",CRONOGRAMA!C:C)</f>
        <v>23</v>
      </c>
      <c r="N263" s="86">
        <f>ORÇAMENTO!K91</f>
        <v>33723.759999999995</v>
      </c>
      <c r="O263" s="86">
        <f>N263*(1+BDI!$D$22/100)</f>
        <v>48897.64644473527</v>
      </c>
    </row>
    <row r="264" spans="6:15" hidden="1" x14ac:dyDescent="0.4">
      <c r="F264" s="5" t="s">
        <v>233</v>
      </c>
      <c r="M264" s="5">
        <f>SUMIF(CRONOGRAMA!B:B,"PROJETISTA: entrega projeto elétrico",CRONOGRAMA!C:C)</f>
        <v>6</v>
      </c>
      <c r="N264" s="86">
        <f>ORÇAMENTO!K97</f>
        <v>8797.48</v>
      </c>
      <c r="O264" s="86">
        <f>N264*(1+BDI!$D$22/100)</f>
        <v>12755.874986793575</v>
      </c>
    </row>
    <row r="265" spans="6:15" hidden="1" x14ac:dyDescent="0.4">
      <c r="F265" s="5" t="s">
        <v>143</v>
      </c>
      <c r="M265" s="5">
        <f>SUMIF(CRONOGRAMA!B:B,"PROJETISTA: entrega projeto de obras complementares",CRONOGRAMA!C:C)</f>
        <v>23</v>
      </c>
      <c r="N265" s="86">
        <f>ORÇAMENTO!K103</f>
        <v>33723.759999999995</v>
      </c>
      <c r="O265" s="86">
        <f>N265*(1+BDI!$D$22/100)</f>
        <v>48897.64644473527</v>
      </c>
    </row>
    <row r="266" spans="6:15" hidden="1" x14ac:dyDescent="0.4">
      <c r="F266" s="5" t="s">
        <v>149</v>
      </c>
      <c r="M266" s="5">
        <f>SUMIF(CRONOGRAMA!B:B,"PROJETISTA: entrega projeto de OAE",CRONOGRAMA!C:C)</f>
        <v>147</v>
      </c>
      <c r="N266" s="86">
        <f>ORÇAMENTO!K109</f>
        <v>325238.31999999995</v>
      </c>
      <c r="O266" s="86">
        <f>N266*(1+BDI!$D$22/100)</f>
        <v>471578.15088352165</v>
      </c>
    </row>
    <row r="267" spans="6:15" hidden="1" x14ac:dyDescent="0.4">
      <c r="F267" s="5" t="s">
        <v>155</v>
      </c>
      <c r="M267" s="5">
        <f>SUMIF(CRONOGRAMA!B:B,"PROJETISTA: entrega projeto de inventário florestal",CRONOGRAMA!C:C)</f>
        <v>18</v>
      </c>
      <c r="N267" s="86">
        <f>ORÇAMENTO!K115</f>
        <v>23548.329999999998</v>
      </c>
      <c r="O267" s="86">
        <f>N267*(1+BDI!$D$22/100)</f>
        <v>34143.817732778109</v>
      </c>
    </row>
    <row r="268" spans="6:15" hidden="1" x14ac:dyDescent="0.4">
      <c r="F268" s="5" t="s">
        <v>161</v>
      </c>
      <c r="M268" s="5">
        <f>SUMIF(CRONOGRAMA!B:B,"PROJETISTA: entrega projeto de documentos",CRONOGRAMA!C:C)</f>
        <v>27</v>
      </c>
      <c r="N268" s="86">
        <f>ORÇAMENTO!K121</f>
        <v>39588.76</v>
      </c>
      <c r="O268" s="86">
        <f>N268*(1+BDI!$D$22/100)</f>
        <v>57401.582435217133</v>
      </c>
    </row>
    <row r="269" spans="6:15" hidden="1" x14ac:dyDescent="0.4">
      <c r="O269" s="86">
        <f>ORÇAMENTO!K125</f>
        <v>1415325.46</v>
      </c>
    </row>
  </sheetData>
  <sheetProtection algorithmName="SHA-512" hashValue="rB1S5pC8z9szjNrbaA9OI4se+atBFFO/FR/PLI6Vql7IPA58k6cQccqbN41xgI6+iSR5Pt4703dBQ4rFk1ZjFA==" saltValue="w/WQXSXqspbGXeVHE1VIlw==" spinCount="100000" sheet="1" objects="1" scenarios="1" selectLockedCells="1" selectUnlockedCells="1"/>
  <mergeCells count="17">
    <mergeCell ref="V2:Y3"/>
    <mergeCell ref="Z2:AC3"/>
    <mergeCell ref="AD2:AG3"/>
    <mergeCell ref="AH2:AK3"/>
    <mergeCell ref="AL2:AO3"/>
    <mergeCell ref="A1:BA1"/>
    <mergeCell ref="C2:C3"/>
    <mergeCell ref="B2:B3"/>
    <mergeCell ref="A2:A3"/>
    <mergeCell ref="D2:E2"/>
    <mergeCell ref="F2:I3"/>
    <mergeCell ref="J2:M3"/>
    <mergeCell ref="N2:Q3"/>
    <mergeCell ref="R2:U3"/>
    <mergeCell ref="AP2:AS3"/>
    <mergeCell ref="AT2:AW3"/>
    <mergeCell ref="AX2:BA3"/>
  </mergeCells>
  <phoneticPr fontId="15" type="noConversion"/>
  <printOptions horizontalCentered="1"/>
  <pageMargins left="0.39370078740157483" right="0.39370078740157483" top="0.39370078740157483" bottom="0.39370078740157483" header="0" footer="0"/>
  <pageSetup paperSize="9" orientation="landscape" r:id="rId1"/>
  <ignoredErrors>
    <ignoredError sqref="C9 C2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133"/>
  <sheetViews>
    <sheetView topLeftCell="A63" zoomScaleNormal="100" zoomScaleSheetLayoutView="40" workbookViewId="0">
      <selection activeCell="J108" sqref="J108"/>
    </sheetView>
  </sheetViews>
  <sheetFormatPr defaultRowHeight="14.6" x14ac:dyDescent="0.4"/>
  <cols>
    <col min="1" max="1" width="6.69140625" style="3" customWidth="1"/>
    <col min="2" max="2" width="8.69140625" style="3" customWidth="1"/>
    <col min="3" max="3" width="9.69140625" style="3" customWidth="1"/>
    <col min="4" max="4" width="8.69140625" style="4" customWidth="1"/>
    <col min="5" max="5" width="55.69140625" style="5" customWidth="1"/>
    <col min="6" max="6" width="10.69140625" style="5" customWidth="1"/>
    <col min="7" max="7" width="17.69140625" style="5" customWidth="1"/>
    <col min="8" max="8" width="7.69140625" style="13" bestFit="1" customWidth="1"/>
    <col min="9" max="9" width="10.69140625" style="13" customWidth="1"/>
    <col min="10" max="11" width="20.69140625" style="5" customWidth="1"/>
  </cols>
  <sheetData>
    <row r="1" spans="1:16" s="39" customFormat="1" ht="100" customHeight="1" x14ac:dyDescent="0.4">
      <c r="A1" s="210" t="s">
        <v>477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/>
      <c r="M1"/>
      <c r="N1"/>
      <c r="O1"/>
      <c r="P1"/>
    </row>
    <row r="2" spans="1:16" s="39" customFormat="1" x14ac:dyDescent="0.4">
      <c r="L2"/>
      <c r="M2"/>
      <c r="N2"/>
      <c r="O2"/>
      <c r="P2"/>
    </row>
    <row r="3" spans="1:16" s="39" customFormat="1" ht="14.15" customHeight="1" x14ac:dyDescent="0.4">
      <c r="A3" s="247" t="s">
        <v>479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/>
      <c r="M3"/>
      <c r="N3"/>
      <c r="O3"/>
      <c r="P3"/>
    </row>
    <row r="4" spans="1:16" s="39" customFormat="1" ht="14.15" customHeight="1" x14ac:dyDescent="0.4">
      <c r="A4" s="111" t="s">
        <v>554</v>
      </c>
      <c r="B4" s="111"/>
      <c r="C4" s="111"/>
      <c r="D4" s="111"/>
      <c r="E4" s="111"/>
      <c r="F4" s="111"/>
      <c r="G4" s="111"/>
      <c r="H4" s="111"/>
      <c r="I4" s="111"/>
      <c r="J4" s="111"/>
      <c r="K4" s="112" t="s">
        <v>555</v>
      </c>
      <c r="L4"/>
      <c r="M4"/>
      <c r="N4"/>
      <c r="O4"/>
      <c r="P4"/>
    </row>
    <row r="5" spans="1:16" s="39" customFormat="1" ht="14.15" customHeight="1" x14ac:dyDescent="0.4">
      <c r="A5" s="248" t="s">
        <v>480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/>
      <c r="M5"/>
      <c r="N5"/>
      <c r="O5"/>
      <c r="P5"/>
    </row>
    <row r="6" spans="1:16" s="39" customFormat="1" ht="14.15" customHeight="1" x14ac:dyDescent="0.4">
      <c r="A6" s="247"/>
      <c r="B6" s="247"/>
      <c r="C6" s="247"/>
      <c r="D6" s="247"/>
      <c r="E6" s="247"/>
      <c r="F6" s="247"/>
      <c r="G6" s="247"/>
      <c r="H6" s="247"/>
      <c r="I6" s="247"/>
      <c r="J6" s="247"/>
      <c r="K6" s="247"/>
      <c r="L6"/>
      <c r="M6"/>
      <c r="N6"/>
      <c r="O6"/>
      <c r="P6"/>
    </row>
    <row r="7" spans="1:16" ht="42.65" customHeight="1" x14ac:dyDescent="0.4">
      <c r="A7" s="62" t="s">
        <v>0</v>
      </c>
      <c r="B7" s="62" t="s">
        <v>332</v>
      </c>
      <c r="C7" s="62" t="s">
        <v>333</v>
      </c>
      <c r="D7" s="62" t="s">
        <v>334</v>
      </c>
      <c r="E7" s="62" t="s">
        <v>335</v>
      </c>
      <c r="F7" s="28" t="s">
        <v>336</v>
      </c>
      <c r="G7" s="28" t="s">
        <v>337</v>
      </c>
      <c r="H7" s="63" t="s">
        <v>338</v>
      </c>
      <c r="I7" s="55" t="s">
        <v>339</v>
      </c>
      <c r="J7" s="28" t="s">
        <v>340</v>
      </c>
      <c r="K7" s="28" t="s">
        <v>341</v>
      </c>
    </row>
    <row r="8" spans="1:16" x14ac:dyDescent="0.4">
      <c r="A8" s="64">
        <v>1</v>
      </c>
      <c r="B8" s="64"/>
      <c r="C8" s="64"/>
      <c r="D8" s="65"/>
      <c r="E8" s="88" t="s">
        <v>71</v>
      </c>
      <c r="F8" s="66"/>
      <c r="G8" s="66"/>
      <c r="H8" s="67"/>
      <c r="I8" s="67"/>
      <c r="J8" s="66"/>
      <c r="K8" s="66"/>
    </row>
    <row r="9" spans="1:16" x14ac:dyDescent="0.4">
      <c r="A9" s="3" t="s">
        <v>70</v>
      </c>
      <c r="B9" s="3" t="s">
        <v>478</v>
      </c>
      <c r="C9" s="3" t="s">
        <v>342</v>
      </c>
      <c r="D9" s="4" t="s">
        <v>343</v>
      </c>
      <c r="E9" s="89" t="s">
        <v>344</v>
      </c>
      <c r="F9" s="5">
        <v>1</v>
      </c>
      <c r="G9" s="68">
        <v>0.5</v>
      </c>
      <c r="H9" s="13">
        <f>SUMIF(CRONOGRAMA!B:B,"PROJETISTA: entrega estudo de tráfego",CRONOGRAMA!C:C)/30</f>
        <v>0.7</v>
      </c>
      <c r="I9" s="13">
        <f>F9*G9*H9</f>
        <v>0.35</v>
      </c>
      <c r="J9" s="201">
        <v>7296.64</v>
      </c>
      <c r="K9" s="69">
        <f>TRUNC(I9*J9,2)</f>
        <v>2553.8200000000002</v>
      </c>
    </row>
    <row r="10" spans="1:16" x14ac:dyDescent="0.4">
      <c r="A10" s="3" t="s">
        <v>78</v>
      </c>
      <c r="B10" s="3" t="s">
        <v>478</v>
      </c>
      <c r="C10" s="3" t="s">
        <v>342</v>
      </c>
      <c r="D10" s="4" t="s">
        <v>345</v>
      </c>
      <c r="E10" s="89" t="s">
        <v>346</v>
      </c>
      <c r="F10" s="5">
        <v>1</v>
      </c>
      <c r="G10" s="68">
        <v>0.5</v>
      </c>
      <c r="H10" s="13">
        <f>SUMIF(CRONOGRAMA!B:B,"PROJETISTA: entrega estudo de tráfego",CRONOGRAMA!C:C)/30</f>
        <v>0.7</v>
      </c>
      <c r="I10" s="13">
        <f>F10*G10*H10</f>
        <v>0.35</v>
      </c>
      <c r="J10" s="201">
        <v>4501.3</v>
      </c>
      <c r="K10" s="69">
        <f>TRUNC(I10*J10,2)</f>
        <v>1575.45</v>
      </c>
    </row>
    <row r="11" spans="1:16" x14ac:dyDescent="0.4">
      <c r="A11" s="3" t="s">
        <v>84</v>
      </c>
      <c r="B11" s="3" t="s">
        <v>478</v>
      </c>
      <c r="C11" s="3" t="s">
        <v>342</v>
      </c>
      <c r="D11" s="4" t="s">
        <v>347</v>
      </c>
      <c r="E11" s="89" t="s">
        <v>348</v>
      </c>
      <c r="F11" s="5">
        <v>1</v>
      </c>
      <c r="G11" s="68">
        <v>0.5</v>
      </c>
      <c r="H11" s="13">
        <f>SUMIF(CRONOGRAMA!B:B,"PROJETISTA: entrega estudo de tráfego",CRONOGRAMA!C:C)/30</f>
        <v>0.7</v>
      </c>
      <c r="I11" s="13">
        <f>F11*G11*H11</f>
        <v>0.35</v>
      </c>
      <c r="J11" s="201">
        <v>23009.54</v>
      </c>
      <c r="K11" s="69">
        <f>TRUNC(I11*J11,2)</f>
        <v>8053.33</v>
      </c>
    </row>
    <row r="12" spans="1:16" x14ac:dyDescent="0.4">
      <c r="A12" s="3" t="s">
        <v>98</v>
      </c>
      <c r="B12" s="3" t="s">
        <v>478</v>
      </c>
      <c r="C12" s="3" t="s">
        <v>342</v>
      </c>
      <c r="D12" s="4" t="s">
        <v>343</v>
      </c>
      <c r="E12" s="89" t="s">
        <v>349</v>
      </c>
      <c r="F12" s="5">
        <v>1</v>
      </c>
      <c r="G12" s="68">
        <v>0.5</v>
      </c>
      <c r="H12" s="13">
        <f>SUMIF(CRONOGRAMA!B:B,"PROJETISTA: entrega estudo de tráfego",CRONOGRAMA!C:C)/30</f>
        <v>0.7</v>
      </c>
      <c r="I12" s="13">
        <f>F12*G12*H12</f>
        <v>0.35</v>
      </c>
      <c r="J12" s="201">
        <v>7296.64</v>
      </c>
      <c r="K12" s="69">
        <f>TRUNC(I12*J12,2)</f>
        <v>2553.8200000000002</v>
      </c>
    </row>
    <row r="13" spans="1:16" x14ac:dyDescent="0.4">
      <c r="A13" s="3" t="s">
        <v>546</v>
      </c>
      <c r="B13" s="3" t="s">
        <v>478</v>
      </c>
      <c r="C13" s="3" t="s">
        <v>342</v>
      </c>
      <c r="D13" s="4" t="s">
        <v>419</v>
      </c>
      <c r="E13" s="89" t="s">
        <v>420</v>
      </c>
      <c r="F13" s="5">
        <v>1</v>
      </c>
      <c r="G13" s="68">
        <f>G9</f>
        <v>0.5</v>
      </c>
      <c r="H13" s="13">
        <f>H9</f>
        <v>0.7</v>
      </c>
      <c r="I13" s="13">
        <f>F13*G13*H13</f>
        <v>0.35</v>
      </c>
      <c r="J13" s="201">
        <f>66*39.77+116.49*6.61</f>
        <v>3394.8189000000002</v>
      </c>
      <c r="K13" s="69">
        <f t="shared" ref="K13" si="0">TRUNC(I13*J13,2)</f>
        <v>1188.18</v>
      </c>
    </row>
    <row r="14" spans="1:16" x14ac:dyDescent="0.4">
      <c r="A14" s="70"/>
      <c r="B14" s="70"/>
      <c r="C14" s="70"/>
      <c r="D14" s="71"/>
      <c r="E14" s="90"/>
      <c r="F14" s="72"/>
      <c r="G14" s="73"/>
      <c r="H14" s="74"/>
      <c r="I14" s="74"/>
      <c r="J14" s="75" t="s">
        <v>350</v>
      </c>
      <c r="K14" s="76">
        <f>SUM(K9:K13)</f>
        <v>15924.6</v>
      </c>
    </row>
    <row r="15" spans="1:16" x14ac:dyDescent="0.4">
      <c r="E15" s="89"/>
      <c r="G15" s="68"/>
    </row>
    <row r="16" spans="1:16" x14ac:dyDescent="0.4">
      <c r="A16" s="64">
        <v>2</v>
      </c>
      <c r="B16" s="64"/>
      <c r="C16" s="64"/>
      <c r="D16" s="65"/>
      <c r="E16" s="88" t="s">
        <v>79</v>
      </c>
      <c r="F16" s="66"/>
      <c r="G16" s="77"/>
      <c r="H16" s="67"/>
      <c r="I16" s="67"/>
      <c r="J16" s="66"/>
      <c r="K16" s="66"/>
    </row>
    <row r="17" spans="1:11" x14ac:dyDescent="0.4">
      <c r="A17" s="3" t="s">
        <v>105</v>
      </c>
      <c r="B17" s="3" t="s">
        <v>478</v>
      </c>
      <c r="C17" s="3" t="s">
        <v>342</v>
      </c>
      <c r="D17" s="4" t="s">
        <v>351</v>
      </c>
      <c r="E17" s="89" t="s">
        <v>352</v>
      </c>
      <c r="F17" s="5">
        <v>1</v>
      </c>
      <c r="G17" s="68">
        <v>0.5</v>
      </c>
      <c r="H17" s="13">
        <f>SUMIF(CRONOGRAMA!B:B,"PROJETISTA: entrega levantamento topográfico",CRONOGRAMA!C:C)/30</f>
        <v>0.93333333333333335</v>
      </c>
      <c r="I17" s="13">
        <f>F17*G17*H17</f>
        <v>0.46666666666666667</v>
      </c>
      <c r="J17" s="201">
        <v>6095.68</v>
      </c>
      <c r="K17" s="69">
        <f>TRUNC(I17*J17,2)</f>
        <v>2844.65</v>
      </c>
    </row>
    <row r="18" spans="1:11" x14ac:dyDescent="0.4">
      <c r="A18" s="3" t="s">
        <v>166</v>
      </c>
      <c r="B18" s="3" t="s">
        <v>478</v>
      </c>
      <c r="C18" s="3" t="s">
        <v>342</v>
      </c>
      <c r="D18" s="4" t="s">
        <v>353</v>
      </c>
      <c r="E18" s="89" t="s">
        <v>354</v>
      </c>
      <c r="F18" s="5">
        <v>1</v>
      </c>
      <c r="G18" s="68">
        <v>0.5</v>
      </c>
      <c r="H18" s="13">
        <f>SUMIF(CRONOGRAMA!B:B,"PROJETISTA: entrega levantamento topográfico",CRONOGRAMA!C:C)/30</f>
        <v>0.93333333333333335</v>
      </c>
      <c r="I18" s="13">
        <f>F18*G18*H18</f>
        <v>0.46666666666666667</v>
      </c>
      <c r="J18" s="201">
        <v>4492.8</v>
      </c>
      <c r="K18" s="69">
        <f>TRUNC(I18*J18,2)</f>
        <v>2096.64</v>
      </c>
    </row>
    <row r="19" spans="1:11" x14ac:dyDescent="0.4">
      <c r="A19" s="3" t="s">
        <v>207</v>
      </c>
      <c r="B19" s="3" t="s">
        <v>478</v>
      </c>
      <c r="C19" s="3" t="s">
        <v>342</v>
      </c>
      <c r="D19" s="4" t="s">
        <v>347</v>
      </c>
      <c r="E19" s="89" t="s">
        <v>348</v>
      </c>
      <c r="F19" s="5">
        <v>1</v>
      </c>
      <c r="G19" s="68">
        <v>0.5</v>
      </c>
      <c r="H19" s="13">
        <f>SUMIF(CRONOGRAMA!B:B,"PROJETISTA: entrega levantamento topográfico",CRONOGRAMA!C:C)/30</f>
        <v>0.93333333333333335</v>
      </c>
      <c r="I19" s="13">
        <f>F19*G19*H19</f>
        <v>0.46666666666666667</v>
      </c>
      <c r="J19" s="201">
        <v>23009.54</v>
      </c>
      <c r="K19" s="69">
        <f>TRUNC(I19*J19,2)</f>
        <v>10737.78</v>
      </c>
    </row>
    <row r="20" spans="1:11" x14ac:dyDescent="0.4">
      <c r="A20" s="3" t="s">
        <v>250</v>
      </c>
      <c r="B20" s="3" t="s">
        <v>478</v>
      </c>
      <c r="C20" s="3" t="s">
        <v>342</v>
      </c>
      <c r="D20" s="4" t="s">
        <v>345</v>
      </c>
      <c r="E20" s="89" t="s">
        <v>355</v>
      </c>
      <c r="F20" s="5">
        <v>1</v>
      </c>
      <c r="G20" s="68">
        <v>0.5</v>
      </c>
      <c r="H20" s="13">
        <f>SUMIF(CRONOGRAMA!B:B,"PROJETISTA: entrega levantamento topográfico",CRONOGRAMA!C:C)/30</f>
        <v>0.93333333333333335</v>
      </c>
      <c r="I20" s="13">
        <f>F20*G20*H20</f>
        <v>0.46666666666666667</v>
      </c>
      <c r="J20" s="201">
        <v>4501.3</v>
      </c>
      <c r="K20" s="69">
        <f>TRUNC(I20*J20,2)</f>
        <v>2100.6</v>
      </c>
    </row>
    <row r="21" spans="1:11" ht="28.3" x14ac:dyDescent="0.4">
      <c r="A21" s="3" t="s">
        <v>291</v>
      </c>
      <c r="B21" s="3" t="s">
        <v>478</v>
      </c>
      <c r="C21" s="3" t="s">
        <v>342</v>
      </c>
      <c r="D21" s="4" t="s">
        <v>421</v>
      </c>
      <c r="E21" s="91" t="s">
        <v>422</v>
      </c>
      <c r="F21" s="5">
        <v>1</v>
      </c>
      <c r="G21" s="68">
        <f>G17</f>
        <v>0.5</v>
      </c>
      <c r="H21" s="13">
        <f>H17</f>
        <v>0.93333333333333335</v>
      </c>
      <c r="I21" s="13">
        <f>F21*G21*H21</f>
        <v>0.46666666666666667</v>
      </c>
      <c r="J21" s="201">
        <f>66*66.07+116.49*20.28</f>
        <v>6723.0371999999998</v>
      </c>
      <c r="K21" s="69">
        <f>TRUNC(I21*J21,2)</f>
        <v>3137.41</v>
      </c>
    </row>
    <row r="22" spans="1:11" x14ac:dyDescent="0.4">
      <c r="A22" s="3" t="s">
        <v>427</v>
      </c>
      <c r="B22" s="3" t="s">
        <v>478</v>
      </c>
      <c r="C22" s="3" t="s">
        <v>342</v>
      </c>
      <c r="D22" s="4" t="s">
        <v>428</v>
      </c>
      <c r="E22" s="89" t="s">
        <v>429</v>
      </c>
      <c r="F22" s="5">
        <v>1</v>
      </c>
      <c r="G22" s="68">
        <f>G17</f>
        <v>0.5</v>
      </c>
      <c r="H22" s="13">
        <f>H17</f>
        <v>0.93333333333333335</v>
      </c>
      <c r="I22" s="13">
        <f t="shared" ref="I22:I23" si="1">F22*G22*H22</f>
        <v>0.46666666666666667</v>
      </c>
      <c r="J22" s="201">
        <v>6145.87</v>
      </c>
      <c r="K22" s="69">
        <f t="shared" ref="K22:K23" si="2">TRUNC(I22*J22,2)</f>
        <v>2868.07</v>
      </c>
    </row>
    <row r="23" spans="1:11" x14ac:dyDescent="0.4">
      <c r="A23" s="3" t="s">
        <v>430</v>
      </c>
      <c r="B23" s="3" t="s">
        <v>478</v>
      </c>
      <c r="C23" s="3" t="s">
        <v>342</v>
      </c>
      <c r="D23" s="4" t="s">
        <v>431</v>
      </c>
      <c r="E23" s="89" t="s">
        <v>432</v>
      </c>
      <c r="F23" s="5">
        <v>1</v>
      </c>
      <c r="G23" s="68">
        <f>G19</f>
        <v>0.5</v>
      </c>
      <c r="H23" s="13">
        <f>H19</f>
        <v>0.93333333333333335</v>
      </c>
      <c r="I23" s="13">
        <f t="shared" si="1"/>
        <v>0.46666666666666667</v>
      </c>
      <c r="J23" s="201">
        <v>858.63</v>
      </c>
      <c r="K23" s="69">
        <f t="shared" si="2"/>
        <v>400.69</v>
      </c>
    </row>
    <row r="24" spans="1:11" x14ac:dyDescent="0.4">
      <c r="A24" s="70"/>
      <c r="B24" s="70"/>
      <c r="C24" s="70"/>
      <c r="D24" s="71"/>
      <c r="E24" s="90"/>
      <c r="F24" s="72"/>
      <c r="G24" s="73"/>
      <c r="H24" s="74"/>
      <c r="I24" s="74"/>
      <c r="J24" s="75" t="s">
        <v>350</v>
      </c>
      <c r="K24" s="78">
        <f>SUM(K17:K23)</f>
        <v>24185.839999999997</v>
      </c>
    </row>
    <row r="25" spans="1:11" x14ac:dyDescent="0.4">
      <c r="E25" s="89"/>
      <c r="G25" s="68"/>
    </row>
    <row r="26" spans="1:11" x14ac:dyDescent="0.4">
      <c r="A26" s="64">
        <v>3</v>
      </c>
      <c r="B26" s="64"/>
      <c r="C26" s="64"/>
      <c r="D26" s="65"/>
      <c r="E26" s="88" t="s">
        <v>533</v>
      </c>
      <c r="F26" s="66"/>
      <c r="G26" s="77"/>
      <c r="H26" s="67"/>
      <c r="I26" s="67"/>
      <c r="J26" s="66"/>
      <c r="K26" s="66"/>
    </row>
    <row r="27" spans="1:11" x14ac:dyDescent="0.4">
      <c r="A27" s="70" t="s">
        <v>356</v>
      </c>
      <c r="B27" s="70"/>
      <c r="C27" s="70"/>
      <c r="D27" s="71"/>
      <c r="E27" s="90" t="s">
        <v>87</v>
      </c>
      <c r="F27" s="72"/>
      <c r="G27" s="73"/>
      <c r="H27" s="74"/>
      <c r="I27" s="74"/>
      <c r="J27" s="72"/>
      <c r="K27" s="72"/>
    </row>
    <row r="28" spans="1:11" x14ac:dyDescent="0.4">
      <c r="A28" s="3" t="s">
        <v>357</v>
      </c>
      <c r="B28" s="3" t="s">
        <v>478</v>
      </c>
      <c r="C28" s="3" t="s">
        <v>342</v>
      </c>
      <c r="D28" s="4" t="s">
        <v>347</v>
      </c>
      <c r="E28" s="89" t="s">
        <v>348</v>
      </c>
      <c r="F28" s="5">
        <v>1</v>
      </c>
      <c r="G28" s="68">
        <v>0.5</v>
      </c>
      <c r="H28" s="13">
        <f>SUMIF(CRONOGRAMA!B:B,"PROJETISTA: entrega estudos geotécnicos para pavimentação",CRONOGRAMA!C:C)/30</f>
        <v>0.93333333333333335</v>
      </c>
      <c r="I28" s="13">
        <f t="shared" ref="I28:I36" si="3">F28*G28*H28</f>
        <v>0.46666666666666667</v>
      </c>
      <c r="J28" s="201">
        <v>23009.54</v>
      </c>
      <c r="K28" s="69">
        <f t="shared" ref="K28:K36" si="4">TRUNC(I28*J28,2)</f>
        <v>10737.78</v>
      </c>
    </row>
    <row r="29" spans="1:11" x14ac:dyDescent="0.4">
      <c r="A29" s="3" t="s">
        <v>358</v>
      </c>
      <c r="B29" s="3" t="s">
        <v>478</v>
      </c>
      <c r="C29" s="3" t="s">
        <v>342</v>
      </c>
      <c r="D29" s="4" t="s">
        <v>343</v>
      </c>
      <c r="E29" s="89" t="s">
        <v>359</v>
      </c>
      <c r="F29" s="5">
        <v>1</v>
      </c>
      <c r="G29" s="68">
        <v>0.5</v>
      </c>
      <c r="H29" s="13">
        <f>SUMIF(CRONOGRAMA!B:B,"PROJETISTA: entrega estudos geotécnicos para pavimentação",CRONOGRAMA!C:C)/30</f>
        <v>0.93333333333333335</v>
      </c>
      <c r="I29" s="13">
        <f t="shared" si="3"/>
        <v>0.46666666666666667</v>
      </c>
      <c r="J29" s="201">
        <v>7296.64</v>
      </c>
      <c r="K29" s="69">
        <f t="shared" si="4"/>
        <v>3405.09</v>
      </c>
    </row>
    <row r="30" spans="1:11" x14ac:dyDescent="0.4">
      <c r="A30" s="3" t="s">
        <v>360</v>
      </c>
      <c r="B30" s="3" t="s">
        <v>478</v>
      </c>
      <c r="C30" s="3" t="s">
        <v>342</v>
      </c>
      <c r="D30" s="4" t="s">
        <v>361</v>
      </c>
      <c r="E30" s="89" t="s">
        <v>362</v>
      </c>
      <c r="F30" s="5">
        <v>1</v>
      </c>
      <c r="G30" s="68">
        <v>0.5</v>
      </c>
      <c r="H30" s="13">
        <f>SUMIF(CRONOGRAMA!B:B,"PROJETISTA: entrega estudos geotécnicos para pavimentação",CRONOGRAMA!C:C)/30</f>
        <v>0.93333333333333335</v>
      </c>
      <c r="I30" s="13">
        <f t="shared" si="3"/>
        <v>0.46666666666666667</v>
      </c>
      <c r="J30" s="201">
        <v>5942.7</v>
      </c>
      <c r="K30" s="69">
        <f t="shared" si="4"/>
        <v>2773.26</v>
      </c>
    </row>
    <row r="31" spans="1:11" x14ac:dyDescent="0.4">
      <c r="A31" s="3" t="s">
        <v>363</v>
      </c>
      <c r="B31" s="3" t="s">
        <v>478</v>
      </c>
      <c r="C31" s="3" t="s">
        <v>342</v>
      </c>
      <c r="D31" s="4" t="s">
        <v>364</v>
      </c>
      <c r="E31" s="89" t="s">
        <v>365</v>
      </c>
      <c r="F31" s="5">
        <v>1</v>
      </c>
      <c r="G31" s="68">
        <v>0.5</v>
      </c>
      <c r="H31" s="13">
        <f>SUMIF(CRONOGRAMA!B:B,"PROJETISTA: entrega estudos geotécnicos para pavimentação",CRONOGRAMA!C:C)/30</f>
        <v>0.93333333333333335</v>
      </c>
      <c r="I31" s="13">
        <f t="shared" si="3"/>
        <v>0.46666666666666667</v>
      </c>
      <c r="J31" s="201">
        <v>4826.63</v>
      </c>
      <c r="K31" s="69">
        <f t="shared" si="4"/>
        <v>2252.42</v>
      </c>
    </row>
    <row r="32" spans="1:11" x14ac:dyDescent="0.4">
      <c r="A32" s="3" t="s">
        <v>366</v>
      </c>
      <c r="B32" s="3" t="s">
        <v>478</v>
      </c>
      <c r="C32" s="3" t="s">
        <v>342</v>
      </c>
      <c r="D32" s="4" t="s">
        <v>367</v>
      </c>
      <c r="E32" s="89" t="s">
        <v>368</v>
      </c>
      <c r="F32" s="5">
        <v>1</v>
      </c>
      <c r="G32" s="68">
        <v>0.5</v>
      </c>
      <c r="H32" s="13">
        <f>SUMIF(CRONOGRAMA!B:B,"PROJETISTA: entrega estudos geotécnicos para pavimentação",CRONOGRAMA!C:C)/30</f>
        <v>0.93333333333333335</v>
      </c>
      <c r="I32" s="13">
        <f t="shared" si="3"/>
        <v>0.46666666666666667</v>
      </c>
      <c r="J32" s="201">
        <v>5442.71</v>
      </c>
      <c r="K32" s="69">
        <f t="shared" si="4"/>
        <v>2539.9299999999998</v>
      </c>
    </row>
    <row r="33" spans="1:11" x14ac:dyDescent="0.4">
      <c r="A33" s="3" t="s">
        <v>369</v>
      </c>
      <c r="B33" s="3" t="s">
        <v>478</v>
      </c>
      <c r="C33" s="3" t="s">
        <v>342</v>
      </c>
      <c r="D33" s="4" t="s">
        <v>345</v>
      </c>
      <c r="E33" s="89" t="s">
        <v>370</v>
      </c>
      <c r="F33" s="5">
        <v>1</v>
      </c>
      <c r="G33" s="68">
        <v>0.5</v>
      </c>
      <c r="H33" s="13">
        <f>SUMIF(CRONOGRAMA!B:B,"PROJETISTA: entrega estudos geotécnicos para pavimentação",CRONOGRAMA!C:C)/30</f>
        <v>0.93333333333333335</v>
      </c>
      <c r="I33" s="13">
        <f t="shared" si="3"/>
        <v>0.46666666666666667</v>
      </c>
      <c r="J33" s="201">
        <v>4826.63</v>
      </c>
      <c r="K33" s="69">
        <f t="shared" si="4"/>
        <v>2252.42</v>
      </c>
    </row>
    <row r="34" spans="1:11" x14ac:dyDescent="0.4">
      <c r="A34" s="3" t="s">
        <v>543</v>
      </c>
      <c r="B34" s="3" t="s">
        <v>478</v>
      </c>
      <c r="C34" s="3" t="s">
        <v>342</v>
      </c>
      <c r="D34" s="4" t="s">
        <v>425</v>
      </c>
      <c r="E34" s="89" t="s">
        <v>426</v>
      </c>
      <c r="F34" s="5">
        <v>1</v>
      </c>
      <c r="G34" s="68">
        <f>G30</f>
        <v>0.5</v>
      </c>
      <c r="H34" s="13">
        <f>H30</f>
        <v>0.93333333333333335</v>
      </c>
      <c r="I34" s="13">
        <f t="shared" si="3"/>
        <v>0.46666666666666667</v>
      </c>
      <c r="J34" s="201">
        <v>3882.01</v>
      </c>
      <c r="K34" s="69">
        <f t="shared" si="4"/>
        <v>1811.6</v>
      </c>
    </row>
    <row r="35" spans="1:11" x14ac:dyDescent="0.4">
      <c r="A35" s="3" t="s">
        <v>544</v>
      </c>
      <c r="B35" s="3" t="s">
        <v>478</v>
      </c>
      <c r="C35" s="3" t="s">
        <v>342</v>
      </c>
      <c r="D35" s="4" t="s">
        <v>419</v>
      </c>
      <c r="E35" s="89" t="s">
        <v>420</v>
      </c>
      <c r="F35" s="5">
        <v>1</v>
      </c>
      <c r="G35" s="68">
        <f>G29</f>
        <v>0.5</v>
      </c>
      <c r="H35" s="13">
        <f>H29</f>
        <v>0.93333333333333335</v>
      </c>
      <c r="I35" s="13">
        <f t="shared" si="3"/>
        <v>0.46666666666666667</v>
      </c>
      <c r="J35" s="201">
        <f>66*39.77+116.49*6.61</f>
        <v>3394.8189000000002</v>
      </c>
      <c r="K35" s="69">
        <f t="shared" si="4"/>
        <v>1584.24</v>
      </c>
    </row>
    <row r="36" spans="1:11" ht="28.3" x14ac:dyDescent="0.4">
      <c r="A36" s="3" t="s">
        <v>545</v>
      </c>
      <c r="B36" s="3" t="s">
        <v>478</v>
      </c>
      <c r="C36" s="3" t="s">
        <v>342</v>
      </c>
      <c r="D36" s="4" t="s">
        <v>421</v>
      </c>
      <c r="E36" s="91" t="s">
        <v>422</v>
      </c>
      <c r="F36" s="5">
        <v>1</v>
      </c>
      <c r="G36" s="68">
        <f>G32</f>
        <v>0.5</v>
      </c>
      <c r="H36" s="13">
        <f>H32</f>
        <v>0.93333333333333335</v>
      </c>
      <c r="I36" s="13">
        <f t="shared" si="3"/>
        <v>0.46666666666666667</v>
      </c>
      <c r="J36" s="201">
        <f>66*66.07+116.49*20.28</f>
        <v>6723.0371999999998</v>
      </c>
      <c r="K36" s="69">
        <f t="shared" si="4"/>
        <v>3137.41</v>
      </c>
    </row>
    <row r="37" spans="1:11" x14ac:dyDescent="0.4">
      <c r="A37" s="254"/>
      <c r="B37" s="254"/>
      <c r="C37" s="254"/>
      <c r="D37" s="255"/>
      <c r="E37" s="256"/>
      <c r="F37" s="257"/>
      <c r="G37" s="258"/>
      <c r="H37" s="259"/>
      <c r="I37" s="259"/>
      <c r="J37" s="260" t="s">
        <v>350</v>
      </c>
      <c r="K37" s="261">
        <f>SUM(K28:K36)</f>
        <v>30494.15</v>
      </c>
    </row>
    <row r="38" spans="1:11" x14ac:dyDescent="0.4">
      <c r="E38" s="89"/>
      <c r="G38" s="68"/>
      <c r="J38" s="79"/>
    </row>
    <row r="39" spans="1:11" x14ac:dyDescent="0.4">
      <c r="A39" s="70" t="s">
        <v>371</v>
      </c>
      <c r="B39" s="70"/>
      <c r="C39" s="70"/>
      <c r="D39" s="71"/>
      <c r="E39" s="90" t="s">
        <v>93</v>
      </c>
      <c r="F39" s="72"/>
      <c r="G39" s="73"/>
      <c r="H39" s="74"/>
      <c r="I39" s="74"/>
      <c r="J39" s="80"/>
      <c r="K39" s="72"/>
    </row>
    <row r="40" spans="1:11" x14ac:dyDescent="0.4">
      <c r="A40" s="3" t="s">
        <v>372</v>
      </c>
      <c r="B40" s="3" t="s">
        <v>478</v>
      </c>
      <c r="C40" s="3" t="s">
        <v>342</v>
      </c>
      <c r="D40" s="4" t="s">
        <v>373</v>
      </c>
      <c r="E40" s="89" t="s">
        <v>374</v>
      </c>
      <c r="F40" s="5">
        <v>1</v>
      </c>
      <c r="G40" s="68">
        <v>0.5</v>
      </c>
      <c r="H40" s="13">
        <f>SUMIF(CRONOGRAMA!B:B,"PROJETISTA: entrega estudos geotécnicos para OAE",CRONOGRAMA!C:C)/30</f>
        <v>0.93333333333333335</v>
      </c>
      <c r="I40" s="13">
        <f>F40*G40*H40</f>
        <v>0.46666666666666667</v>
      </c>
      <c r="J40" s="201">
        <v>27362.69</v>
      </c>
      <c r="K40" s="69">
        <f>TRUNC(I40*J40,2)</f>
        <v>12769.25</v>
      </c>
    </row>
    <row r="41" spans="1:11" x14ac:dyDescent="0.4">
      <c r="A41" s="3" t="s">
        <v>375</v>
      </c>
      <c r="B41" s="3" t="s">
        <v>478</v>
      </c>
      <c r="C41" s="3" t="s">
        <v>342</v>
      </c>
      <c r="D41" s="4" t="s">
        <v>343</v>
      </c>
      <c r="E41" s="89" t="s">
        <v>359</v>
      </c>
      <c r="F41" s="5">
        <v>1</v>
      </c>
      <c r="G41" s="68">
        <v>0.5</v>
      </c>
      <c r="H41" s="13">
        <f>SUMIF(CRONOGRAMA!B:B,"PROJETISTA: entrega estudos geotécnicos para OAE",CRONOGRAMA!C:C)/30</f>
        <v>0.93333333333333335</v>
      </c>
      <c r="I41" s="13">
        <f>F41*G41*H41</f>
        <v>0.46666666666666667</v>
      </c>
      <c r="J41" s="201">
        <v>7296.64</v>
      </c>
      <c r="K41" s="69">
        <f>TRUNC(I41*J41,2)</f>
        <v>3405.09</v>
      </c>
    </row>
    <row r="42" spans="1:11" x14ac:dyDescent="0.4">
      <c r="A42" s="3" t="s">
        <v>376</v>
      </c>
      <c r="B42" s="3" t="s">
        <v>478</v>
      </c>
      <c r="C42" s="3" t="s">
        <v>342</v>
      </c>
      <c r="D42" s="4" t="s">
        <v>367</v>
      </c>
      <c r="E42" s="89" t="s">
        <v>368</v>
      </c>
      <c r="F42" s="5">
        <v>1</v>
      </c>
      <c r="G42" s="68">
        <v>0.5</v>
      </c>
      <c r="H42" s="13">
        <f>SUMIF(CRONOGRAMA!B:B,"PROJETISTA: entrega estudos geotécnicos para OAE",CRONOGRAMA!C:C)/30</f>
        <v>0.93333333333333335</v>
      </c>
      <c r="I42" s="13">
        <f>F42*G42*H42</f>
        <v>0.46666666666666667</v>
      </c>
      <c r="J42" s="201">
        <v>5442.71</v>
      </c>
      <c r="K42" s="69">
        <f>TRUNC(I42*J42,2)</f>
        <v>2539.9299999999998</v>
      </c>
    </row>
    <row r="43" spans="1:11" x14ac:dyDescent="0.4">
      <c r="A43" s="3" t="s">
        <v>377</v>
      </c>
      <c r="B43" s="3" t="s">
        <v>478</v>
      </c>
      <c r="C43" s="3" t="s">
        <v>342</v>
      </c>
      <c r="D43" s="4" t="s">
        <v>345</v>
      </c>
      <c r="E43" s="89" t="s">
        <v>370</v>
      </c>
      <c r="F43" s="5">
        <v>1</v>
      </c>
      <c r="G43" s="68">
        <v>0.5</v>
      </c>
      <c r="H43" s="13">
        <f>SUMIF(CRONOGRAMA!B:B,"PROJETISTA: entrega estudos geotécnicos para OAE",CRONOGRAMA!C:C)/30</f>
        <v>0.93333333333333335</v>
      </c>
      <c r="I43" s="13">
        <f>F43*G43*H43</f>
        <v>0.46666666666666667</v>
      </c>
      <c r="J43" s="201">
        <v>4826.63</v>
      </c>
      <c r="K43" s="69">
        <f>TRUNC(I43*J43,2)</f>
        <v>2252.42</v>
      </c>
    </row>
    <row r="44" spans="1:11" x14ac:dyDescent="0.4">
      <c r="A44" s="3" t="s">
        <v>539</v>
      </c>
      <c r="B44" s="3" t="s">
        <v>478</v>
      </c>
      <c r="C44" s="3" t="s">
        <v>342</v>
      </c>
      <c r="D44" s="4" t="s">
        <v>361</v>
      </c>
      <c r="E44" s="89" t="s">
        <v>362</v>
      </c>
      <c r="F44" s="5">
        <v>1</v>
      </c>
      <c r="G44" s="68">
        <v>0.5</v>
      </c>
      <c r="H44" s="13">
        <f>SUMIF(CRONOGRAMA!B:B,"PROJETISTA: entrega estudos geotécnicos para OAE",CRONOGRAMA!C:C)/30</f>
        <v>0.93333333333333335</v>
      </c>
      <c r="I44" s="13">
        <f t="shared" ref="I44:I47" si="5">F44*G44*H44</f>
        <v>0.46666666666666667</v>
      </c>
      <c r="J44" s="201">
        <v>5942.7</v>
      </c>
      <c r="K44" s="69">
        <f t="shared" ref="K44:K47" si="6">TRUNC(I44*J44,2)</f>
        <v>2773.26</v>
      </c>
    </row>
    <row r="45" spans="1:11" x14ac:dyDescent="0.4">
      <c r="A45" s="3" t="s">
        <v>540</v>
      </c>
      <c r="B45" s="3" t="s">
        <v>478</v>
      </c>
      <c r="C45" s="3" t="s">
        <v>342</v>
      </c>
      <c r="D45" s="4" t="s">
        <v>364</v>
      </c>
      <c r="E45" s="89" t="s">
        <v>365</v>
      </c>
      <c r="F45" s="5">
        <v>1</v>
      </c>
      <c r="G45" s="68">
        <v>0.5</v>
      </c>
      <c r="H45" s="13">
        <f>SUMIF(CRONOGRAMA!B:B,"PROJETISTA: entrega estudos geotécnicos para OAE",CRONOGRAMA!C:C)/30</f>
        <v>0.93333333333333335</v>
      </c>
      <c r="I45" s="13">
        <f t="shared" si="5"/>
        <v>0.46666666666666667</v>
      </c>
      <c r="J45" s="201">
        <v>4826.63</v>
      </c>
      <c r="K45" s="69">
        <f t="shared" si="6"/>
        <v>2252.42</v>
      </c>
    </row>
    <row r="46" spans="1:11" x14ac:dyDescent="0.4">
      <c r="A46" s="3" t="s">
        <v>541</v>
      </c>
      <c r="B46" s="3" t="s">
        <v>478</v>
      </c>
      <c r="C46" s="3" t="s">
        <v>342</v>
      </c>
      <c r="D46" s="4" t="s">
        <v>425</v>
      </c>
      <c r="E46" s="89" t="s">
        <v>426</v>
      </c>
      <c r="F46" s="5">
        <v>1</v>
      </c>
      <c r="G46" s="68">
        <f>G44</f>
        <v>0.5</v>
      </c>
      <c r="H46" s="13">
        <f>H44</f>
        <v>0.93333333333333335</v>
      </c>
      <c r="I46" s="13">
        <f t="shared" si="5"/>
        <v>0.46666666666666667</v>
      </c>
      <c r="J46" s="201">
        <v>3882.01</v>
      </c>
      <c r="K46" s="69">
        <f t="shared" si="6"/>
        <v>1811.6</v>
      </c>
    </row>
    <row r="47" spans="1:11" ht="28.3" x14ac:dyDescent="0.4">
      <c r="A47" s="3" t="s">
        <v>542</v>
      </c>
      <c r="B47" s="3" t="s">
        <v>478</v>
      </c>
      <c r="C47" s="3" t="s">
        <v>342</v>
      </c>
      <c r="D47" s="4" t="s">
        <v>421</v>
      </c>
      <c r="E47" s="91" t="s">
        <v>422</v>
      </c>
      <c r="F47" s="5">
        <v>1</v>
      </c>
      <c r="G47" s="68">
        <f>G43</f>
        <v>0.5</v>
      </c>
      <c r="H47" s="13">
        <f>H42</f>
        <v>0.93333333333333335</v>
      </c>
      <c r="I47" s="13">
        <f t="shared" si="5"/>
        <v>0.46666666666666667</v>
      </c>
      <c r="J47" s="201">
        <f>66*66.07+116.49*20.28</f>
        <v>6723.0371999999998</v>
      </c>
      <c r="K47" s="69">
        <f t="shared" si="6"/>
        <v>3137.41</v>
      </c>
    </row>
    <row r="48" spans="1:11" x14ac:dyDescent="0.4">
      <c r="A48" s="70"/>
      <c r="B48" s="70"/>
      <c r="C48" s="70"/>
      <c r="D48" s="71"/>
      <c r="E48" s="90"/>
      <c r="F48" s="72"/>
      <c r="G48" s="73"/>
      <c r="H48" s="74"/>
      <c r="I48" s="74"/>
      <c r="J48" s="75" t="s">
        <v>350</v>
      </c>
      <c r="K48" s="78">
        <f>SUM(K40:K47)</f>
        <v>30941.38</v>
      </c>
    </row>
    <row r="49" spans="1:11" x14ac:dyDescent="0.4">
      <c r="E49" s="89"/>
      <c r="G49" s="68"/>
    </row>
    <row r="50" spans="1:11" x14ac:dyDescent="0.4">
      <c r="A50" s="64">
        <v>4</v>
      </c>
      <c r="B50" s="64"/>
      <c r="C50" s="64"/>
      <c r="D50" s="65"/>
      <c r="E50" s="88" t="s">
        <v>99</v>
      </c>
      <c r="F50" s="66"/>
      <c r="G50" s="77"/>
      <c r="H50" s="67"/>
      <c r="I50" s="67"/>
      <c r="J50" s="66"/>
      <c r="K50" s="66"/>
    </row>
    <row r="51" spans="1:11" x14ac:dyDescent="0.4">
      <c r="A51" s="3" t="s">
        <v>378</v>
      </c>
      <c r="B51" s="3" t="s">
        <v>478</v>
      </c>
      <c r="C51" s="3" t="s">
        <v>342</v>
      </c>
      <c r="D51" s="4" t="s">
        <v>347</v>
      </c>
      <c r="E51" s="89" t="s">
        <v>348</v>
      </c>
      <c r="F51" s="5">
        <v>1</v>
      </c>
      <c r="G51" s="68">
        <v>1</v>
      </c>
      <c r="H51" s="13">
        <f>SUMIF(CRONOGRAMA!B:B,"PROJETISTA: entrega estudo hidrológico",CRONOGRAMA!C:C)/30</f>
        <v>0.7</v>
      </c>
      <c r="I51" s="13">
        <f>F51*G51*H51</f>
        <v>0.7</v>
      </c>
      <c r="J51" s="201">
        <v>23009.54</v>
      </c>
      <c r="K51" s="69">
        <f>TRUNC(I51*J51,2)</f>
        <v>16106.67</v>
      </c>
    </row>
    <row r="52" spans="1:11" x14ac:dyDescent="0.4">
      <c r="A52" s="3" t="s">
        <v>379</v>
      </c>
      <c r="B52" s="3" t="s">
        <v>478</v>
      </c>
      <c r="C52" s="3" t="s">
        <v>342</v>
      </c>
      <c r="D52" s="4" t="s">
        <v>343</v>
      </c>
      <c r="E52" s="89" t="s">
        <v>349</v>
      </c>
      <c r="F52" s="5">
        <v>1</v>
      </c>
      <c r="G52" s="68">
        <v>1</v>
      </c>
      <c r="H52" s="13">
        <f>SUMIF(CRONOGRAMA!B:B,"PROJETISTA: entrega estudo hidrológico",CRONOGRAMA!C:C)/30</f>
        <v>0.7</v>
      </c>
      <c r="I52" s="13">
        <f>F52*G52*H52</f>
        <v>0.7</v>
      </c>
      <c r="J52" s="201">
        <v>7296.64</v>
      </c>
      <c r="K52" s="69">
        <f>TRUNC(I52*J52,2)</f>
        <v>5107.6400000000003</v>
      </c>
    </row>
    <row r="53" spans="1:11" x14ac:dyDescent="0.4">
      <c r="A53" s="70"/>
      <c r="B53" s="70"/>
      <c r="C53" s="70"/>
      <c r="D53" s="71"/>
      <c r="E53" s="90"/>
      <c r="F53" s="72"/>
      <c r="G53" s="73"/>
      <c r="H53" s="74"/>
      <c r="I53" s="74"/>
      <c r="J53" s="75" t="s">
        <v>350</v>
      </c>
      <c r="K53" s="78">
        <f>SUM(K51:K52)</f>
        <v>21214.31</v>
      </c>
    </row>
    <row r="54" spans="1:11" x14ac:dyDescent="0.4">
      <c r="E54" s="89"/>
      <c r="G54" s="68"/>
    </row>
    <row r="55" spans="1:11" x14ac:dyDescent="0.4">
      <c r="A55" s="64">
        <v>5</v>
      </c>
      <c r="B55" s="64"/>
      <c r="C55" s="64"/>
      <c r="D55" s="65"/>
      <c r="E55" s="88" t="s">
        <v>107</v>
      </c>
      <c r="F55" s="66"/>
      <c r="G55" s="77"/>
      <c r="H55" s="67"/>
      <c r="I55" s="67"/>
      <c r="J55" s="66"/>
      <c r="K55" s="66"/>
    </row>
    <row r="56" spans="1:11" x14ac:dyDescent="0.4">
      <c r="A56" s="3" t="s">
        <v>380</v>
      </c>
      <c r="B56" s="3" t="s">
        <v>478</v>
      </c>
      <c r="C56" s="3" t="s">
        <v>342</v>
      </c>
      <c r="D56" s="4" t="s">
        <v>347</v>
      </c>
      <c r="E56" s="89" t="s">
        <v>348</v>
      </c>
      <c r="F56" s="5">
        <v>1</v>
      </c>
      <c r="G56" s="68">
        <v>1</v>
      </c>
      <c r="H56" s="13">
        <f>SUMIF(CRONOGRAMA!B:B,"PROJETISTA: entrega projeto geométrico",CRONOGRAMA!C:C)/30</f>
        <v>3.5</v>
      </c>
      <c r="I56" s="13">
        <f>F56*G56*H56</f>
        <v>3.5</v>
      </c>
      <c r="J56" s="201">
        <v>23009.54</v>
      </c>
      <c r="K56" s="69">
        <f>TRUNC(I56*J56,2)</f>
        <v>80533.39</v>
      </c>
    </row>
    <row r="57" spans="1:11" x14ac:dyDescent="0.4">
      <c r="A57" s="3" t="s">
        <v>381</v>
      </c>
      <c r="B57" s="3" t="s">
        <v>478</v>
      </c>
      <c r="C57" s="3" t="s">
        <v>342</v>
      </c>
      <c r="D57" s="4" t="s">
        <v>373</v>
      </c>
      <c r="E57" s="89" t="s">
        <v>374</v>
      </c>
      <c r="F57" s="5">
        <v>1</v>
      </c>
      <c r="G57" s="68">
        <v>0.5</v>
      </c>
      <c r="H57" s="13">
        <f>SUMIF(CRONOGRAMA!B:B,"PROJETISTA: entrega projeto geométrico",CRONOGRAMA!C:C)/30</f>
        <v>3.5</v>
      </c>
      <c r="I57" s="13">
        <f>F57*G57*H57</f>
        <v>1.75</v>
      </c>
      <c r="J57" s="201">
        <v>27362.69</v>
      </c>
      <c r="K57" s="69">
        <f>TRUNC(I57*J57,2)</f>
        <v>47884.7</v>
      </c>
    </row>
    <row r="58" spans="1:11" x14ac:dyDescent="0.4">
      <c r="A58" s="3" t="s">
        <v>382</v>
      </c>
      <c r="B58" s="3" t="s">
        <v>478</v>
      </c>
      <c r="C58" s="3" t="s">
        <v>342</v>
      </c>
      <c r="D58" s="4" t="s">
        <v>343</v>
      </c>
      <c r="E58" s="89" t="s">
        <v>349</v>
      </c>
      <c r="F58" s="5">
        <v>1</v>
      </c>
      <c r="G58" s="68">
        <v>1</v>
      </c>
      <c r="H58" s="13">
        <f>SUMIF(CRONOGRAMA!B:B,"PROJETISTA: entrega projeto geométrico",CRONOGRAMA!C:C)/30</f>
        <v>3.5</v>
      </c>
      <c r="I58" s="13">
        <f>F58*G58*H58</f>
        <v>3.5</v>
      </c>
      <c r="J58" s="201">
        <v>7296.64</v>
      </c>
      <c r="K58" s="69">
        <f>TRUNC(I58*J58,2)</f>
        <v>25538.240000000002</v>
      </c>
    </row>
    <row r="59" spans="1:11" x14ac:dyDescent="0.4">
      <c r="A59" s="3" t="s">
        <v>548</v>
      </c>
      <c r="B59" s="3" t="s">
        <v>478</v>
      </c>
      <c r="C59" s="3" t="s">
        <v>342</v>
      </c>
      <c r="D59" s="4" t="s">
        <v>419</v>
      </c>
      <c r="E59" s="89" t="s">
        <v>420</v>
      </c>
      <c r="F59" s="5">
        <v>1</v>
      </c>
      <c r="G59" s="68">
        <v>0.25</v>
      </c>
      <c r="H59" s="13">
        <f>H56</f>
        <v>3.5</v>
      </c>
      <c r="I59" s="13">
        <f>F59*G59*H59</f>
        <v>0.875</v>
      </c>
      <c r="J59" s="201">
        <f>66*39.77+116.49*6.61</f>
        <v>3394.8189000000002</v>
      </c>
      <c r="K59" s="69">
        <f t="shared" ref="K59" si="7">TRUNC(I59*J59,2)</f>
        <v>2970.46</v>
      </c>
    </row>
    <row r="60" spans="1:11" x14ac:dyDescent="0.4">
      <c r="A60" s="70"/>
      <c r="B60" s="70"/>
      <c r="C60" s="70"/>
      <c r="D60" s="71"/>
      <c r="E60" s="90"/>
      <c r="F60" s="72"/>
      <c r="G60" s="73"/>
      <c r="H60" s="74"/>
      <c r="I60" s="74"/>
      <c r="J60" s="75" t="s">
        <v>350</v>
      </c>
      <c r="K60" s="78">
        <f>SUM(K56:K59)</f>
        <v>156926.78999999998</v>
      </c>
    </row>
    <row r="61" spans="1:11" x14ac:dyDescent="0.4">
      <c r="E61" s="89"/>
      <c r="G61" s="68"/>
    </row>
    <row r="62" spans="1:11" x14ac:dyDescent="0.4">
      <c r="A62" s="64">
        <v>6</v>
      </c>
      <c r="B62" s="64"/>
      <c r="C62" s="64"/>
      <c r="D62" s="65"/>
      <c r="E62" s="88" t="s">
        <v>113</v>
      </c>
      <c r="F62" s="66"/>
      <c r="G62" s="77"/>
      <c r="H62" s="67"/>
      <c r="I62" s="67"/>
      <c r="J62" s="66"/>
      <c r="K62" s="66"/>
    </row>
    <row r="63" spans="1:11" x14ac:dyDescent="0.4">
      <c r="A63" s="3" t="s">
        <v>383</v>
      </c>
      <c r="B63" s="3" t="s">
        <v>478</v>
      </c>
      <c r="C63" s="3" t="s">
        <v>342</v>
      </c>
      <c r="D63" s="4" t="s">
        <v>347</v>
      </c>
      <c r="E63" s="89" t="s">
        <v>348</v>
      </c>
      <c r="F63" s="5">
        <v>1</v>
      </c>
      <c r="G63" s="68">
        <v>1</v>
      </c>
      <c r="H63" s="13">
        <f>SUMIF(CRONOGRAMA!B:B,"PROJETISTA: entrega projeto de terraplanagem",CRONOGRAMA!C:C)/30</f>
        <v>0.9</v>
      </c>
      <c r="I63" s="13">
        <f>F63*G63*H63</f>
        <v>0.9</v>
      </c>
      <c r="J63" s="201">
        <v>23009.54</v>
      </c>
      <c r="K63" s="69">
        <f>TRUNC(I63*J63,2)</f>
        <v>20708.580000000002</v>
      </c>
    </row>
    <row r="64" spans="1:11" x14ac:dyDescent="0.4">
      <c r="A64" s="3" t="s">
        <v>384</v>
      </c>
      <c r="B64" s="3" t="s">
        <v>478</v>
      </c>
      <c r="C64" s="3" t="s">
        <v>342</v>
      </c>
      <c r="D64" s="4" t="s">
        <v>373</v>
      </c>
      <c r="E64" s="89" t="s">
        <v>374</v>
      </c>
      <c r="F64" s="5">
        <v>1</v>
      </c>
      <c r="G64" s="68">
        <v>0.5</v>
      </c>
      <c r="H64" s="13">
        <f>SUMIF(CRONOGRAMA!B:B,"PROJETISTA: entrega projeto de terraplanagem",CRONOGRAMA!C:C)/30</f>
        <v>0.9</v>
      </c>
      <c r="I64" s="13">
        <f>F64*G64*H64</f>
        <v>0.45</v>
      </c>
      <c r="J64" s="201">
        <v>27362.69</v>
      </c>
      <c r="K64" s="69">
        <f>TRUNC(I64*J64,2)</f>
        <v>12313.21</v>
      </c>
    </row>
    <row r="65" spans="1:11" x14ac:dyDescent="0.4">
      <c r="A65" s="3" t="s">
        <v>385</v>
      </c>
      <c r="B65" s="3" t="s">
        <v>478</v>
      </c>
      <c r="C65" s="3" t="s">
        <v>342</v>
      </c>
      <c r="D65" s="4" t="s">
        <v>343</v>
      </c>
      <c r="E65" s="89" t="s">
        <v>349</v>
      </c>
      <c r="F65" s="5">
        <v>1</v>
      </c>
      <c r="G65" s="68">
        <v>1</v>
      </c>
      <c r="H65" s="13">
        <f>SUMIF(CRONOGRAMA!B:B,"PROJETISTA: entrega projeto de terraplanagem",CRONOGRAMA!C:C)/30</f>
        <v>0.9</v>
      </c>
      <c r="I65" s="13">
        <f>F65*G65*H65</f>
        <v>0.9</v>
      </c>
      <c r="J65" s="201">
        <v>7296.64</v>
      </c>
      <c r="K65" s="69">
        <f>TRUNC(I65*J65,2)</f>
        <v>6566.97</v>
      </c>
    </row>
    <row r="66" spans="1:11" x14ac:dyDescent="0.4">
      <c r="A66" s="70"/>
      <c r="B66" s="70"/>
      <c r="C66" s="70"/>
      <c r="D66" s="71"/>
      <c r="E66" s="90"/>
      <c r="F66" s="72"/>
      <c r="G66" s="73"/>
      <c r="H66" s="74"/>
      <c r="I66" s="74"/>
      <c r="J66" s="75" t="s">
        <v>350</v>
      </c>
      <c r="K66" s="78">
        <f>SUM(K63:K65)</f>
        <v>39588.76</v>
      </c>
    </row>
    <row r="67" spans="1:11" x14ac:dyDescent="0.4">
      <c r="E67" s="89"/>
      <c r="G67" s="68"/>
    </row>
    <row r="68" spans="1:11" x14ac:dyDescent="0.4">
      <c r="A68" s="64">
        <v>7</v>
      </c>
      <c r="B68" s="64"/>
      <c r="C68" s="64"/>
      <c r="D68" s="65"/>
      <c r="E68" s="88" t="s">
        <v>119</v>
      </c>
      <c r="F68" s="66"/>
      <c r="G68" s="77"/>
      <c r="H68" s="67"/>
      <c r="I68" s="67"/>
      <c r="J68" s="66"/>
      <c r="K68" s="66"/>
    </row>
    <row r="69" spans="1:11" x14ac:dyDescent="0.4">
      <c r="A69" s="3" t="s">
        <v>386</v>
      </c>
      <c r="B69" s="3" t="s">
        <v>478</v>
      </c>
      <c r="C69" s="3" t="s">
        <v>342</v>
      </c>
      <c r="D69" s="4" t="s">
        <v>347</v>
      </c>
      <c r="E69" s="89" t="s">
        <v>348</v>
      </c>
      <c r="F69" s="5">
        <v>1</v>
      </c>
      <c r="G69" s="68">
        <v>1</v>
      </c>
      <c r="H69" s="13">
        <f>SUMIF(CRONOGRAMA!B:B,"PROJETISTA: entrega projeto de drenagem",CRONOGRAMA!C:C)/30</f>
        <v>2.1666666666666665</v>
      </c>
      <c r="I69" s="13">
        <f>F69*G69*H69</f>
        <v>2.1666666666666665</v>
      </c>
      <c r="J69" s="201">
        <v>23009.54</v>
      </c>
      <c r="K69" s="69">
        <f>TRUNC(I69*J69,2)</f>
        <v>49854</v>
      </c>
    </row>
    <row r="70" spans="1:11" x14ac:dyDescent="0.4">
      <c r="A70" s="35" t="s">
        <v>387</v>
      </c>
      <c r="B70" s="35" t="s">
        <v>478</v>
      </c>
      <c r="C70" s="35" t="s">
        <v>342</v>
      </c>
      <c r="D70" s="36" t="s">
        <v>373</v>
      </c>
      <c r="E70" s="262" t="s">
        <v>374</v>
      </c>
      <c r="F70" s="37">
        <v>1</v>
      </c>
      <c r="G70" s="263">
        <v>0.5</v>
      </c>
      <c r="H70" s="38">
        <f>SUMIF(CRONOGRAMA!B:B,"PROJETISTA: entrega projeto de drenagem",CRONOGRAMA!C:C)/30</f>
        <v>2.1666666666666665</v>
      </c>
      <c r="I70" s="38">
        <f>F70*G70*H70</f>
        <v>1.0833333333333333</v>
      </c>
      <c r="J70" s="264">
        <v>27362.69</v>
      </c>
      <c r="K70" s="265">
        <f>TRUNC(I70*J70,2)</f>
        <v>29642.91</v>
      </c>
    </row>
    <row r="71" spans="1:11" x14ac:dyDescent="0.4">
      <c r="A71" s="3" t="s">
        <v>388</v>
      </c>
      <c r="B71" s="3" t="s">
        <v>478</v>
      </c>
      <c r="C71" s="3" t="s">
        <v>342</v>
      </c>
      <c r="D71" s="4" t="s">
        <v>343</v>
      </c>
      <c r="E71" s="89" t="s">
        <v>349</v>
      </c>
      <c r="F71" s="5">
        <v>1</v>
      </c>
      <c r="G71" s="68">
        <v>1</v>
      </c>
      <c r="H71" s="13">
        <f>SUMIF(CRONOGRAMA!B:B,"PROJETISTA: entrega projeto de drenagem",CRONOGRAMA!C:C)/30</f>
        <v>2.1666666666666665</v>
      </c>
      <c r="I71" s="13">
        <f>F71*G71*H71</f>
        <v>2.1666666666666665</v>
      </c>
      <c r="J71" s="201">
        <v>7296.64</v>
      </c>
      <c r="K71" s="69">
        <f>TRUNC(I71*J71,2)</f>
        <v>15809.38</v>
      </c>
    </row>
    <row r="72" spans="1:11" x14ac:dyDescent="0.4">
      <c r="A72" s="70"/>
      <c r="B72" s="70"/>
      <c r="C72" s="70"/>
      <c r="D72" s="71"/>
      <c r="E72" s="90"/>
      <c r="F72" s="72"/>
      <c r="G72" s="73"/>
      <c r="H72" s="74"/>
      <c r="I72" s="74"/>
      <c r="J72" s="75" t="s">
        <v>350</v>
      </c>
      <c r="K72" s="78">
        <f>SUM(K69:K71)</f>
        <v>95306.290000000008</v>
      </c>
    </row>
    <row r="73" spans="1:11" x14ac:dyDescent="0.4">
      <c r="E73" s="89"/>
      <c r="G73" s="68"/>
    </row>
    <row r="74" spans="1:11" x14ac:dyDescent="0.4">
      <c r="A74" s="64">
        <v>8</v>
      </c>
      <c r="B74" s="64"/>
      <c r="C74" s="64"/>
      <c r="D74" s="65"/>
      <c r="E74" s="88" t="s">
        <v>125</v>
      </c>
      <c r="F74" s="66"/>
      <c r="G74" s="77"/>
      <c r="H74" s="67"/>
      <c r="I74" s="67"/>
      <c r="J74" s="66"/>
      <c r="K74" s="66"/>
    </row>
    <row r="75" spans="1:11" x14ac:dyDescent="0.4">
      <c r="A75" s="3" t="s">
        <v>389</v>
      </c>
      <c r="B75" s="3" t="s">
        <v>478</v>
      </c>
      <c r="C75" s="3" t="s">
        <v>342</v>
      </c>
      <c r="D75" s="4" t="s">
        <v>347</v>
      </c>
      <c r="E75" s="89" t="s">
        <v>348</v>
      </c>
      <c r="F75" s="5">
        <v>1</v>
      </c>
      <c r="G75" s="68">
        <v>1</v>
      </c>
      <c r="H75" s="13">
        <f>SUMIF(CRONOGRAMA!B:B,"PROJETISTA: entrega projeto de pavimentação",CRONOGRAMA!C:C)/30</f>
        <v>0.8</v>
      </c>
      <c r="I75" s="13">
        <f>F75*G75*H75</f>
        <v>0.8</v>
      </c>
      <c r="J75" s="201">
        <v>23009.54</v>
      </c>
      <c r="K75" s="69">
        <f>TRUNC(I75*J75,2)</f>
        <v>18407.63</v>
      </c>
    </row>
    <row r="76" spans="1:11" x14ac:dyDescent="0.4">
      <c r="A76" s="3" t="s">
        <v>390</v>
      </c>
      <c r="B76" s="3" t="s">
        <v>478</v>
      </c>
      <c r="C76" s="3" t="s">
        <v>342</v>
      </c>
      <c r="D76" s="4" t="s">
        <v>373</v>
      </c>
      <c r="E76" s="89" t="s">
        <v>374</v>
      </c>
      <c r="F76" s="5">
        <v>1</v>
      </c>
      <c r="G76" s="68">
        <v>0.5</v>
      </c>
      <c r="H76" s="13">
        <f>SUMIF(CRONOGRAMA!B:B,"PROJETISTA: entrega projeto de pavimentação",CRONOGRAMA!C:C)/30</f>
        <v>0.8</v>
      </c>
      <c r="I76" s="13">
        <f>F76*G76*H76</f>
        <v>0.4</v>
      </c>
      <c r="J76" s="201">
        <v>27362.69</v>
      </c>
      <c r="K76" s="69">
        <f>TRUNC(I76*J76,2)</f>
        <v>10945.07</v>
      </c>
    </row>
    <row r="77" spans="1:11" x14ac:dyDescent="0.4">
      <c r="A77" s="3" t="s">
        <v>391</v>
      </c>
      <c r="B77" s="3" t="s">
        <v>478</v>
      </c>
      <c r="C77" s="3" t="s">
        <v>342</v>
      </c>
      <c r="D77" s="4" t="s">
        <v>343</v>
      </c>
      <c r="E77" s="89" t="s">
        <v>349</v>
      </c>
      <c r="F77" s="5">
        <v>1</v>
      </c>
      <c r="G77" s="68">
        <v>1</v>
      </c>
      <c r="H77" s="13">
        <f>SUMIF(CRONOGRAMA!B:B,"PROJETISTA: entrega projeto de pavimentação",CRONOGRAMA!C:C)/30</f>
        <v>0.8</v>
      </c>
      <c r="I77" s="13">
        <f>F77*G77*H77</f>
        <v>0.8</v>
      </c>
      <c r="J77" s="201">
        <v>7296.64</v>
      </c>
      <c r="K77" s="69">
        <f>TRUNC(I77*J77,2)</f>
        <v>5837.31</v>
      </c>
    </row>
    <row r="78" spans="1:11" x14ac:dyDescent="0.4">
      <c r="A78" s="70"/>
      <c r="B78" s="70"/>
      <c r="C78" s="70"/>
      <c r="D78" s="71"/>
      <c r="E78" s="90"/>
      <c r="F78" s="72"/>
      <c r="G78" s="73"/>
      <c r="H78" s="74"/>
      <c r="I78" s="74"/>
      <c r="J78" s="75" t="s">
        <v>350</v>
      </c>
      <c r="K78" s="78">
        <f>SUM(K75:K77)</f>
        <v>35190.01</v>
      </c>
    </row>
    <row r="79" spans="1:11" x14ac:dyDescent="0.4">
      <c r="E79" s="89"/>
      <c r="G79" s="68"/>
    </row>
    <row r="80" spans="1:11" x14ac:dyDescent="0.4">
      <c r="A80" s="64">
        <v>9</v>
      </c>
      <c r="B80" s="64"/>
      <c r="C80" s="64"/>
      <c r="D80" s="65"/>
      <c r="E80" s="87" t="s">
        <v>131</v>
      </c>
      <c r="F80" s="66"/>
      <c r="G80" s="77"/>
      <c r="H80" s="67"/>
      <c r="I80" s="67"/>
      <c r="J80" s="66"/>
      <c r="K80" s="66"/>
    </row>
    <row r="81" spans="1:11" x14ac:dyDescent="0.4">
      <c r="A81" s="3" t="s">
        <v>392</v>
      </c>
      <c r="B81" s="3" t="s">
        <v>478</v>
      </c>
      <c r="C81" s="3" t="s">
        <v>342</v>
      </c>
      <c r="D81" s="4" t="s">
        <v>393</v>
      </c>
      <c r="E81" s="89" t="s">
        <v>394</v>
      </c>
      <c r="F81" s="5">
        <v>1</v>
      </c>
      <c r="G81" s="68">
        <v>0.5</v>
      </c>
      <c r="H81" s="13">
        <f>SUMIF(CRONOGRAMA!B:B,"PROJETISTA: entrega projeto de contenção",CRONOGRAMA!C:C)/30</f>
        <v>0.96666666666666667</v>
      </c>
      <c r="I81" s="13">
        <f>F81*G81*H81</f>
        <v>0.48333333333333334</v>
      </c>
      <c r="J81" s="201">
        <v>26682.83</v>
      </c>
      <c r="K81" s="69">
        <f>TRUNC(I81*J81,2)</f>
        <v>12896.7</v>
      </c>
    </row>
    <row r="82" spans="1:11" x14ac:dyDescent="0.4">
      <c r="A82" s="3" t="s">
        <v>395</v>
      </c>
      <c r="B82" s="3" t="s">
        <v>478</v>
      </c>
      <c r="C82" s="3" t="s">
        <v>342</v>
      </c>
      <c r="D82" s="4" t="s">
        <v>373</v>
      </c>
      <c r="E82" s="89" t="s">
        <v>374</v>
      </c>
      <c r="F82" s="5">
        <v>1</v>
      </c>
      <c r="G82" s="68">
        <v>1</v>
      </c>
      <c r="H82" s="13">
        <f>SUMIF(CRONOGRAMA!B:B,"PROJETISTA: entrega projeto de contenção",CRONOGRAMA!C:C)/30</f>
        <v>0.96666666666666667</v>
      </c>
      <c r="I82" s="13">
        <f>F82*G82*H82</f>
        <v>0.96666666666666667</v>
      </c>
      <c r="J82" s="201">
        <v>27362.69</v>
      </c>
      <c r="K82" s="69">
        <f>TRUNC(I82*J82,2)</f>
        <v>26450.6</v>
      </c>
    </row>
    <row r="83" spans="1:11" x14ac:dyDescent="0.4">
      <c r="A83" s="3" t="s">
        <v>396</v>
      </c>
      <c r="B83" s="3" t="s">
        <v>478</v>
      </c>
      <c r="C83" s="3" t="s">
        <v>342</v>
      </c>
      <c r="D83" s="4" t="s">
        <v>397</v>
      </c>
      <c r="E83" s="89" t="s">
        <v>398</v>
      </c>
      <c r="F83" s="5">
        <v>1</v>
      </c>
      <c r="G83" s="68">
        <v>0.5</v>
      </c>
      <c r="H83" s="13">
        <f>SUMIF(CRONOGRAMA!B:B,"PROJETISTA: entrega projeto de contenção",CRONOGRAMA!C:C)/30</f>
        <v>0.96666666666666667</v>
      </c>
      <c r="I83" s="13">
        <f>F83*G83*H83</f>
        <v>0.48333333333333334</v>
      </c>
      <c r="J83" s="201">
        <v>31715.84</v>
      </c>
      <c r="K83" s="69">
        <f>TRUNC(I83*J83,2)</f>
        <v>15329.32</v>
      </c>
    </row>
    <row r="84" spans="1:11" x14ac:dyDescent="0.4">
      <c r="A84" s="3" t="s">
        <v>399</v>
      </c>
      <c r="B84" s="3" t="s">
        <v>478</v>
      </c>
      <c r="C84" s="3" t="s">
        <v>342</v>
      </c>
      <c r="D84" s="4" t="s">
        <v>343</v>
      </c>
      <c r="E84" s="89" t="s">
        <v>349</v>
      </c>
      <c r="F84" s="5">
        <v>1</v>
      </c>
      <c r="G84" s="68">
        <v>1</v>
      </c>
      <c r="H84" s="13">
        <f>SUMIF(CRONOGRAMA!B:B,"PROJETISTA: entrega projeto de contenção",CRONOGRAMA!C:C)/30</f>
        <v>0.96666666666666667</v>
      </c>
      <c r="I84" s="13">
        <f>F84*G84*H84</f>
        <v>0.96666666666666667</v>
      </c>
      <c r="J84" s="201">
        <v>7296.64</v>
      </c>
      <c r="K84" s="69">
        <f>TRUNC(I84*J84,2)</f>
        <v>7053.41</v>
      </c>
    </row>
    <row r="85" spans="1:11" x14ac:dyDescent="0.4">
      <c r="A85" s="70"/>
      <c r="B85" s="70"/>
      <c r="C85" s="70"/>
      <c r="D85" s="71"/>
      <c r="E85" s="90"/>
      <c r="F85" s="72"/>
      <c r="G85" s="73"/>
      <c r="H85" s="74"/>
      <c r="I85" s="74"/>
      <c r="J85" s="75" t="s">
        <v>350</v>
      </c>
      <c r="K85" s="78">
        <f>SUM(K81:K84)</f>
        <v>61730.03</v>
      </c>
    </row>
    <row r="86" spans="1:11" x14ac:dyDescent="0.4">
      <c r="E86" s="89"/>
      <c r="G86" s="68"/>
    </row>
    <row r="87" spans="1:11" x14ac:dyDescent="0.4">
      <c r="A87" s="64">
        <v>10</v>
      </c>
      <c r="B87" s="64"/>
      <c r="C87" s="64"/>
      <c r="D87" s="65"/>
      <c r="E87" s="88" t="s">
        <v>137</v>
      </c>
      <c r="F87" s="66"/>
      <c r="G87" s="77"/>
      <c r="H87" s="67"/>
      <c r="I87" s="67"/>
      <c r="J87" s="66"/>
      <c r="K87" s="66"/>
    </row>
    <row r="88" spans="1:11" x14ac:dyDescent="0.4">
      <c r="A88" s="3" t="s">
        <v>400</v>
      </c>
      <c r="B88" s="3" t="s">
        <v>478</v>
      </c>
      <c r="C88" s="3" t="s">
        <v>342</v>
      </c>
      <c r="D88" s="4" t="s">
        <v>347</v>
      </c>
      <c r="E88" s="89" t="s">
        <v>348</v>
      </c>
      <c r="F88" s="5">
        <v>1</v>
      </c>
      <c r="G88" s="68">
        <v>1</v>
      </c>
      <c r="H88" s="13">
        <f>SUMIF(CRONOGRAMA!B:B,"PROJETISTA: entrega projeto de sinalização",CRONOGRAMA!C:C)/30</f>
        <v>0.76666666666666672</v>
      </c>
      <c r="I88" s="13">
        <f>F88*G88*H88</f>
        <v>0.76666666666666672</v>
      </c>
      <c r="J88" s="201">
        <v>23009.54</v>
      </c>
      <c r="K88" s="69">
        <f>TRUNC(I88*J88,2)</f>
        <v>17640.64</v>
      </c>
    </row>
    <row r="89" spans="1:11" x14ac:dyDescent="0.4">
      <c r="A89" s="3" t="s">
        <v>401</v>
      </c>
      <c r="B89" s="3" t="s">
        <v>478</v>
      </c>
      <c r="C89" s="3" t="s">
        <v>342</v>
      </c>
      <c r="D89" s="4" t="s">
        <v>373</v>
      </c>
      <c r="E89" s="89" t="s">
        <v>374</v>
      </c>
      <c r="F89" s="5">
        <v>1</v>
      </c>
      <c r="G89" s="68">
        <v>0.5</v>
      </c>
      <c r="H89" s="13">
        <f>SUMIF(CRONOGRAMA!B:B,"PROJETISTA: entrega projeto de sinalização",CRONOGRAMA!C:C)/30</f>
        <v>0.76666666666666672</v>
      </c>
      <c r="I89" s="13">
        <f>F89*G89*H89</f>
        <v>0.38333333333333336</v>
      </c>
      <c r="J89" s="201">
        <v>27362.69</v>
      </c>
      <c r="K89" s="69">
        <f>TRUNC(I89*J89,2)</f>
        <v>10489.03</v>
      </c>
    </row>
    <row r="90" spans="1:11" x14ac:dyDescent="0.4">
      <c r="A90" s="3" t="s">
        <v>402</v>
      </c>
      <c r="B90" s="3" t="s">
        <v>478</v>
      </c>
      <c r="C90" s="3" t="s">
        <v>342</v>
      </c>
      <c r="D90" s="4" t="s">
        <v>343</v>
      </c>
      <c r="E90" s="89" t="s">
        <v>349</v>
      </c>
      <c r="F90" s="5">
        <v>1</v>
      </c>
      <c r="G90" s="68">
        <v>1</v>
      </c>
      <c r="H90" s="13">
        <f>SUMIF(CRONOGRAMA!B:B,"PROJETISTA: entrega projeto de sinalização",CRONOGRAMA!C:C)/30</f>
        <v>0.76666666666666672</v>
      </c>
      <c r="I90" s="13">
        <f>F90*G90*H90</f>
        <v>0.76666666666666672</v>
      </c>
      <c r="J90" s="201">
        <v>7296.64</v>
      </c>
      <c r="K90" s="69">
        <f>TRUNC(I90*J90,2)</f>
        <v>5594.09</v>
      </c>
    </row>
    <row r="91" spans="1:11" x14ac:dyDescent="0.4">
      <c r="A91" s="70"/>
      <c r="B91" s="70"/>
      <c r="C91" s="70"/>
      <c r="D91" s="71"/>
      <c r="E91" s="90"/>
      <c r="F91" s="72"/>
      <c r="G91" s="73"/>
      <c r="H91" s="74"/>
      <c r="I91" s="74"/>
      <c r="J91" s="75" t="s">
        <v>350</v>
      </c>
      <c r="K91" s="78">
        <f>SUM(K88:K90)</f>
        <v>33723.759999999995</v>
      </c>
    </row>
    <row r="92" spans="1:11" x14ac:dyDescent="0.4">
      <c r="E92" s="89"/>
      <c r="G92" s="68"/>
    </row>
    <row r="93" spans="1:11" x14ac:dyDescent="0.4">
      <c r="A93" s="64">
        <v>11</v>
      </c>
      <c r="B93" s="64"/>
      <c r="C93" s="64"/>
      <c r="D93" s="65"/>
      <c r="E93" s="88" t="s">
        <v>233</v>
      </c>
      <c r="F93" s="66"/>
      <c r="G93" s="77"/>
      <c r="H93" s="67"/>
      <c r="I93" s="67"/>
      <c r="J93" s="66"/>
      <c r="K93" s="66"/>
    </row>
    <row r="94" spans="1:11" x14ac:dyDescent="0.4">
      <c r="A94" s="3" t="s">
        <v>403</v>
      </c>
      <c r="B94" s="3" t="s">
        <v>478</v>
      </c>
      <c r="C94" s="3" t="s">
        <v>342</v>
      </c>
      <c r="D94" s="4" t="s">
        <v>347</v>
      </c>
      <c r="E94" s="89" t="s">
        <v>348</v>
      </c>
      <c r="F94" s="5">
        <v>1</v>
      </c>
      <c r="G94" s="68">
        <v>1</v>
      </c>
      <c r="H94" s="13">
        <f>SUMIF(CRONOGRAMA!B:B,"PROJETISTA: entrega projeto elétrico",CRONOGRAMA!C:C)/30</f>
        <v>0.2</v>
      </c>
      <c r="I94" s="13">
        <f>F94*G94*H94</f>
        <v>0.2</v>
      </c>
      <c r="J94" s="201">
        <v>23009.54</v>
      </c>
      <c r="K94" s="69">
        <f>TRUNC(I94*J94,2)</f>
        <v>4601.8999999999996</v>
      </c>
    </row>
    <row r="95" spans="1:11" x14ac:dyDescent="0.4">
      <c r="A95" s="3" t="s">
        <v>404</v>
      </c>
      <c r="B95" s="3" t="s">
        <v>478</v>
      </c>
      <c r="C95" s="3" t="s">
        <v>342</v>
      </c>
      <c r="D95" s="4" t="s">
        <v>373</v>
      </c>
      <c r="E95" s="89" t="s">
        <v>374</v>
      </c>
      <c r="F95" s="5">
        <v>1</v>
      </c>
      <c r="G95" s="68">
        <v>0.5</v>
      </c>
      <c r="H95" s="13">
        <f>SUMIF(CRONOGRAMA!B:B,"PROJETISTA: entrega projeto elétrico",CRONOGRAMA!C:C)/30</f>
        <v>0.2</v>
      </c>
      <c r="I95" s="13">
        <f>F95*G95*H95</f>
        <v>0.1</v>
      </c>
      <c r="J95" s="201">
        <v>27362.69</v>
      </c>
      <c r="K95" s="69">
        <f>TRUNC(I95*J95,2)</f>
        <v>2736.26</v>
      </c>
    </row>
    <row r="96" spans="1:11" x14ac:dyDescent="0.4">
      <c r="A96" s="3" t="s">
        <v>405</v>
      </c>
      <c r="B96" s="3" t="s">
        <v>478</v>
      </c>
      <c r="C96" s="3" t="s">
        <v>342</v>
      </c>
      <c r="D96" s="4" t="s">
        <v>343</v>
      </c>
      <c r="E96" s="89" t="s">
        <v>349</v>
      </c>
      <c r="F96" s="5">
        <v>1</v>
      </c>
      <c r="G96" s="68">
        <v>1</v>
      </c>
      <c r="H96" s="13">
        <f>SUMIF(CRONOGRAMA!B:B,"PROJETISTA: entrega projeto elétrico",CRONOGRAMA!C:C)/30</f>
        <v>0.2</v>
      </c>
      <c r="I96" s="13">
        <f>F96*G96*H96</f>
        <v>0.2</v>
      </c>
      <c r="J96" s="201">
        <v>7296.64</v>
      </c>
      <c r="K96" s="69">
        <f>TRUNC(I96*J96,2)</f>
        <v>1459.32</v>
      </c>
    </row>
    <row r="97" spans="1:11" x14ac:dyDescent="0.4">
      <c r="A97" s="70"/>
      <c r="B97" s="70"/>
      <c r="C97" s="70"/>
      <c r="D97" s="71"/>
      <c r="E97" s="90"/>
      <c r="F97" s="72"/>
      <c r="G97" s="73"/>
      <c r="H97" s="74"/>
      <c r="I97" s="74"/>
      <c r="J97" s="75" t="s">
        <v>350</v>
      </c>
      <c r="K97" s="78">
        <f>SUM(K94:K96)</f>
        <v>8797.48</v>
      </c>
    </row>
    <row r="98" spans="1:11" x14ac:dyDescent="0.4">
      <c r="E98" s="89"/>
      <c r="G98" s="68"/>
    </row>
    <row r="99" spans="1:11" x14ac:dyDescent="0.4">
      <c r="A99" s="64">
        <v>12</v>
      </c>
      <c r="B99" s="64"/>
      <c r="C99" s="64"/>
      <c r="D99" s="65"/>
      <c r="E99" s="88" t="s">
        <v>143</v>
      </c>
      <c r="F99" s="66"/>
      <c r="G99" s="77"/>
      <c r="H99" s="67"/>
      <c r="I99" s="67"/>
      <c r="J99" s="66"/>
      <c r="K99" s="66"/>
    </row>
    <row r="100" spans="1:11" x14ac:dyDescent="0.4">
      <c r="A100" s="3" t="s">
        <v>406</v>
      </c>
      <c r="B100" s="3" t="s">
        <v>478</v>
      </c>
      <c r="C100" s="3" t="s">
        <v>342</v>
      </c>
      <c r="D100" s="4" t="s">
        <v>347</v>
      </c>
      <c r="E100" s="89" t="s">
        <v>348</v>
      </c>
      <c r="F100" s="5">
        <v>1</v>
      </c>
      <c r="G100" s="68">
        <v>1</v>
      </c>
      <c r="H100" s="13">
        <f>SUMIF(CRONOGRAMA!B:B,"PROJETISTA: entrega projeto de obras complementares",CRONOGRAMA!C:C)/30</f>
        <v>0.76666666666666672</v>
      </c>
      <c r="I100" s="13">
        <f>F100*G100*H100</f>
        <v>0.76666666666666672</v>
      </c>
      <c r="J100" s="201">
        <v>23009.54</v>
      </c>
      <c r="K100" s="69">
        <f>TRUNC(I100*J100,2)</f>
        <v>17640.64</v>
      </c>
    </row>
    <row r="101" spans="1:11" x14ac:dyDescent="0.4">
      <c r="A101" s="3" t="s">
        <v>407</v>
      </c>
      <c r="B101" s="3" t="s">
        <v>478</v>
      </c>
      <c r="C101" s="3" t="s">
        <v>342</v>
      </c>
      <c r="D101" s="4" t="s">
        <v>373</v>
      </c>
      <c r="E101" s="89" t="s">
        <v>374</v>
      </c>
      <c r="F101" s="5">
        <v>1</v>
      </c>
      <c r="G101" s="68">
        <v>0.5</v>
      </c>
      <c r="H101" s="13">
        <f>SUMIF(CRONOGRAMA!B:B,"PROJETISTA: entrega projeto de obras complementares",CRONOGRAMA!C:C)/30</f>
        <v>0.76666666666666672</v>
      </c>
      <c r="I101" s="13">
        <f>F101*G101*H101</f>
        <v>0.38333333333333336</v>
      </c>
      <c r="J101" s="201">
        <v>27362.69</v>
      </c>
      <c r="K101" s="69">
        <f>TRUNC(I101*J101,2)</f>
        <v>10489.03</v>
      </c>
    </row>
    <row r="102" spans="1:11" x14ac:dyDescent="0.4">
      <c r="A102" s="35" t="s">
        <v>408</v>
      </c>
      <c r="B102" s="35" t="s">
        <v>478</v>
      </c>
      <c r="C102" s="35" t="s">
        <v>342</v>
      </c>
      <c r="D102" s="36" t="s">
        <v>343</v>
      </c>
      <c r="E102" s="262" t="s">
        <v>349</v>
      </c>
      <c r="F102" s="37">
        <v>1</v>
      </c>
      <c r="G102" s="263">
        <v>1</v>
      </c>
      <c r="H102" s="38">
        <f>SUMIF(CRONOGRAMA!B:B,"PROJETISTA: entrega projeto de obras complementares",CRONOGRAMA!C:C)/30</f>
        <v>0.76666666666666672</v>
      </c>
      <c r="I102" s="38">
        <f>F102*G102*H102</f>
        <v>0.76666666666666672</v>
      </c>
      <c r="J102" s="264">
        <v>7296.64</v>
      </c>
      <c r="K102" s="265">
        <f>TRUNC(I102*J102,2)</f>
        <v>5594.09</v>
      </c>
    </row>
    <row r="103" spans="1:11" x14ac:dyDescent="0.4">
      <c r="A103" s="70"/>
      <c r="B103" s="70"/>
      <c r="C103" s="70"/>
      <c r="D103" s="71"/>
      <c r="E103" s="90"/>
      <c r="F103" s="72"/>
      <c r="G103" s="73"/>
      <c r="H103" s="74"/>
      <c r="I103" s="74"/>
      <c r="J103" s="75" t="s">
        <v>350</v>
      </c>
      <c r="K103" s="78">
        <f>SUM(K100:K102)</f>
        <v>33723.759999999995</v>
      </c>
    </row>
    <row r="104" spans="1:11" x14ac:dyDescent="0.4">
      <c r="E104" s="89"/>
      <c r="G104" s="68"/>
    </row>
    <row r="105" spans="1:11" x14ac:dyDescent="0.4">
      <c r="A105" s="64">
        <v>13</v>
      </c>
      <c r="B105" s="64"/>
      <c r="C105" s="64"/>
      <c r="D105" s="65"/>
      <c r="E105" s="88" t="s">
        <v>149</v>
      </c>
      <c r="F105" s="66"/>
      <c r="G105" s="77"/>
      <c r="H105" s="67"/>
      <c r="I105" s="67"/>
      <c r="J105" s="66"/>
      <c r="K105" s="66"/>
    </row>
    <row r="106" spans="1:11" x14ac:dyDescent="0.4">
      <c r="A106" s="3" t="s">
        <v>409</v>
      </c>
      <c r="B106" s="3" t="s">
        <v>478</v>
      </c>
      <c r="C106" s="3" t="s">
        <v>342</v>
      </c>
      <c r="D106" s="4" t="s">
        <v>373</v>
      </c>
      <c r="E106" s="89" t="s">
        <v>374</v>
      </c>
      <c r="F106" s="5">
        <v>1</v>
      </c>
      <c r="G106" s="68">
        <v>1</v>
      </c>
      <c r="H106" s="13">
        <f>SUMIF(CRONOGRAMA!B:B,"PROJETISTA: entrega projeto de OAE",CRONOGRAMA!C:C)/30</f>
        <v>4.9000000000000004</v>
      </c>
      <c r="I106" s="13">
        <f>F106*G106*H106</f>
        <v>4.9000000000000004</v>
      </c>
      <c r="J106" s="201">
        <v>27362.69</v>
      </c>
      <c r="K106" s="69">
        <f>TRUNC(I106*J106,2)</f>
        <v>134077.18</v>
      </c>
    </row>
    <row r="107" spans="1:11" x14ac:dyDescent="0.4">
      <c r="A107" s="3" t="s">
        <v>410</v>
      </c>
      <c r="B107" s="3" t="s">
        <v>478</v>
      </c>
      <c r="C107" s="3" t="s">
        <v>342</v>
      </c>
      <c r="D107" s="4" t="s">
        <v>397</v>
      </c>
      <c r="E107" s="89" t="s">
        <v>398</v>
      </c>
      <c r="F107" s="5">
        <v>1</v>
      </c>
      <c r="G107" s="68">
        <v>1</v>
      </c>
      <c r="H107" s="13">
        <f>SUMIF(CRONOGRAMA!B:B,"PROJETISTA: entrega projeto de OAE",CRONOGRAMA!C:C)/30</f>
        <v>4.9000000000000004</v>
      </c>
      <c r="I107" s="13">
        <f>F107*G107*H107</f>
        <v>4.9000000000000004</v>
      </c>
      <c r="J107" s="201">
        <v>31715.84</v>
      </c>
      <c r="K107" s="69">
        <f>TRUNC(I107*J107,2)</f>
        <v>155407.60999999999</v>
      </c>
    </row>
    <row r="108" spans="1:11" x14ac:dyDescent="0.4">
      <c r="A108" s="3" t="s">
        <v>411</v>
      </c>
      <c r="B108" s="3" t="s">
        <v>478</v>
      </c>
      <c r="C108" s="3" t="s">
        <v>342</v>
      </c>
      <c r="D108" s="4" t="s">
        <v>343</v>
      </c>
      <c r="E108" s="89" t="s">
        <v>349</v>
      </c>
      <c r="F108" s="5">
        <v>1</v>
      </c>
      <c r="G108" s="68">
        <v>1</v>
      </c>
      <c r="H108" s="13">
        <f>SUMIF(CRONOGRAMA!B:B,"PROJETISTA: entrega projeto de OAE",CRONOGRAMA!C:C)/30</f>
        <v>4.9000000000000004</v>
      </c>
      <c r="I108" s="13">
        <f>F108*G108*H108</f>
        <v>4.9000000000000004</v>
      </c>
      <c r="J108" s="201">
        <v>7296.64</v>
      </c>
      <c r="K108" s="69">
        <f>TRUNC(I108*J108,2)</f>
        <v>35753.53</v>
      </c>
    </row>
    <row r="109" spans="1:11" x14ac:dyDescent="0.4">
      <c r="A109" s="70"/>
      <c r="B109" s="70"/>
      <c r="C109" s="70"/>
      <c r="D109" s="71"/>
      <c r="E109" s="90"/>
      <c r="F109" s="72"/>
      <c r="G109" s="73"/>
      <c r="H109" s="74"/>
      <c r="I109" s="74"/>
      <c r="J109" s="75" t="s">
        <v>350</v>
      </c>
      <c r="K109" s="78">
        <f>SUM(K106:K108)</f>
        <v>325238.31999999995</v>
      </c>
    </row>
    <row r="110" spans="1:11" x14ac:dyDescent="0.4">
      <c r="E110" s="89"/>
      <c r="G110" s="68"/>
    </row>
    <row r="111" spans="1:11" x14ac:dyDescent="0.4">
      <c r="A111" s="64">
        <v>14</v>
      </c>
      <c r="B111" s="64"/>
      <c r="C111" s="64"/>
      <c r="D111" s="65"/>
      <c r="E111" s="88" t="s">
        <v>155</v>
      </c>
      <c r="F111" s="66"/>
      <c r="G111" s="77"/>
      <c r="H111" s="67"/>
      <c r="I111" s="67"/>
      <c r="J111" s="66"/>
      <c r="K111" s="66"/>
    </row>
    <row r="112" spans="1:11" x14ac:dyDescent="0.4">
      <c r="A112" s="3" t="s">
        <v>412</v>
      </c>
      <c r="B112" s="3" t="s">
        <v>478</v>
      </c>
      <c r="C112" s="3" t="s">
        <v>342</v>
      </c>
      <c r="D112" s="4" t="s">
        <v>413</v>
      </c>
      <c r="E112" s="89" t="s">
        <v>414</v>
      </c>
      <c r="F112" s="5">
        <v>1</v>
      </c>
      <c r="G112" s="68">
        <v>1</v>
      </c>
      <c r="H112" s="13">
        <f>SUMIF(CRONOGRAMA!B:B,"PROJETISTA: entrega projeto de inventário florestal",CRONOGRAMA!C:C)/30</f>
        <v>0.6</v>
      </c>
      <c r="I112" s="13">
        <f>F112*G112*H112</f>
        <v>0.6</v>
      </c>
      <c r="J112" s="201">
        <v>23100.66</v>
      </c>
      <c r="K112" s="69">
        <f>TRUNC(I112*J112,2)</f>
        <v>13860.39</v>
      </c>
    </row>
    <row r="113" spans="1:11" x14ac:dyDescent="0.4">
      <c r="A113" s="3" t="s">
        <v>415</v>
      </c>
      <c r="B113" s="3" t="s">
        <v>478</v>
      </c>
      <c r="C113" s="3" t="s">
        <v>342</v>
      </c>
      <c r="D113" s="4" t="s">
        <v>343</v>
      </c>
      <c r="E113" s="89" t="s">
        <v>349</v>
      </c>
      <c r="F113" s="5">
        <v>1</v>
      </c>
      <c r="G113" s="68">
        <v>1</v>
      </c>
      <c r="H113" s="13">
        <f>SUMIF(CRONOGRAMA!B:B,"PROJETISTA: entrega projeto de inventário florestal",CRONOGRAMA!C:C)/30</f>
        <v>0.6</v>
      </c>
      <c r="I113" s="13">
        <f>F113*G113*H113</f>
        <v>0.6</v>
      </c>
      <c r="J113" s="201">
        <v>7296.64</v>
      </c>
      <c r="K113" s="69">
        <f>TRUNC(I113*J113,2)</f>
        <v>4377.9799999999996</v>
      </c>
    </row>
    <row r="114" spans="1:11" ht="28.3" x14ac:dyDescent="0.4">
      <c r="A114" s="3" t="s">
        <v>547</v>
      </c>
      <c r="B114" s="3" t="s">
        <v>478</v>
      </c>
      <c r="C114" s="3" t="s">
        <v>342</v>
      </c>
      <c r="D114" s="4" t="s">
        <v>423</v>
      </c>
      <c r="E114" s="91" t="s">
        <v>424</v>
      </c>
      <c r="F114" s="5">
        <v>1</v>
      </c>
      <c r="G114" s="68">
        <v>1</v>
      </c>
      <c r="H114" s="13">
        <f>H113</f>
        <v>0.6</v>
      </c>
      <c r="I114" s="13">
        <f>F114*G114*H114</f>
        <v>0.6</v>
      </c>
      <c r="J114" s="201">
        <f>66*90.83+116.49*24.51</f>
        <v>8849.9498999999996</v>
      </c>
      <c r="K114" s="69">
        <f t="shared" ref="K114" si="8">TRUNC(I114*J114,2)</f>
        <v>5309.96</v>
      </c>
    </row>
    <row r="115" spans="1:11" x14ac:dyDescent="0.4">
      <c r="A115" s="70"/>
      <c r="B115" s="70"/>
      <c r="C115" s="70"/>
      <c r="D115" s="71"/>
      <c r="E115" s="90"/>
      <c r="F115" s="72"/>
      <c r="G115" s="73"/>
      <c r="H115" s="74"/>
      <c r="I115" s="74"/>
      <c r="J115" s="75" t="s">
        <v>350</v>
      </c>
      <c r="K115" s="78">
        <f>SUM(K112:K114)</f>
        <v>23548.329999999998</v>
      </c>
    </row>
    <row r="116" spans="1:11" x14ac:dyDescent="0.4">
      <c r="E116" s="89"/>
      <c r="G116" s="68"/>
    </row>
    <row r="117" spans="1:11" x14ac:dyDescent="0.4">
      <c r="A117" s="64">
        <v>15</v>
      </c>
      <c r="B117" s="64"/>
      <c r="C117" s="64"/>
      <c r="D117" s="65"/>
      <c r="E117" s="88" t="s">
        <v>161</v>
      </c>
      <c r="F117" s="66"/>
      <c r="G117" s="77"/>
      <c r="H117" s="67"/>
      <c r="I117" s="67"/>
      <c r="J117" s="66"/>
      <c r="K117" s="66"/>
    </row>
    <row r="118" spans="1:11" x14ac:dyDescent="0.4">
      <c r="A118" s="3" t="s">
        <v>416</v>
      </c>
      <c r="B118" s="3" t="s">
        <v>478</v>
      </c>
      <c r="C118" s="3" t="s">
        <v>342</v>
      </c>
      <c r="D118" s="4" t="s">
        <v>347</v>
      </c>
      <c r="E118" s="89" t="s">
        <v>348</v>
      </c>
      <c r="F118" s="5">
        <v>1</v>
      </c>
      <c r="G118" s="68">
        <v>1</v>
      </c>
      <c r="H118" s="13">
        <f>SUMIF(CRONOGRAMA!B:B,"PROJETISTA: entrega projeto de documentos",CRONOGRAMA!C:C)/30</f>
        <v>0.9</v>
      </c>
      <c r="I118" s="13">
        <f>F118*G118*H118</f>
        <v>0.9</v>
      </c>
      <c r="J118" s="201">
        <v>23009.54</v>
      </c>
      <c r="K118" s="69">
        <f>TRUNC(I118*J118,2)</f>
        <v>20708.580000000002</v>
      </c>
    </row>
    <row r="119" spans="1:11" x14ac:dyDescent="0.4">
      <c r="A119" s="3" t="s">
        <v>417</v>
      </c>
      <c r="B119" s="3" t="s">
        <v>478</v>
      </c>
      <c r="C119" s="3" t="s">
        <v>342</v>
      </c>
      <c r="D119" s="4" t="s">
        <v>373</v>
      </c>
      <c r="E119" s="89" t="s">
        <v>374</v>
      </c>
      <c r="F119" s="5">
        <v>1</v>
      </c>
      <c r="G119" s="68">
        <v>0.5</v>
      </c>
      <c r="H119" s="13">
        <f>SUMIF(CRONOGRAMA!B:B,"PROJETISTA: entrega projeto de documentos",CRONOGRAMA!C:C)/30</f>
        <v>0.9</v>
      </c>
      <c r="I119" s="13">
        <f>F119*G119*H119</f>
        <v>0.45</v>
      </c>
      <c r="J119" s="201">
        <v>27362.69</v>
      </c>
      <c r="K119" s="69">
        <f>TRUNC(I119*J119,2)</f>
        <v>12313.21</v>
      </c>
    </row>
    <row r="120" spans="1:11" x14ac:dyDescent="0.4">
      <c r="A120" s="3" t="s">
        <v>418</v>
      </c>
      <c r="B120" s="3" t="s">
        <v>478</v>
      </c>
      <c r="C120" s="3" t="s">
        <v>342</v>
      </c>
      <c r="D120" s="4" t="s">
        <v>343</v>
      </c>
      <c r="E120" s="89" t="s">
        <v>349</v>
      </c>
      <c r="F120" s="5">
        <v>1</v>
      </c>
      <c r="G120" s="68">
        <v>1</v>
      </c>
      <c r="H120" s="13">
        <f>SUMIF(CRONOGRAMA!B:B,"PROJETISTA: entrega projeto de documentos",CRONOGRAMA!C:C)/30</f>
        <v>0.9</v>
      </c>
      <c r="I120" s="13">
        <f>F120*G120*H120</f>
        <v>0.9</v>
      </c>
      <c r="J120" s="201">
        <v>7296.64</v>
      </c>
      <c r="K120" s="69">
        <f>TRUNC(I120*J120,2)</f>
        <v>6566.97</v>
      </c>
    </row>
    <row r="121" spans="1:11" x14ac:dyDescent="0.4">
      <c r="A121" s="70"/>
      <c r="B121" s="70"/>
      <c r="C121" s="70"/>
      <c r="D121" s="71"/>
      <c r="E121" s="90"/>
      <c r="F121" s="72"/>
      <c r="G121" s="73"/>
      <c r="H121" s="74"/>
      <c r="I121" s="74"/>
      <c r="J121" s="75" t="s">
        <v>350</v>
      </c>
      <c r="K121" s="78">
        <f>SUM(K118:K120)</f>
        <v>39588.76</v>
      </c>
    </row>
    <row r="122" spans="1:11" x14ac:dyDescent="0.4">
      <c r="E122" s="89"/>
      <c r="G122" s="68"/>
    </row>
    <row r="123" spans="1:11" x14ac:dyDescent="0.4">
      <c r="A123" s="64"/>
      <c r="B123" s="81"/>
      <c r="C123" s="81"/>
      <c r="D123" s="81"/>
      <c r="E123" s="246" t="s">
        <v>433</v>
      </c>
      <c r="F123" s="245"/>
      <c r="G123" s="245"/>
      <c r="H123" s="245"/>
      <c r="I123" s="245"/>
      <c r="J123" s="245"/>
      <c r="K123" s="82">
        <f>K121+K115+K109+K103+K97+K91+K85+K78+K72+K66+K60+K53+K48+K37+K24+K14</f>
        <v>976122.57000000007</v>
      </c>
    </row>
    <row r="124" spans="1:11" x14ac:dyDescent="0.4">
      <c r="A124" s="64"/>
      <c r="B124" s="81"/>
      <c r="C124" s="81"/>
      <c r="D124" s="81"/>
      <c r="E124" s="246" t="s">
        <v>489</v>
      </c>
      <c r="F124" s="245"/>
      <c r="G124" s="245"/>
      <c r="H124" s="245"/>
      <c r="I124" s="245"/>
      <c r="J124" s="245"/>
      <c r="K124" s="82">
        <f>TRUNC(K123*(BDI!D22/100),2)</f>
        <v>439202.89</v>
      </c>
    </row>
    <row r="125" spans="1:11" s="26" customFormat="1" ht="29.25" customHeight="1" x14ac:dyDescent="0.4">
      <c r="A125" s="83"/>
      <c r="B125" s="84"/>
      <c r="C125" s="84"/>
      <c r="D125" s="84"/>
      <c r="E125" s="244" t="s">
        <v>434</v>
      </c>
      <c r="F125" s="245"/>
      <c r="G125" s="245"/>
      <c r="H125" s="245"/>
      <c r="I125" s="245"/>
      <c r="J125" s="245"/>
      <c r="K125" s="85">
        <f>K123+K124</f>
        <v>1415325.46</v>
      </c>
    </row>
    <row r="126" spans="1:11" x14ac:dyDescent="0.4">
      <c r="A126" s="202" t="s">
        <v>553</v>
      </c>
    </row>
    <row r="130" spans="1:11" x14ac:dyDescent="0.4">
      <c r="J130" s="122" t="s">
        <v>473</v>
      </c>
      <c r="K130" s="86"/>
    </row>
    <row r="131" spans="1:11" x14ac:dyDescent="0.4">
      <c r="J131" s="122" t="s">
        <v>474</v>
      </c>
    </row>
    <row r="132" spans="1:11" x14ac:dyDescent="0.4">
      <c r="J132" s="122" t="s">
        <v>475</v>
      </c>
    </row>
    <row r="133" spans="1:11" x14ac:dyDescent="0.4">
      <c r="A133" s="203" t="s">
        <v>556</v>
      </c>
      <c r="B133" s="35"/>
      <c r="C133" s="35"/>
      <c r="D133" s="36"/>
      <c r="E133" s="37"/>
      <c r="F133" s="37"/>
      <c r="G133" s="37"/>
      <c r="H133" s="38"/>
      <c r="I133" s="38"/>
      <c r="J133" s="204" t="s">
        <v>476</v>
      </c>
      <c r="K133" s="37"/>
    </row>
  </sheetData>
  <sheetProtection algorithmName="SHA-512" hashValue="0+yECVcidaMH3tetaYBAdR5l9QExw78fR505gD6pO+ki5Cju6Kup2L73xOPT/lOJd0fFzg8MqoKBCJNXtLnU3Q==" saltValue="ylp7JkzXF+luAk5gtMYUxg==" spinCount="100000" sheet="1" scenarios="1" selectLockedCells="1"/>
  <mergeCells count="7">
    <mergeCell ref="E125:J125"/>
    <mergeCell ref="E124:J124"/>
    <mergeCell ref="E123:J123"/>
    <mergeCell ref="A1:K1"/>
    <mergeCell ref="A3:K3"/>
    <mergeCell ref="A6:K6"/>
    <mergeCell ref="A5:K5"/>
  </mergeCells>
  <phoneticPr fontId="15" type="noConversion"/>
  <printOptions horizontalCentered="1"/>
  <pageMargins left="0.39370078740157483" right="0.39370078740157483" top="0.39370078740157483" bottom="0.39370078740157483" header="0" footer="0"/>
  <pageSetup paperSize="9" scale="78" orientation="landscape" r:id="rId1"/>
  <ignoredErrors>
    <ignoredError sqref="G35:H35 G22:H22" formula="1"/>
    <ignoredError sqref="J13 J21 J35:J36 J40:J47 J56:J59 J114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36"/>
  <sheetViews>
    <sheetView showGridLines="0" zoomScale="55" zoomScaleNormal="55" zoomScaleSheetLayoutView="85" zoomScalePageLayoutView="70" workbookViewId="0">
      <selection activeCell="C11" sqref="C11"/>
    </sheetView>
  </sheetViews>
  <sheetFormatPr defaultColWidth="9.07421875" defaultRowHeight="18.45" x14ac:dyDescent="0.5"/>
  <cols>
    <col min="1" max="1" width="51.53515625" style="21" customWidth="1"/>
    <col min="2" max="4" width="26.3046875" style="24" customWidth="1"/>
    <col min="5" max="5" width="9.07421875" style="21" customWidth="1"/>
    <col min="6" max="16384" width="9.07421875" style="21"/>
  </cols>
  <sheetData>
    <row r="1" spans="1:16" s="39" customFormat="1" ht="100" customHeight="1" x14ac:dyDescent="0.4">
      <c r="A1" s="210" t="s">
        <v>477</v>
      </c>
      <c r="B1" s="210"/>
      <c r="C1" s="210"/>
      <c r="D1" s="210"/>
      <c r="E1"/>
      <c r="F1"/>
      <c r="G1"/>
      <c r="H1"/>
      <c r="I1"/>
      <c r="J1"/>
      <c r="K1"/>
      <c r="L1"/>
      <c r="M1"/>
      <c r="N1"/>
      <c r="O1"/>
      <c r="P1"/>
    </row>
    <row r="2" spans="1:16" s="39" customFormat="1" ht="14.6" x14ac:dyDescent="0.4">
      <c r="E2"/>
      <c r="F2"/>
      <c r="G2"/>
      <c r="H2"/>
      <c r="I2"/>
      <c r="J2"/>
      <c r="K2"/>
      <c r="L2"/>
      <c r="M2"/>
      <c r="N2"/>
      <c r="O2"/>
      <c r="P2"/>
    </row>
    <row r="3" spans="1:16" s="39" customFormat="1" ht="14.15" customHeight="1" x14ac:dyDescent="0.4">
      <c r="A3" s="212" t="s">
        <v>479</v>
      </c>
      <c r="B3" s="212"/>
      <c r="C3" s="212"/>
      <c r="D3" s="212"/>
      <c r="E3"/>
      <c r="F3"/>
      <c r="G3"/>
      <c r="H3"/>
      <c r="I3"/>
      <c r="J3"/>
      <c r="K3"/>
      <c r="L3"/>
      <c r="M3"/>
      <c r="N3"/>
      <c r="O3"/>
      <c r="P3"/>
    </row>
    <row r="4" spans="1:16" s="39" customFormat="1" ht="14.15" customHeight="1" x14ac:dyDescent="0.4">
      <c r="A4" s="211"/>
      <c r="B4" s="211"/>
      <c r="C4" s="211"/>
      <c r="D4" s="211"/>
      <c r="E4"/>
      <c r="F4"/>
      <c r="G4"/>
      <c r="H4"/>
      <c r="I4"/>
      <c r="J4"/>
      <c r="K4"/>
      <c r="L4"/>
      <c r="M4"/>
      <c r="N4"/>
      <c r="O4"/>
      <c r="P4"/>
    </row>
    <row r="5" spans="1:16" s="14" customFormat="1" ht="32.15" customHeight="1" x14ac:dyDescent="0.4">
      <c r="A5" s="209" t="s">
        <v>483</v>
      </c>
      <c r="B5" s="209"/>
      <c r="C5" s="209"/>
      <c r="D5" s="209"/>
      <c r="E5"/>
      <c r="F5"/>
      <c r="G5"/>
      <c r="H5"/>
      <c r="I5"/>
      <c r="J5"/>
      <c r="K5"/>
      <c r="L5"/>
    </row>
    <row r="6" spans="1:16" s="14" customFormat="1" ht="32.15" customHeight="1" x14ac:dyDescent="0.4">
      <c r="A6" s="93" t="s">
        <v>482</v>
      </c>
      <c r="B6" s="92"/>
      <c r="C6" s="92"/>
      <c r="D6" s="92"/>
      <c r="E6"/>
      <c r="F6"/>
      <c r="G6"/>
      <c r="H6"/>
      <c r="I6"/>
      <c r="J6"/>
      <c r="K6"/>
      <c r="L6"/>
    </row>
    <row r="7" spans="1:16" s="15" customFormat="1" ht="32.15" customHeight="1" x14ac:dyDescent="0.4">
      <c r="A7" s="215" t="s">
        <v>435</v>
      </c>
      <c r="B7" s="216"/>
      <c r="C7" s="217" t="s">
        <v>436</v>
      </c>
      <c r="D7" s="218"/>
    </row>
    <row r="8" spans="1:16" s="16" customFormat="1" ht="32.15" customHeight="1" x14ac:dyDescent="0.4">
      <c r="A8" s="221" t="s">
        <v>437</v>
      </c>
      <c r="B8" s="222"/>
      <c r="C8" s="94" t="s">
        <v>438</v>
      </c>
      <c r="D8" s="95" t="s">
        <v>439</v>
      </c>
    </row>
    <row r="9" spans="1:16" s="18" customFormat="1" ht="32.15" customHeight="1" x14ac:dyDescent="0.4">
      <c r="A9" s="96" t="s">
        <v>440</v>
      </c>
      <c r="B9" s="97" t="s">
        <v>441</v>
      </c>
      <c r="C9" s="22">
        <f>D9/(1+D$22/100)</f>
        <v>6.896806380674172</v>
      </c>
      <c r="D9" s="208">
        <v>10</v>
      </c>
      <c r="E9" s="17"/>
      <c r="F9" s="17"/>
      <c r="G9" s="17"/>
      <c r="H9" s="17"/>
    </row>
    <row r="10" spans="1:16" s="18" customFormat="1" ht="32.15" customHeight="1" x14ac:dyDescent="0.4">
      <c r="A10" s="99" t="s">
        <v>442</v>
      </c>
      <c r="B10" s="205">
        <v>1.1000000000000001</v>
      </c>
      <c r="C10" s="100">
        <f>D10/(1+D$22/100)</f>
        <v>1.008962155775107</v>
      </c>
      <c r="D10" s="101">
        <f>D22-(D9+D11+D12+D15+D18+D19+D20)</f>
        <v>1.4629411064842444</v>
      </c>
      <c r="E10" s="17"/>
      <c r="F10" s="17"/>
      <c r="G10" s="17"/>
      <c r="H10" s="17"/>
    </row>
    <row r="11" spans="1:16" s="18" customFormat="1" ht="32.15" customHeight="1" x14ac:dyDescent="0.3">
      <c r="A11" s="99" t="s">
        <v>443</v>
      </c>
      <c r="B11" s="102" t="s">
        <v>444</v>
      </c>
      <c r="C11" s="206">
        <v>0.5</v>
      </c>
      <c r="D11" s="101">
        <f>C11*(1+D$22/100)</f>
        <v>0.72497323022010707</v>
      </c>
      <c r="E11" s="17"/>
      <c r="F11" s="14"/>
      <c r="G11" s="14"/>
      <c r="H11" s="17"/>
    </row>
    <row r="12" spans="1:16" s="18" customFormat="1" ht="32.15" customHeight="1" x14ac:dyDescent="0.3">
      <c r="A12" s="99" t="s">
        <v>445</v>
      </c>
      <c r="B12" s="102" t="s">
        <v>446</v>
      </c>
      <c r="C12" s="206">
        <v>0.1</v>
      </c>
      <c r="D12" s="101">
        <f>C12*(1+D$22/100)</f>
        <v>0.14499464604402143</v>
      </c>
      <c r="E12" s="17"/>
      <c r="F12" s="14"/>
      <c r="G12" s="14"/>
      <c r="H12" s="17"/>
    </row>
    <row r="13" spans="1:16" s="18" customFormat="1" ht="32.15" customHeight="1" x14ac:dyDescent="0.4">
      <c r="A13" s="103"/>
      <c r="B13" s="104" t="s">
        <v>447</v>
      </c>
      <c r="C13" s="23">
        <f>SUM(C9:C12)</f>
        <v>8.5057685364492794</v>
      </c>
      <c r="D13" s="105">
        <f>SUM(D9:D12)</f>
        <v>12.332908982748371</v>
      </c>
      <c r="E13" s="17"/>
      <c r="F13" s="17"/>
      <c r="G13" s="17"/>
      <c r="H13" s="17"/>
    </row>
    <row r="14" spans="1:16" s="18" customFormat="1" ht="32.15" customHeight="1" x14ac:dyDescent="0.4">
      <c r="A14" s="220" t="s">
        <v>448</v>
      </c>
      <c r="B14" s="216"/>
      <c r="C14" s="106" t="s">
        <v>438</v>
      </c>
      <c r="D14" s="107" t="s">
        <v>439</v>
      </c>
      <c r="E14" s="17"/>
      <c r="F14" s="17"/>
      <c r="G14" s="17"/>
      <c r="H14" s="17"/>
    </row>
    <row r="15" spans="1:16" s="18" customFormat="1" ht="32.15" customHeight="1" x14ac:dyDescent="0.4">
      <c r="A15" s="96" t="s">
        <v>449</v>
      </c>
      <c r="B15" s="97" t="s">
        <v>441</v>
      </c>
      <c r="C15" s="22">
        <f>D15/(1+D$22/100)</f>
        <v>8.2761676568090063</v>
      </c>
      <c r="D15" s="208">
        <v>12</v>
      </c>
      <c r="E15" s="17"/>
      <c r="F15" s="17"/>
      <c r="G15" s="17"/>
      <c r="H15" s="17"/>
    </row>
    <row r="16" spans="1:16" s="18" customFormat="1" ht="32.15" customHeight="1" x14ac:dyDescent="0.4">
      <c r="A16" s="103"/>
      <c r="B16" s="104" t="s">
        <v>450</v>
      </c>
      <c r="C16" s="23">
        <f>C15</f>
        <v>8.2761676568090063</v>
      </c>
      <c r="D16" s="105">
        <f>D15</f>
        <v>12</v>
      </c>
      <c r="E16" s="17"/>
      <c r="F16" s="17"/>
      <c r="G16" s="17"/>
      <c r="H16" s="17"/>
    </row>
    <row r="17" spans="1:8" s="18" customFormat="1" ht="32.15" customHeight="1" x14ac:dyDescent="0.4">
      <c r="A17" s="220" t="s">
        <v>451</v>
      </c>
      <c r="B17" s="216"/>
      <c r="C17" s="106" t="s">
        <v>438</v>
      </c>
      <c r="D17" s="107" t="s">
        <v>439</v>
      </c>
      <c r="E17" s="17"/>
      <c r="F17" s="17"/>
      <c r="G17" s="17"/>
      <c r="H17" s="17"/>
    </row>
    <row r="18" spans="1:8" s="18" customFormat="1" ht="32.15" customHeight="1" x14ac:dyDescent="0.4">
      <c r="A18" s="96" t="s">
        <v>452</v>
      </c>
      <c r="B18" s="97" t="s">
        <v>453</v>
      </c>
      <c r="C18" s="207">
        <v>1.65</v>
      </c>
      <c r="D18" s="98">
        <f>C18*(1+D$22/100)</f>
        <v>2.3924116597263532</v>
      </c>
      <c r="E18" s="17"/>
      <c r="F18" s="17"/>
      <c r="G18" s="17"/>
      <c r="H18" s="17"/>
    </row>
    <row r="19" spans="1:8" s="18" customFormat="1" ht="32.15" customHeight="1" x14ac:dyDescent="0.3">
      <c r="A19" s="99" t="s">
        <v>454</v>
      </c>
      <c r="B19" s="102" t="s">
        <v>455</v>
      </c>
      <c r="C19" s="206">
        <v>7.6</v>
      </c>
      <c r="D19" s="101">
        <f>C19*(1+D$22/100)</f>
        <v>11.019593099345627</v>
      </c>
      <c r="E19" s="17"/>
      <c r="F19" s="14"/>
      <c r="G19" s="14"/>
      <c r="H19" s="14"/>
    </row>
    <row r="20" spans="1:8" s="18" customFormat="1" ht="32.15" customHeight="1" x14ac:dyDescent="0.3">
      <c r="A20" s="99" t="s">
        <v>456</v>
      </c>
      <c r="B20" s="102" t="s">
        <v>457</v>
      </c>
      <c r="C20" s="206">
        <v>5</v>
      </c>
      <c r="D20" s="101">
        <f>C20*(1+D$22/100)</f>
        <v>7.2497323022010711</v>
      </c>
      <c r="E20" s="17"/>
      <c r="F20" s="14"/>
      <c r="G20" s="14"/>
      <c r="H20" s="14"/>
    </row>
    <row r="21" spans="1:8" s="18" customFormat="1" ht="32.15" customHeight="1" x14ac:dyDescent="0.3">
      <c r="A21" s="103"/>
      <c r="B21" s="104" t="s">
        <v>458</v>
      </c>
      <c r="C21" s="23">
        <f>SUM(C18:C20)</f>
        <v>14.25</v>
      </c>
      <c r="D21" s="105">
        <f>SUM(D18:D20)</f>
        <v>20.661737061273051</v>
      </c>
      <c r="E21" s="17"/>
      <c r="F21" s="14"/>
      <c r="G21" s="14"/>
      <c r="H21" s="14"/>
    </row>
    <row r="22" spans="1:8" s="18" customFormat="1" ht="32.15" customHeight="1" x14ac:dyDescent="0.4">
      <c r="A22" s="219" t="s">
        <v>459</v>
      </c>
      <c r="B22" s="216"/>
      <c r="C22" s="108">
        <f>C13+C16+C21</f>
        <v>31.031936193258286</v>
      </c>
      <c r="D22" s="109">
        <f>((1+(D9/100+D15/100-($B10/100*D15/100)))/(1-($B10/100+C12/100+C11/100+C18/100+C19/100+C20/100))-1)*100</f>
        <v>44.994646044021415</v>
      </c>
      <c r="E22" s="19"/>
      <c r="F22" s="20"/>
      <c r="G22" s="14"/>
      <c r="H22" s="14"/>
    </row>
    <row r="23" spans="1:8" s="14" customFormat="1" ht="32.15" customHeight="1" x14ac:dyDescent="0.4">
      <c r="A23" s="213" t="s">
        <v>488</v>
      </c>
      <c r="B23" s="214"/>
      <c r="C23" s="214"/>
      <c r="D23" s="214"/>
    </row>
    <row r="24" spans="1:8" x14ac:dyDescent="0.5">
      <c r="B24" s="21"/>
      <c r="C24" s="21"/>
      <c r="D24" s="21"/>
    </row>
    <row r="25" spans="1:8" x14ac:dyDescent="0.5">
      <c r="A25" s="14" t="s">
        <v>484</v>
      </c>
      <c r="B25" s="21"/>
      <c r="C25" s="21"/>
      <c r="D25" s="21"/>
    </row>
    <row r="26" spans="1:8" x14ac:dyDescent="0.5">
      <c r="A26" s="14" t="s">
        <v>485</v>
      </c>
      <c r="B26" s="21"/>
      <c r="C26"/>
      <c r="D26"/>
      <c r="E26"/>
    </row>
    <row r="27" spans="1:8" x14ac:dyDescent="0.5">
      <c r="A27" s="14" t="s">
        <v>486</v>
      </c>
      <c r="B27" s="21"/>
      <c r="C27"/>
      <c r="D27"/>
      <c r="E27"/>
    </row>
    <row r="28" spans="1:8" x14ac:dyDescent="0.5">
      <c r="A28" s="14" t="s">
        <v>487</v>
      </c>
      <c r="B28" s="21"/>
      <c r="C28"/>
      <c r="D28"/>
      <c r="E28"/>
    </row>
    <row r="29" spans="1:8" x14ac:dyDescent="0.5">
      <c r="B29" s="21"/>
      <c r="C29"/>
      <c r="D29"/>
      <c r="E29"/>
    </row>
    <row r="30" spans="1:8" x14ac:dyDescent="0.5">
      <c r="B30" s="21"/>
      <c r="C30"/>
      <c r="D30"/>
      <c r="E30"/>
    </row>
    <row r="31" spans="1:8" x14ac:dyDescent="0.5">
      <c r="B31" s="21"/>
      <c r="C31"/>
      <c r="D31"/>
      <c r="E31"/>
    </row>
    <row r="32" spans="1:8" x14ac:dyDescent="0.5">
      <c r="B32" s="21"/>
      <c r="C32"/>
      <c r="D32"/>
      <c r="E32"/>
    </row>
    <row r="33" spans="2:5" x14ac:dyDescent="0.5">
      <c r="B33" s="21"/>
      <c r="C33"/>
      <c r="D33"/>
      <c r="E33"/>
    </row>
    <row r="34" spans="2:5" x14ac:dyDescent="0.5">
      <c r="B34" s="21"/>
      <c r="C34" s="21"/>
      <c r="D34" s="21"/>
    </row>
    <row r="35" spans="2:5" x14ac:dyDescent="0.5">
      <c r="B35" s="21"/>
      <c r="C35" s="21"/>
      <c r="D35" s="21"/>
    </row>
    <row r="36" spans="2:5" x14ac:dyDescent="0.5">
      <c r="D36" s="25"/>
    </row>
  </sheetData>
  <sheetProtection algorithmName="SHA-512" hashValue="up4/SsuZNiK1PaHGnR23pyX0lWGU9eBaA4gqk3khj24nj1upkHHuiq8B0T7dGq3Yit8eVgAmF/fFv4u18Qnr2w==" saltValue="+WgQS3hfqKVGlSZFzuCGyQ==" spinCount="100000" sheet="1" scenarios="1" selectLockedCells="1"/>
  <mergeCells count="11">
    <mergeCell ref="A5:D5"/>
    <mergeCell ref="A1:D1"/>
    <mergeCell ref="A4:D4"/>
    <mergeCell ref="A3:D3"/>
    <mergeCell ref="A23:D23"/>
    <mergeCell ref="A7:B7"/>
    <mergeCell ref="C7:D7"/>
    <mergeCell ref="A22:B22"/>
    <mergeCell ref="A14:B14"/>
    <mergeCell ref="A8:B8"/>
    <mergeCell ref="A17:B17"/>
  </mergeCells>
  <printOptions horizontalCentered="1"/>
  <pageMargins left="0.39370078740157483" right="0.39370078740157483" top="0.39370078740157483" bottom="0.39370078740157483" header="0" footer="0"/>
  <pageSetup paperSize="8" orientation="portrait" r:id="rId1"/>
  <headerFooter scaleWithDoc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PROJETOS</vt:lpstr>
      <vt:lpstr>CRONOGRAMA</vt:lpstr>
      <vt:lpstr>ORÇAMENTO</vt:lpstr>
      <vt:lpstr>BDI</vt:lpstr>
      <vt:lpstr>ORÇAMENTO!Titulos_de_impressao</vt:lpstr>
      <vt:lpstr>PROJETOS!Titulos_de_impressao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pomerwin@hotmail.com</dc:creator>
  <cp:lastModifiedBy>Ricardo L. Werner</cp:lastModifiedBy>
  <cp:lastPrinted>2026-10-06T19:13:11Z</cp:lastPrinted>
  <dcterms:created xsi:type="dcterms:W3CDTF">2026-05-08T19:03:58Z</dcterms:created>
  <dcterms:modified xsi:type="dcterms:W3CDTF">2026-10-06T19:13:42Z</dcterms:modified>
</cp:coreProperties>
</file>