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BKP\Melim\Projetos 2025\Centro de idosos\"/>
    </mc:Choice>
  </mc:AlternateContent>
  <xr:revisionPtr revIDLastSave="0" documentId="13_ncr:1_{76A19C59-E709-4185-B591-6F7AA9BD48C4}" xr6:coauthVersionLast="47" xr6:coauthVersionMax="47" xr10:uidLastSave="{00000000-0000-0000-0000-000000000000}"/>
  <bookViews>
    <workbookView xWindow="-108" yWindow="-108" windowWidth="23256" windowHeight="12456" xr2:uid="{3482873D-FE76-45DB-8039-6DADF61706ED}"/>
  </bookViews>
  <sheets>
    <sheet name="Orçamento" sheetId="1" r:id="rId1"/>
    <sheet name="BDI" sheetId="2" r:id="rId2"/>
    <sheet name="Cronogrma" sheetId="3" r:id="rId3"/>
  </sheets>
  <externalReferences>
    <externalReference r:id="rId4"/>
    <externalReference r:id="rId5"/>
  </externalReferences>
  <definedNames>
    <definedName name="_xlnm.Print_Area" localSheetId="1">BDI!$B$2:$H$54</definedName>
    <definedName name="_xlnm.Print_Area" localSheetId="2">Cronogrma!$A$1:$N$46</definedName>
    <definedName name="_xlnm.Print_Area" localSheetId="0">Orçamento!$A$1:$H$213</definedName>
    <definedName name="_xlnm.Print_Titles" localSheetId="0">Orçamento!$1:$14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8" i="1" l="1"/>
  <c r="E49" i="1" s="1"/>
  <c r="E156" i="1"/>
  <c r="E155" i="1"/>
  <c r="O21" i="3"/>
  <c r="O22" i="3"/>
  <c r="O23" i="3"/>
  <c r="O24" i="3"/>
  <c r="O25" i="3"/>
  <c r="O26" i="3"/>
  <c r="O27" i="3"/>
  <c r="O28" i="3"/>
  <c r="O29" i="3"/>
  <c r="O30" i="3"/>
  <c r="O31" i="3"/>
  <c r="O20" i="3"/>
  <c r="B31" i="3"/>
  <c r="B30" i="3"/>
  <c r="B29" i="3"/>
  <c r="B28" i="3"/>
  <c r="B27" i="3"/>
  <c r="B26" i="3"/>
  <c r="B25" i="3"/>
  <c r="B24" i="3"/>
  <c r="B23" i="3"/>
  <c r="B22" i="3"/>
  <c r="B21" i="3"/>
  <c r="A11" i="3"/>
  <c r="G12" i="3"/>
  <c r="A13" i="3"/>
  <c r="A12" i="3"/>
  <c r="B20" i="3"/>
  <c r="B15" i="2"/>
  <c r="B13" i="2"/>
  <c r="B12" i="2"/>
  <c r="H39" i="2"/>
  <c r="H38" i="2"/>
  <c r="H35" i="2"/>
  <c r="H29" i="2"/>
  <c r="B14" i="2"/>
  <c r="B11" i="2"/>
  <c r="F84" i="1" l="1"/>
  <c r="E84" i="1"/>
  <c r="E135" i="1"/>
  <c r="E179" i="1"/>
  <c r="E178" i="1"/>
  <c r="E99" i="1"/>
  <c r="E98" i="1" l="1"/>
  <c r="L112" i="1"/>
  <c r="E96" i="1"/>
  <c r="E103" i="1" s="1"/>
  <c r="E97" i="1"/>
  <c r="E102" i="1" s="1"/>
  <c r="E95" i="1"/>
  <c r="E101" i="1" s="1"/>
  <c r="E40" i="1"/>
  <c r="E37" i="1"/>
  <c r="E56" i="1"/>
  <c r="E35" i="1"/>
  <c r="E34" i="1"/>
  <c r="E36" i="1"/>
  <c r="E32" i="1"/>
  <c r="E31" i="1"/>
  <c r="E30" i="1"/>
  <c r="E39" i="1"/>
  <c r="E38" i="1"/>
  <c r="E20" i="1"/>
  <c r="E21" i="1"/>
  <c r="E19" i="1"/>
  <c r="E16" i="1"/>
  <c r="E74" i="1"/>
  <c r="E83" i="1"/>
  <c r="E23" i="1"/>
  <c r="E24" i="1"/>
  <c r="E82" i="1" l="1"/>
  <c r="E79" i="1" l="1"/>
  <c r="E78" i="1"/>
  <c r="E77" i="1"/>
  <c r="E75" i="1"/>
  <c r="E81" i="1"/>
  <c r="E72" i="1"/>
  <c r="E68" i="1"/>
  <c r="E67" i="1"/>
  <c r="E66" i="1"/>
  <c r="E70" i="1"/>
  <c r="E60" i="1"/>
  <c r="E61" i="1" s="1"/>
  <c r="E59" i="1"/>
  <c r="E55" i="1"/>
  <c r="E54" i="1"/>
  <c r="E62" i="1" l="1"/>
  <c r="E63" i="1"/>
  <c r="E47" i="1"/>
  <c r="E45" i="1"/>
  <c r="E46" i="1"/>
  <c r="E50" i="1"/>
  <c r="E64" i="1"/>
  <c r="E53" i="1"/>
  <c r="E42" i="1"/>
  <c r="E43" i="1" s="1"/>
  <c r="E28" i="1"/>
  <c r="E33" i="1"/>
  <c r="E27" i="1"/>
  <c r="E26" i="1"/>
  <c r="E25" i="1"/>
  <c r="E18" i="1"/>
  <c r="E17" i="1"/>
  <c r="E197" i="1"/>
  <c r="E188" i="1"/>
  <c r="E187" i="1"/>
  <c r="E185" i="1"/>
  <c r="E184" i="1"/>
  <c r="F183" i="1"/>
  <c r="L16" i="1"/>
  <c r="G16" i="1" s="1"/>
  <c r="E52" i="1" l="1"/>
  <c r="E58" i="1" s="1"/>
  <c r="E57" i="1" s="1"/>
  <c r="E44" i="1"/>
  <c r="E193" i="1"/>
  <c r="E194" i="1" s="1"/>
  <c r="E195" i="1" s="1"/>
  <c r="H16" i="1"/>
  <c r="E198" i="1"/>
  <c r="L17" i="1"/>
  <c r="G17" i="1" s="1"/>
  <c r="H17" i="1" s="1"/>
  <c r="E199" i="1" l="1"/>
  <c r="L18" i="1"/>
  <c r="L21" i="1" l="1"/>
  <c r="L22" i="1" s="1"/>
  <c r="L19" i="1"/>
  <c r="G18" i="1"/>
  <c r="H18" i="1" s="1"/>
  <c r="G21" i="1" l="1"/>
  <c r="H21" i="1" s="1"/>
  <c r="G19" i="1"/>
  <c r="H19" i="1" s="1"/>
  <c r="L20" i="1"/>
  <c r="G20" i="1" s="1"/>
  <c r="H20" i="1" s="1"/>
  <c r="L23" i="1"/>
  <c r="L24" i="1" s="1"/>
  <c r="G24" i="1" s="1"/>
  <c r="H24" i="1" s="1"/>
  <c r="H15" i="1" l="1"/>
  <c r="C20" i="3" s="1"/>
  <c r="G23" i="1"/>
  <c r="H23" i="1" s="1"/>
  <c r="L25" i="1"/>
  <c r="G20" i="3" l="1"/>
  <c r="M20" i="3"/>
  <c r="E20" i="3"/>
  <c r="I20" i="3"/>
  <c r="K20" i="3"/>
  <c r="L26" i="1"/>
  <c r="G25" i="1"/>
  <c r="H25" i="1" s="1"/>
  <c r="L27" i="1" l="1"/>
  <c r="G26" i="1"/>
  <c r="H26" i="1" s="1"/>
  <c r="L28" i="1" l="1"/>
  <c r="G27" i="1"/>
  <c r="H27" i="1" s="1"/>
  <c r="L29" i="1" l="1"/>
  <c r="L30" i="1" s="1"/>
  <c r="L35" i="1" s="1"/>
  <c r="G28" i="1"/>
  <c r="H28" i="1" s="1"/>
  <c r="H22" i="1" s="1"/>
  <c r="C21" i="3" s="1"/>
  <c r="M21" i="3" l="1"/>
  <c r="K21" i="3"/>
  <c r="G21" i="3"/>
  <c r="E21" i="3"/>
  <c r="I21" i="3"/>
  <c r="L31" i="1"/>
  <c r="G30" i="1"/>
  <c r="H30" i="1" s="1"/>
  <c r="L34" i="1"/>
  <c r="L39" i="1" s="1"/>
  <c r="G39" i="1" s="1"/>
  <c r="H39" i="1" s="1"/>
  <c r="L40" i="1" l="1"/>
  <c r="G40" i="1" s="1"/>
  <c r="H40" i="1" s="1"/>
  <c r="L36" i="1"/>
  <c r="G36" i="1" s="1"/>
  <c r="H36" i="1" s="1"/>
  <c r="L32" i="1"/>
  <c r="G31" i="1"/>
  <c r="H31" i="1" s="1"/>
  <c r="G34" i="1"/>
  <c r="H34" i="1" s="1"/>
  <c r="L41" i="1" l="1"/>
  <c r="L42" i="1" s="1"/>
  <c r="G42" i="1" s="1"/>
  <c r="H42" i="1" s="1"/>
  <c r="L37" i="1"/>
  <c r="G37" i="1" s="1"/>
  <c r="H37" i="1" s="1"/>
  <c r="G35" i="1"/>
  <c r="H35" i="1" s="1"/>
  <c r="L33" i="1"/>
  <c r="G32" i="1"/>
  <c r="H32" i="1" s="1"/>
  <c r="G33" i="1" l="1"/>
  <c r="H33" i="1" s="1"/>
  <c r="L38" i="1"/>
  <c r="G38" i="1" s="1"/>
  <c r="H38" i="1" s="1"/>
  <c r="L43" i="1"/>
  <c r="G43" i="1" s="1"/>
  <c r="H43" i="1" s="1"/>
  <c r="H29" i="1" l="1"/>
  <c r="C22" i="3" s="1"/>
  <c r="L44" i="1"/>
  <c r="L45" i="1" s="1"/>
  <c r="K22" i="3" l="1"/>
  <c r="I22" i="3"/>
  <c r="M22" i="3"/>
  <c r="G22" i="3"/>
  <c r="E22" i="3"/>
  <c r="G44" i="1"/>
  <c r="H44" i="1" s="1"/>
  <c r="L46" i="1"/>
  <c r="L47" i="1" s="1"/>
  <c r="G47" i="1" s="1"/>
  <c r="H47" i="1" s="1"/>
  <c r="G45" i="1"/>
  <c r="H45" i="1" s="1"/>
  <c r="G46" i="1" l="1"/>
  <c r="H46" i="1" s="1"/>
  <c r="L48" i="1"/>
  <c r="G48" i="1" l="1"/>
  <c r="H48" i="1" s="1"/>
  <c r="L49" i="1"/>
  <c r="G49" i="1" l="1"/>
  <c r="H49" i="1" s="1"/>
  <c r="L50" i="1"/>
  <c r="L51" i="1" l="1"/>
  <c r="L52" i="1" s="1"/>
  <c r="G50" i="1"/>
  <c r="H50" i="1" s="1"/>
  <c r="H41" i="1" s="1"/>
  <c r="C23" i="3" s="1"/>
  <c r="G23" i="3" l="1"/>
  <c r="M23" i="3"/>
  <c r="E23" i="3"/>
  <c r="K23" i="3"/>
  <c r="I23" i="3"/>
  <c r="G52" i="1"/>
  <c r="H52" i="1" s="1"/>
  <c r="L53" i="1"/>
  <c r="L54" i="1" l="1"/>
  <c r="G53" i="1"/>
  <c r="H53" i="1" s="1"/>
  <c r="L57" i="1" l="1"/>
  <c r="G57" i="1" s="1"/>
  <c r="H57" i="1" s="1"/>
  <c r="L55" i="1"/>
  <c r="G54" i="1"/>
  <c r="H54" i="1" s="1"/>
  <c r="L64" i="1"/>
  <c r="G55" i="1" l="1"/>
  <c r="H55" i="1" s="1"/>
  <c r="L56" i="1"/>
  <c r="G56" i="1" s="1"/>
  <c r="H56" i="1" s="1"/>
  <c r="L58" i="1"/>
  <c r="L59" i="1" s="1"/>
  <c r="G64" i="1"/>
  <c r="H64" i="1" s="1"/>
  <c r="L65" i="1"/>
  <c r="L66" i="1" s="1"/>
  <c r="G58" i="1" l="1"/>
  <c r="H58" i="1" s="1"/>
  <c r="G59" i="1"/>
  <c r="H59" i="1" s="1"/>
  <c r="L60" i="1"/>
  <c r="L61" i="1" s="1"/>
  <c r="L67" i="1"/>
  <c r="G66" i="1"/>
  <c r="H66" i="1" s="1"/>
  <c r="G61" i="1" l="1"/>
  <c r="H61" i="1" s="1"/>
  <c r="L62" i="1"/>
  <c r="G60" i="1"/>
  <c r="H60" i="1" s="1"/>
  <c r="L63" i="1"/>
  <c r="G63" i="1" s="1"/>
  <c r="H63" i="1" s="1"/>
  <c r="G67" i="1"/>
  <c r="H67" i="1" s="1"/>
  <c r="L68" i="1"/>
  <c r="G62" i="1" l="1"/>
  <c r="H62" i="1" s="1"/>
  <c r="H51" i="1" s="1"/>
  <c r="C24" i="3" s="1"/>
  <c r="G68" i="1"/>
  <c r="H68" i="1" s="1"/>
  <c r="L69" i="1"/>
  <c r="I24" i="3" l="1"/>
  <c r="M24" i="3"/>
  <c r="K24" i="3"/>
  <c r="G24" i="3"/>
  <c r="E24" i="3"/>
  <c r="L70" i="1"/>
  <c r="G69" i="1"/>
  <c r="H69" i="1" s="1"/>
  <c r="L71" i="1" l="1"/>
  <c r="G70" i="1"/>
  <c r="H70" i="1" s="1"/>
  <c r="G71" i="1" l="1"/>
  <c r="H71" i="1" s="1"/>
  <c r="L72" i="1"/>
  <c r="G72" i="1" l="1"/>
  <c r="H72" i="1" s="1"/>
  <c r="H65" i="1" s="1"/>
  <c r="C25" i="3" s="1"/>
  <c r="L73" i="1"/>
  <c r="L74" i="1" s="1"/>
  <c r="M25" i="3" l="1"/>
  <c r="I25" i="3"/>
  <c r="K25" i="3"/>
  <c r="G25" i="3"/>
  <c r="E25" i="3"/>
  <c r="L75" i="1"/>
  <c r="G74" i="1" l="1"/>
  <c r="H74" i="1" s="1"/>
  <c r="L81" i="1" l="1"/>
  <c r="L89" i="1" s="1"/>
  <c r="L76" i="1"/>
  <c r="L82" i="1" s="1"/>
  <c r="L90" i="1" s="1"/>
  <c r="G75" i="1"/>
  <c r="H75" i="1" s="1"/>
  <c r="L84" i="1"/>
  <c r="G90" i="1" l="1"/>
  <c r="H90" i="1" s="1"/>
  <c r="L103" i="1"/>
  <c r="L115" i="1" s="1"/>
  <c r="L126" i="1" s="1"/>
  <c r="G89" i="1"/>
  <c r="H89" i="1" s="1"/>
  <c r="L102" i="1"/>
  <c r="L114" i="1" s="1"/>
  <c r="L95" i="1"/>
  <c r="L92" i="1"/>
  <c r="L107" i="1" s="1"/>
  <c r="G82" i="1"/>
  <c r="H82" i="1" s="1"/>
  <c r="G81" i="1"/>
  <c r="H81" i="1" s="1"/>
  <c r="L77" i="1"/>
  <c r="L83" i="1" s="1"/>
  <c r="L91" i="1" s="1"/>
  <c r="G76" i="1"/>
  <c r="H76" i="1" s="1"/>
  <c r="G84" i="1"/>
  <c r="H84" i="1" s="1"/>
  <c r="L117" i="1" l="1"/>
  <c r="L129" i="1" s="1"/>
  <c r="L139" i="1" s="1"/>
  <c r="G107" i="1"/>
  <c r="L125" i="1"/>
  <c r="L138" i="1" s="1"/>
  <c r="L145" i="1" s="1"/>
  <c r="L96" i="1"/>
  <c r="L108" i="1"/>
  <c r="L120" i="1" s="1"/>
  <c r="G91" i="1"/>
  <c r="H91" i="1" s="1"/>
  <c r="L104" i="1"/>
  <c r="L116" i="1" s="1"/>
  <c r="G95" i="1"/>
  <c r="H95" i="1" s="1"/>
  <c r="L93" i="1"/>
  <c r="G92" i="1"/>
  <c r="H92" i="1" s="1"/>
  <c r="G83" i="1"/>
  <c r="H83" i="1" s="1"/>
  <c r="L78" i="1"/>
  <c r="L87" i="1" s="1"/>
  <c r="G77" i="1"/>
  <c r="H77" i="1" s="1"/>
  <c r="G129" i="1" l="1"/>
  <c r="H129" i="1" s="1"/>
  <c r="L134" i="1"/>
  <c r="L142" i="1" s="1"/>
  <c r="L132" i="1"/>
  <c r="G132" i="1" s="1"/>
  <c r="H132" i="1" s="1"/>
  <c r="L150" i="1"/>
  <c r="L151" i="1" s="1"/>
  <c r="L128" i="1"/>
  <c r="L127" i="1"/>
  <c r="G127" i="1" s="1"/>
  <c r="H127" i="1" s="1"/>
  <c r="G93" i="1"/>
  <c r="H93" i="1" s="1"/>
  <c r="L106" i="1"/>
  <c r="L118" i="1" s="1"/>
  <c r="G108" i="1"/>
  <c r="H108" i="1" s="1"/>
  <c r="L109" i="1"/>
  <c r="L121" i="1" s="1"/>
  <c r="L97" i="1"/>
  <c r="L98" i="1" s="1"/>
  <c r="G98" i="1" s="1"/>
  <c r="H98" i="1" s="1"/>
  <c r="G96" i="1"/>
  <c r="H96" i="1" s="1"/>
  <c r="G102" i="1"/>
  <c r="H102" i="1" s="1"/>
  <c r="G103" i="1"/>
  <c r="H103" i="1" s="1"/>
  <c r="L99" i="1"/>
  <c r="G87" i="1"/>
  <c r="H87" i="1" s="1"/>
  <c r="L79" i="1"/>
  <c r="L80" i="1" s="1"/>
  <c r="G78" i="1"/>
  <c r="H78" i="1" s="1"/>
  <c r="G151" i="1" l="1"/>
  <c r="H151" i="1" s="1"/>
  <c r="L160" i="1"/>
  <c r="G160" i="1" s="1"/>
  <c r="H160" i="1" s="1"/>
  <c r="L135" i="1"/>
  <c r="L133" i="1"/>
  <c r="G133" i="1" s="1"/>
  <c r="H133" i="1" s="1"/>
  <c r="L111" i="1"/>
  <c r="L123" i="1" s="1"/>
  <c r="L136" i="1" s="1"/>
  <c r="L143" i="1" s="1"/>
  <c r="L147" i="1" s="1"/>
  <c r="G99" i="1"/>
  <c r="H99" i="1" s="1"/>
  <c r="G97" i="1"/>
  <c r="H97" i="1" s="1"/>
  <c r="L110" i="1"/>
  <c r="L122" i="1" s="1"/>
  <c r="L130" i="1"/>
  <c r="L140" i="1" s="1"/>
  <c r="L119" i="1"/>
  <c r="L131" i="1" s="1"/>
  <c r="L141" i="1" s="1"/>
  <c r="H107" i="1"/>
  <c r="G104" i="1"/>
  <c r="H104" i="1" s="1"/>
  <c r="G80" i="1"/>
  <c r="H80" i="1" s="1"/>
  <c r="L88" i="1"/>
  <c r="G79" i="1"/>
  <c r="H79" i="1" s="1"/>
  <c r="L156" i="1" l="1"/>
  <c r="L154" i="1"/>
  <c r="L163" i="1" s="1"/>
  <c r="L157" i="1"/>
  <c r="L166" i="1" s="1"/>
  <c r="L146" i="1"/>
  <c r="L153" i="1" s="1"/>
  <c r="G119" i="1"/>
  <c r="H119" i="1" s="1"/>
  <c r="H73" i="1"/>
  <c r="C26" i="3" s="1"/>
  <c r="G110" i="1"/>
  <c r="H110" i="1" s="1"/>
  <c r="L101" i="1"/>
  <c r="L113" i="1" s="1"/>
  <c r="L124" i="1" s="1"/>
  <c r="G88" i="1"/>
  <c r="H88" i="1" s="1"/>
  <c r="G109" i="1"/>
  <c r="H109" i="1" s="1"/>
  <c r="L167" i="1" l="1"/>
  <c r="L171" i="1" s="1"/>
  <c r="L184" i="1" s="1"/>
  <c r="L197" i="1" s="1"/>
  <c r="L165" i="1"/>
  <c r="L169" i="1" s="1"/>
  <c r="L182" i="1" s="1"/>
  <c r="L195" i="1" s="1"/>
  <c r="L162" i="1"/>
  <c r="L161" i="1"/>
  <c r="L158" i="1"/>
  <c r="L168" i="1" s="1"/>
  <c r="I26" i="3"/>
  <c r="M26" i="3"/>
  <c r="G26" i="3"/>
  <c r="E26" i="3"/>
  <c r="K26" i="3"/>
  <c r="L137" i="1"/>
  <c r="G113" i="1"/>
  <c r="H113" i="1" s="1"/>
  <c r="G120" i="1"/>
  <c r="H120" i="1" s="1"/>
  <c r="G111" i="1"/>
  <c r="H111" i="1" s="1"/>
  <c r="G118" i="1"/>
  <c r="H118" i="1" s="1"/>
  <c r="G101" i="1"/>
  <c r="H101" i="1" s="1"/>
  <c r="L178" i="1" l="1"/>
  <c r="L191" i="1" s="1"/>
  <c r="L176" i="1"/>
  <c r="L189" i="1" s="1"/>
  <c r="L159" i="1"/>
  <c r="L144" i="1"/>
  <c r="L148" i="1" s="1"/>
  <c r="G106" i="1"/>
  <c r="H106" i="1" s="1"/>
  <c r="G128" i="1"/>
  <c r="H128" i="1" s="1"/>
  <c r="G148" i="1" l="1"/>
  <c r="H148" i="1" s="1"/>
  <c r="L172" i="1"/>
  <c r="L185" i="1" s="1"/>
  <c r="L198" i="1" s="1"/>
  <c r="L149" i="1"/>
  <c r="L152" i="1"/>
  <c r="G123" i="1"/>
  <c r="H123" i="1" s="1"/>
  <c r="G138" i="1"/>
  <c r="H138" i="1" s="1"/>
  <c r="G130" i="1"/>
  <c r="H130" i="1" s="1"/>
  <c r="L175" i="1" l="1"/>
  <c r="L188" i="1" s="1"/>
  <c r="L170" i="1"/>
  <c r="L183" i="1" s="1"/>
  <c r="L196" i="1" s="1"/>
  <c r="L173" i="1"/>
  <c r="L155" i="1"/>
  <c r="L179" i="1"/>
  <c r="L180" i="1"/>
  <c r="L193" i="1" s="1"/>
  <c r="L177" i="1"/>
  <c r="L190" i="1" s="1"/>
  <c r="G114" i="1"/>
  <c r="H114" i="1" s="1"/>
  <c r="G131" i="1"/>
  <c r="H131" i="1" s="1"/>
  <c r="G143" i="1"/>
  <c r="H143" i="1" s="1"/>
  <c r="L164" i="1" l="1"/>
  <c r="L186" i="1"/>
  <c r="L199" i="1" s="1"/>
  <c r="L194" i="1"/>
  <c r="L187" i="1"/>
  <c r="G179" i="1"/>
  <c r="H179" i="1" s="1"/>
  <c r="L192" i="1"/>
  <c r="G124" i="1"/>
  <c r="H124" i="1" s="1"/>
  <c r="G115" i="1"/>
  <c r="H115" i="1" s="1"/>
  <c r="G116" i="1" l="1"/>
  <c r="H116" i="1" s="1"/>
  <c r="G135" i="1"/>
  <c r="H135" i="1" s="1"/>
  <c r="G139" i="1"/>
  <c r="H139" i="1" s="1"/>
  <c r="G147" i="1"/>
  <c r="H147" i="1" s="1"/>
  <c r="G144" i="1"/>
  <c r="H144" i="1" s="1"/>
  <c r="G154" i="1"/>
  <c r="H154" i="1" s="1"/>
  <c r="G140" i="1" l="1"/>
  <c r="H140" i="1" s="1"/>
  <c r="G125" i="1"/>
  <c r="H125" i="1" s="1"/>
  <c r="G117" i="1"/>
  <c r="H117" i="1" s="1"/>
  <c r="H85" i="1" s="1"/>
  <c r="C27" i="3" s="1"/>
  <c r="G155" i="1"/>
  <c r="H155" i="1" s="1"/>
  <c r="G161" i="1"/>
  <c r="H161" i="1" s="1"/>
  <c r="G145" i="1"/>
  <c r="H145" i="1" s="1"/>
  <c r="E27" i="3" l="1"/>
  <c r="M27" i="3"/>
  <c r="K27" i="3"/>
  <c r="G27" i="3"/>
  <c r="I27" i="3"/>
  <c r="G141" i="1"/>
  <c r="H141" i="1" s="1"/>
  <c r="G126" i="1"/>
  <c r="H126" i="1" s="1"/>
  <c r="G136" i="1"/>
  <c r="H136" i="1" s="1"/>
  <c r="G165" i="1"/>
  <c r="H165" i="1" s="1"/>
  <c r="G162" i="1"/>
  <c r="H162" i="1" s="1"/>
  <c r="G149" i="1"/>
  <c r="H149" i="1" s="1"/>
  <c r="G156" i="1"/>
  <c r="H156" i="1" s="1"/>
  <c r="G142" i="1" l="1"/>
  <c r="H142" i="1" s="1"/>
  <c r="G150" i="1"/>
  <c r="H150" i="1" s="1"/>
  <c r="G137" i="1"/>
  <c r="H137" i="1" s="1"/>
  <c r="G171" i="1"/>
  <c r="H171" i="1" s="1"/>
  <c r="G170" i="1"/>
  <c r="H170" i="1" s="1"/>
  <c r="G180" i="1"/>
  <c r="H180" i="1" s="1"/>
  <c r="G169" i="1"/>
  <c r="H169" i="1" s="1"/>
  <c r="G178" i="1"/>
  <c r="H178" i="1" s="1"/>
  <c r="G157" i="1" l="1"/>
  <c r="H157" i="1" s="1"/>
  <c r="G152" i="1"/>
  <c r="H152" i="1" s="1"/>
  <c r="G166" i="1"/>
  <c r="H166" i="1" s="1"/>
  <c r="G172" i="1"/>
  <c r="H172" i="1" s="1"/>
  <c r="G163" i="1"/>
  <c r="H163" i="1" s="1"/>
  <c r="G164" i="1" l="1"/>
  <c r="H164" i="1" s="1"/>
  <c r="G158" i="1"/>
  <c r="H158" i="1" s="1"/>
  <c r="G146" i="1"/>
  <c r="H146" i="1" s="1"/>
  <c r="G173" i="1"/>
  <c r="H173" i="1" s="1"/>
  <c r="G153" i="1" l="1"/>
  <c r="H153" i="1" s="1"/>
  <c r="G159" i="1" l="1"/>
  <c r="H159" i="1" s="1"/>
  <c r="G167" i="1"/>
  <c r="H167" i="1" s="1"/>
  <c r="G175" i="1"/>
  <c r="H175" i="1" s="1"/>
  <c r="G176" i="1" l="1"/>
  <c r="H176" i="1" s="1"/>
  <c r="G168" i="1"/>
  <c r="H168" i="1" s="1"/>
  <c r="G177" i="1" l="1"/>
  <c r="H177" i="1" s="1"/>
  <c r="H121" i="1" l="1"/>
  <c r="C28" i="3" s="1"/>
  <c r="G28" i="3" s="1"/>
  <c r="G182" i="1"/>
  <c r="H182" i="1" s="1"/>
  <c r="I28" i="3" l="1"/>
  <c r="K28" i="3"/>
  <c r="E28" i="3"/>
  <c r="M28" i="3"/>
  <c r="G183" i="1"/>
  <c r="H183" i="1" s="1"/>
  <c r="G184" i="1" l="1"/>
  <c r="H184" i="1" s="1"/>
  <c r="G185" i="1" l="1"/>
  <c r="H185" i="1" s="1"/>
  <c r="G186" i="1" l="1"/>
  <c r="H186" i="1" s="1"/>
  <c r="G187" i="1" l="1"/>
  <c r="H187" i="1" s="1"/>
  <c r="G189" i="1" l="1"/>
  <c r="H189" i="1" s="1"/>
  <c r="G190" i="1"/>
  <c r="H190" i="1" s="1"/>
  <c r="G188" i="1"/>
  <c r="H188" i="1" s="1"/>
  <c r="G191" i="1" l="1"/>
  <c r="H191" i="1" s="1"/>
  <c r="H181" i="1" s="1"/>
  <c r="C29" i="3" s="1"/>
  <c r="G29" i="3" l="1"/>
  <c r="E29" i="3"/>
  <c r="M29" i="3"/>
  <c r="I29" i="3"/>
  <c r="K29" i="3"/>
  <c r="G193" i="1"/>
  <c r="H193" i="1" s="1"/>
  <c r="G194" i="1" l="1"/>
  <c r="H194" i="1" s="1"/>
  <c r="G195" i="1" l="1"/>
  <c r="H195" i="1" s="1"/>
  <c r="H192" i="1" s="1"/>
  <c r="C30" i="3" s="1"/>
  <c r="K30" i="3" l="1"/>
  <c r="M30" i="3"/>
  <c r="E30" i="3"/>
  <c r="G30" i="3"/>
  <c r="I30" i="3"/>
  <c r="G197" i="1"/>
  <c r="H197" i="1" s="1"/>
  <c r="G199" i="1" l="1"/>
  <c r="H199" i="1" s="1"/>
  <c r="G198" i="1"/>
  <c r="H198" i="1" s="1"/>
  <c r="H196" i="1" l="1"/>
  <c r="I200" i="1"/>
  <c r="J200" i="1" s="1"/>
  <c r="G200" i="1" l="1"/>
  <c r="C31" i="3"/>
  <c r="I31" i="3" l="1"/>
  <c r="I33" i="3" s="1"/>
  <c r="M31" i="3"/>
  <c r="M33" i="3" s="1"/>
  <c r="E31" i="3"/>
  <c r="E33" i="3" s="1"/>
  <c r="K31" i="3"/>
  <c r="K33" i="3" s="1"/>
  <c r="G31" i="3"/>
  <c r="G33" i="3" s="1"/>
  <c r="C33" i="3"/>
  <c r="L33" i="3" l="1"/>
  <c r="D26" i="3"/>
  <c r="D20" i="3"/>
  <c r="D21" i="3"/>
  <c r="D22" i="3"/>
  <c r="D23" i="3"/>
  <c r="D24" i="3"/>
  <c r="D25" i="3"/>
  <c r="D27" i="3"/>
  <c r="D28" i="3"/>
  <c r="D29" i="3"/>
  <c r="D30" i="3"/>
  <c r="H33" i="3"/>
  <c r="E34" i="3"/>
  <c r="F34" i="3" s="1"/>
  <c r="F33" i="3"/>
  <c r="D31" i="3"/>
  <c r="N33" i="3"/>
  <c r="J33" i="3"/>
  <c r="D33" i="3" l="1"/>
  <c r="G34" i="3"/>
  <c r="I34" i="3" l="1"/>
  <c r="H34" i="3"/>
  <c r="K34" i="3" l="1"/>
  <c r="J34" i="3"/>
  <c r="L34" i="3" l="1"/>
  <c r="M34" i="3"/>
  <c r="N34" i="3" s="1"/>
</calcChain>
</file>

<file path=xl/sharedStrings.xml><?xml version="1.0" encoding="utf-8"?>
<sst xmlns="http://schemas.openxmlformats.org/spreadsheetml/2006/main" count="643" uniqueCount="455">
  <si>
    <t>Av.: Jardim Panorama, 357 - Sumaré - Fone:(47)999886066</t>
  </si>
  <si>
    <t>89.165-726 - Rio do Sul - S.C. - CREA/SC nº 062.634-6</t>
  </si>
  <si>
    <t>CNPJ nº05.309.557/0001-22  I.E. nº 254.468.250</t>
  </si>
  <si>
    <t>e-mail:melimconstrutora@gmail.com</t>
  </si>
  <si>
    <t>B.D.I.</t>
  </si>
  <si>
    <t>B.D.I.: 23,31%</t>
  </si>
  <si>
    <t>ORÇAMENTO</t>
  </si>
  <si>
    <t>ITEM</t>
  </si>
  <si>
    <t>SINAPI</t>
  </si>
  <si>
    <t>SERVIÇO/INSUMO</t>
  </si>
  <si>
    <t>UNID.</t>
  </si>
  <si>
    <t>QUANT.</t>
  </si>
  <si>
    <t>PREÇO UNIT. S/ BDI</t>
  </si>
  <si>
    <t>PREÇO UNIT. C/ BDI</t>
  </si>
  <si>
    <t>PREÇO TOTAL</t>
  </si>
  <si>
    <t>SERVIÇOS INICIAIS</t>
  </si>
  <si>
    <t>1.1</t>
  </si>
  <si>
    <t>FORNECIMENTO E INSTALAÇÃO DE PLACA DE OBRA COM CHAPA GALVANIZADA E ESTRUTURA DE MADEIRA. AF_03/2022_PS</t>
  </si>
  <si>
    <t>m²</t>
  </si>
  <si>
    <t>1.2</t>
  </si>
  <si>
    <t>m³</t>
  </si>
  <si>
    <t>1.3</t>
  </si>
  <si>
    <t>1.4</t>
  </si>
  <si>
    <t>un.</t>
  </si>
  <si>
    <t>m</t>
  </si>
  <si>
    <t>ALVENARIA/REVESTIMENTOS VERTICAIS</t>
  </si>
  <si>
    <t>2.1</t>
  </si>
  <si>
    <t>2.2</t>
  </si>
  <si>
    <t>CHAPISCO APLICADO EM ALVENARIAS E ESTRUTURAS DE CONCRETO INTERNAS, COM COLHER DE PEDREIRO. ARGAMASSA TRAÇO 1:3 COM PREPARO MANUAL. AF_10/2022</t>
  </si>
  <si>
    <t>2.3</t>
  </si>
  <si>
    <t>MASSA ÚNICA, EM ARGAMASSA TRAÇO 1:2:8, PREPARO MECÂNICO, APLICADA MANUALMENTE EM PAREDES INTERNAS DE AMBIENTES COM ÁREA MAIOR QUE 10M², E = 17,5MM, COM TALISCAS. AF_03/2024</t>
  </si>
  <si>
    <t>2.4</t>
  </si>
  <si>
    <t>2.5</t>
  </si>
  <si>
    <t>REVESTIMENTO CERÂMICO PARA PISO COM PLACAS TIPO ESMALTADA DE DIMENSÕES 45X45 CM APLICADA EM AMBIENTES DE ÁREA MAIOR QUE 10 M2. AF_02/2023_PE</t>
  </si>
  <si>
    <t>RASGO LINEAR MANUAL EM ALVENARIA, PARA RAMAIS/ DISTRIBUIÇÃO DE INSTALAÇÕES HIDRÁULICAS, DIÂMETROS MENORES OU IGUAIS A 40 MM. AF_09/2023</t>
  </si>
  <si>
    <t>CHUMBAMENTO LINEAR EM ALVENARIA PARA RAMAIS/DISTRIBUIÇÃO DE INSTALAÇÕES HIDRÁULICAS COM DIÂMETROS MENORES OU IGUAIS A 40 MM. AF_09/2023</t>
  </si>
  <si>
    <t>VERGA MOLDADA IN LOCO EM CONCRETO, ESPESSURA DE *15* CM. AF_03/2024</t>
  </si>
  <si>
    <t>PISOS/ REVESTIMENTOS HORIZONTAIS</t>
  </si>
  <si>
    <t>3.1</t>
  </si>
  <si>
    <t>CONTRAPISO EM ARGAMASSA TRAÇO 1:4 (CIMENTO E AREIA), PREPARO MECÂNICO COM BETONEIRA 400 L, APLICADO EM ÁREAS SECAS SOBRE LAJE, ADERIDO, ACABAMENTO NÃO REFORÇADO, ESPESSURA 3CM. AF_07/2021</t>
  </si>
  <si>
    <t>3.2</t>
  </si>
  <si>
    <t>3.3</t>
  </si>
  <si>
    <t>REVESTIMENTO CERÂMICO PARA PISO COM PLACAS TIPO ESMALTADA DE DIMENSÕES 45X45 CM APLICADA EM AMBIENTES DE ÁREA ENTRE 5 M2 E 10 M2. AF_02/2023_PE</t>
  </si>
  <si>
    <t>3.4</t>
  </si>
  <si>
    <t>REVESTIMENTO CERÂMICO PARA PISO COM PLACAS TIPO ESMALTADA DE DIMENSÕES 45X45 CM APLICADA EM AMBIENTES DE ÁREA MENOR QUE 5 M2. AF_02/2023_PE</t>
  </si>
  <si>
    <t>3.5</t>
  </si>
  <si>
    <t xml:space="preserve"> SOLEIRA EM GRANITO, LARGURA 15 CM, ESPESSURA 2,0 CM. AF_09/2020</t>
  </si>
  <si>
    <t>ESQUADRIAS</t>
  </si>
  <si>
    <t>4.1</t>
  </si>
  <si>
    <t>4.2</t>
  </si>
  <si>
    <t>JANELA DE ALUMÍNIO TIPO MAXIM-AR, BATENTE/ REQUADRO 3 A 14 CM, VIDRO INCLUSO, FIXAÇÃO COM PARAFUSO, SEM GUARNIÇÃO/ ALIZAR, SEM ACABAMENTO, VEDAÇÃO COM SILICONE, EXCLUSIVE CONTRAMARCO - FORNECIMENTO E INSTALAÇÃO. AF_11/2024</t>
  </si>
  <si>
    <t>4.3</t>
  </si>
  <si>
    <t>4.4</t>
  </si>
  <si>
    <t>4.5</t>
  </si>
  <si>
    <t>FECHADURA DE EMBUTIR COM CILINDRO, EXTERNA, COMPLETA, ACABAMENTO PADRÃO MÉDIO, INCLUSO EXECUÇÃO DE FURO - FORNECIMENTO E INSTALAÇÃO. AF_12/2019</t>
  </si>
  <si>
    <t>4.6</t>
  </si>
  <si>
    <t>4.7</t>
  </si>
  <si>
    <t>PEITORIL LINEAR EM GRANITO OU MÁRMORE, L = 15CM, ASSENTADO COM ARGAMASSA 1:6 COM ADITIVO. AF_11/2020</t>
  </si>
  <si>
    <t>COBERTURA/FORRO</t>
  </si>
  <si>
    <t>5.1</t>
  </si>
  <si>
    <t>5.2</t>
  </si>
  <si>
    <t>FORRO EM RÉGUAS DE PVC, LISO, PARA AMBIENTES COMERCIAIS, INCLUSIVE ESTRUTURA BIDIRECIONAL DE FIXAÇÃO. AF_08/2023_PS</t>
  </si>
  <si>
    <t>5.3</t>
  </si>
  <si>
    <t>5.4</t>
  </si>
  <si>
    <t>5.5</t>
  </si>
  <si>
    <t>SUBCOBERTURA COM MANTA PLÁSTICA REVESTIDA POR PELÍCULA DE ALUMÍNO, INCLUSO TRANSPORTE VERTICAL. AF_07/2019</t>
  </si>
  <si>
    <t>6.1</t>
  </si>
  <si>
    <t>6.2</t>
  </si>
  <si>
    <t>6.3</t>
  </si>
  <si>
    <t>6.4</t>
  </si>
  <si>
    <t>6.5</t>
  </si>
  <si>
    <t>DISJUNTOR MONOPOLAR TIPO DIN, CORRENTE NOMINAL DE 50A - FORNECIMENTO E INSTALAÇÃO. AF_07/2025</t>
  </si>
  <si>
    <t>6.6</t>
  </si>
  <si>
    <t>6.8</t>
  </si>
  <si>
    <t>TOMADA BAIXA DE EMBUTIR (1 MÓDULO), 2P+T 10 A, INCLUINDO SUPORTE E PLACA - FORNECIMENTO E INSTALAÇÃO. AF_03/2023</t>
  </si>
  <si>
    <t>INTERRUPTOR SIMPLES (1 MÓDULO), 10A/250V, INCLUINDO SUPORTE E PLACA - FORNECIMENTO E INSTALAÇÃO. AF_03/2023</t>
  </si>
  <si>
    <t>CAIXA DE INSPEÇÃO PARA ATERRAMENTO, CIRCULAR, EM POLIETILENO, DIÂMETRO INTERNO = 0,3 M. AF_12/2020</t>
  </si>
  <si>
    <t>CONECTOR GRAMPO PARALELO METÁLICO, PARA SPDA, PARA CABOS DE 6 A 50 MM2 - FORNECIMENTO E INSTALAÇÃO. AF_08/2023</t>
  </si>
  <si>
    <t>HASTE DE ATERRAMENTO, DIÂMETRO 3/4", COM 3 METROS - FORNECIMENTO E INSTALAÇÃO. AF_08/2023</t>
  </si>
  <si>
    <t>LUMINÁRIA DE EMERGÊNCIA, COM 30 LÂMPADAS LED DE 2 W, SEM REATOR - FORNECIMENTO E INSTALAÇÃO. AF_09/2024</t>
  </si>
  <si>
    <t>7.1</t>
  </si>
  <si>
    <t>7.2</t>
  </si>
  <si>
    <t>ASSENTO SANITÁRIO CONVENCIONAL - FORNECIMENTO E INSTALACAO. AF_01/2020</t>
  </si>
  <si>
    <t>7.3</t>
  </si>
  <si>
    <t>7.4</t>
  </si>
  <si>
    <t>7.5</t>
  </si>
  <si>
    <t>TUBO, PVC, SOLDÁVEL, DE 25MM, INSTALADO EM RAMAL DE DISTRIBUIÇÃO DE ÁGUA - FORNECIMENTO E INSTALAÇÃO. AF_06/2022</t>
  </si>
  <si>
    <t>7.6</t>
  </si>
  <si>
    <t>TE, PVC, SOLDÁVEL, DN 25MM, INSTALADO EM RAMAL DE DISTRIBUIÇÃO DE ÁGUA - FORNECIMENTO E INSTALAÇÃO. AF_06/2022</t>
  </si>
  <si>
    <t>7.7</t>
  </si>
  <si>
    <t>JOELHO 90 GRAUS, PVC, SOLDÁVEL, DN 25MM, INSTALADO EM PRUMADA DE ÁGUA - FORNECIMENTO E INSTALAÇÃO. AF_06/2022</t>
  </si>
  <si>
    <t>7.8</t>
  </si>
  <si>
    <t>JOELHO 90 GRAUS COM BUCHA DE LATÃO, PVC, SOLDÁVEL, DN 25MM, X 1/2 INSTALADO EM RAMAL OU SUB-RAMAL DE ÁGUA - FORNECIMENTO E INSTALAÇÃO. AF_06/2022</t>
  </si>
  <si>
    <t>7.9</t>
  </si>
  <si>
    <t>7.10</t>
  </si>
  <si>
    <t>8.1</t>
  </si>
  <si>
    <t>CAIXA DE GORDURA SIMPLES, CIRCULAR, EM CONCRETO PRÉ-MOLDADO, DIÂMETRO INTERNO = 0,4 M, ALTURA INTERNA = 0,4 M. AF_12/2020</t>
  </si>
  <si>
    <t>8.2</t>
  </si>
  <si>
    <t>8.3</t>
  </si>
  <si>
    <t>8.4</t>
  </si>
  <si>
    <t>8.5</t>
  </si>
  <si>
    <t>PAPELEIRA DE PAREDE EM METAL CROMADO SEM TAMPA, INCLUSO FIXAÇÃO. AF_01/2020</t>
  </si>
  <si>
    <t>9.1</t>
  </si>
  <si>
    <t>REGISTRO OU REGULADOR DE GÁS DE COZINHA - FORNECIMENTO E INSTALAÇÃO. AF_08/2021</t>
  </si>
  <si>
    <t>9.2</t>
  </si>
  <si>
    <t>TUBO, PEX, MULTICAMADA, COM TUBO LUVA, DN 16, INSTALADO EM RAMAL INTERNO DE INSTALAÇÕES DE GÁS - FORNECIMENTO E INSTALAÇÃO. AF_01/2020</t>
  </si>
  <si>
    <t>9.3</t>
  </si>
  <si>
    <t>PISO EM CONCRETO 20 MPA PREPARO MECÂNICO, ESPESSURA 7CM. AF_09/2020</t>
  </si>
  <si>
    <t>9.4</t>
  </si>
  <si>
    <t>ALVENARIA DE VEDAÇÃO DE BLOCOS CERÂMICOS FURADOS NA HORIZONTAL DE 11,5X14X24 CM (ESPESSURA
11,5 CM) E ARGAMASSA DE ASSENTAMENTO COM PREPARO EM BETONEIRA. AF_12/2021</t>
  </si>
  <si>
    <t>MONTAGEM E DESMONTAGEM DE FÔRMA DE LAJE MACIÇA, PÉ-DIREITO SIMPLES, EM CHAPA DE MADEIRA COMPENSADA RESINADA, 2 UTILIZAÇÕES. AF_09/2020</t>
  </si>
  <si>
    <t>CONCRETAGEM DE VIGAS E LAJES, FCK=25 MPA, PARA QUALQUER TIPO DE LAJE COM BALDES EM EDIFICAÇÃO
TÉRREA - LANÇAMENTO, ADENSAMENTO E ACABAMENTO. AF_02/2022</t>
  </si>
  <si>
    <t>PORTA EM ALUMÍNIO DE ABRIR TIPO VENEZIANA COM GUARNIÇÃO, FIXAÇÃO COM PARAFUSOS - FORNECIMENTO E INSTALAÇÃO. AF_12/2019</t>
  </si>
  <si>
    <t>EXTINTOR DE INCÊNDIO PORTÁTIL COM CARGA DE PQS DE 4 KG, CLASSE BC - FORNECIMENTO E INSTALAÇÃO. AF_10/2020_PE</t>
  </si>
  <si>
    <t>PINTURA</t>
  </si>
  <si>
    <t>10.1</t>
  </si>
  <si>
    <t>LIMPEZA DE SUPERFÍCIE COM JATO DE ALTA PRESSÃO. AF_04/2019</t>
  </si>
  <si>
    <t>10.2</t>
  </si>
  <si>
    <t>EMASSAMENTO COM MASSA LÁTEX, APLICAÇÃO EM PAREDE, UMA DEMÃO, LIXAMENTO MANUAL. AF_04/2023</t>
  </si>
  <si>
    <t>10.3</t>
  </si>
  <si>
    <t>PINTURA LÁTEX ACRÍLICA STANDARD, APLICAÇÃO MANUAL EM PAREDES, DUAS DEMÃOS. AF_04/2023</t>
  </si>
  <si>
    <t>10.4</t>
  </si>
  <si>
    <t>10.5</t>
  </si>
  <si>
    <t>10.6</t>
  </si>
  <si>
    <t>LIMPEZA</t>
  </si>
  <si>
    <t>11.1</t>
  </si>
  <si>
    <t>LIMPEZA DE BACIA SANITÁRIA, BIDÊ OU MICTÓRIO EM LOUÇA, INCLUSIVE METAIS CORRESPONDENTES. AF_04/2019</t>
  </si>
  <si>
    <t>11.2</t>
  </si>
  <si>
    <t>LIMPEZA DE JANELA VIDRO COM CAIXILHO EM AÇO/ALUMÍNIO/PVC. AF_04/2019</t>
  </si>
  <si>
    <t>11.3</t>
  </si>
  <si>
    <t>LIMPEZA DE PISO CERÂMICO OU COM PEDRAS RÚSTICAS UTILIZANDO ÁCIDO MURIÁTICO. AF_04/2019</t>
  </si>
  <si>
    <t>TOTAL</t>
  </si>
  <si>
    <t>SINAPI - Sistema Nacional de Pesquisa de Custos e Índices da Construção Civil</t>
  </si>
  <si>
    <t>_______________________</t>
  </si>
  <si>
    <t>Nelson Luis Melim</t>
  </si>
  <si>
    <t>Engenheiro Civil</t>
  </si>
  <si>
    <t>Crea/SC 52036-9</t>
  </si>
  <si>
    <t>Obra:CONSTRUÇÃO DO CENTRO DE CONVIVENCIA DO IDOSO</t>
  </si>
  <si>
    <t>Mês de Referência: 09/2025 - Desonerada</t>
  </si>
  <si>
    <t>TAPUME COM TELHA METÁLICA. AF_03/2024</t>
  </si>
  <si>
    <t>LIMPEZA MECANIZADA DE CAMADA VEGETAL, VEGETAÇÃO E PEQUENAS ÁRVORES (DIÂMETRO DE TRONCO MENOR QUE 0,20 M), COM TRATOR DE ESTEIRAS. AF_03/2024</t>
  </si>
  <si>
    <t>ATERRO MECANIZADO DE VALA COM MINICARREGADEIRA, COM SOLO ARGILO-ARENOSO. AF_08/2023</t>
  </si>
  <si>
    <t>kg</t>
  </si>
  <si>
    <t>ARMAÇÃO DE SAPATA ISOLADA, VIGA BALDRAME E SAPATA CORRIDA UTILIZANDO AÇO CA-60 DE 5 MM - MONTAGEM. AF_01/2024</t>
  </si>
  <si>
    <t xml:space="preserve">ARMAÇÃO DE SAPATA ISOLADA, VIGA BALDRAME E SAPATA CORRIDA UTILIZANDO AÇO CA-50 DE 10 MM - MONTAGEM. AF_01/2024 </t>
  </si>
  <si>
    <t>ARMAÇÃO DE BLOCO, SAPATA ISOLADA, VIGA BALDRAME E SAPATA CORRIDA UTILIZANDO AÇO CA-50 DE 12,5 MM - MONTAGEM. AF_01/2024</t>
  </si>
  <si>
    <t>CONCRETAGEM DE SAPATA, FCK 30 MPA, COM USO DE BOMBA - LANÇAMENTO, ADENSAMENTO E ACABAMENTO. AF_01/2024</t>
  </si>
  <si>
    <t>SUPERESTRUTURA</t>
  </si>
  <si>
    <t>ARMAÇÃO DE PILAR OU VIGA DE ESTRUTURA CONVENCIONAL DE CONCRETO ARMADO UTILIZANDO AÇO CA-60 DE 5,0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</si>
  <si>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</si>
  <si>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10,0 MM - MONTAGEM. AF_06/2022</t>
  </si>
  <si>
    <t>ARMAÇÃO DE PILAR OU VIGA DE ESTRUTURA CONVENCIONAL DE CONCRETO ARMADO UTILIZANDO AÇO CA-50 DE 12,5 MM - MONTAGEM. AF_06/2022</t>
  </si>
  <si>
    <t>ARMAÇÃO DE PILAR OU VIGA DE ESTRUTURA CONVENCIONAL DE CONCRETO ARMADO UTILIZANDO AÇO CA-50 DE 6,3 MM - MONTAGEM. AF_06/2022</t>
  </si>
  <si>
    <t>3.8</t>
  </si>
  <si>
    <t>3.9</t>
  </si>
  <si>
    <t>Kg</t>
  </si>
  <si>
    <r>
      <t xml:space="preserve">MELIM </t>
    </r>
    <r>
      <rPr>
        <b/>
        <sz val="10"/>
        <color indexed="18"/>
        <rFont val="Arial"/>
        <family val="2"/>
      </rPr>
      <t>Engenharia e Construtora Ltda.</t>
    </r>
  </si>
  <si>
    <t xml:space="preserve"> 92761 </t>
  </si>
  <si>
    <t xml:space="preserve"> 92763 </t>
  </si>
  <si>
    <t xml:space="preserve"> 92760 </t>
  </si>
  <si>
    <t>3.10</t>
  </si>
  <si>
    <t>ALVENARIA DE VEDAÇÃO DE BLOCOS CERÂMICOS FURADOS NA VERTICAL DE 14X19X39 CM (ESPESSURA 14 CM) E ARGAMASSA DE ASSENTAMENTO COM PREPARO EM BETONEIRA. AF_12/2021</t>
  </si>
  <si>
    <t>REVESTIMENTO CERÂMICO PARA PAREDES INTERNAS COM PLACAS TIPO ESMALTADA DE DIMENSÕES 33X45 CM APLICADAS A MEIA ALTURA DAS PAREDES. AF_02/2023_PE</t>
  </si>
  <si>
    <t>REVESTIMENTO CERÂMICO PARA PAREDES INTERNAS COM PLACAS TIPO ESMALTADA DE DIMENSÕES 33X45 CM APLICADAS NA ALTURA INTEIRA DAS PAREDES. AF_02/2023_PE</t>
  </si>
  <si>
    <t>DIVISORIA SANITÁRIA, TIPO CABINE, EM PAINEL DE GRANILITE, ESP = 3CM, ASSENTADO COM ARGAMASSA COLANTE AC III-E, EXCLUSIVE FERRAGENS. AF_01/2021</t>
  </si>
  <si>
    <t>LASTRO COM MATERIAL GRANULAR, APLICAÇÃO EM BLOCOS DE COROAMENTO, ESPESSURA DE *5 CM*. AF_01/2024</t>
  </si>
  <si>
    <t>COMPACTAÇÃO MECÂNICA DE SOLO PARA EXECUÇÃO DE RADIER, PISO DE CONCRETO OU LAJE SOBRE SOLO, COM COMPACTADOR DE SOLOS A PERCUSSÃO. AF_09/2021</t>
  </si>
  <si>
    <t>FABRICAÇÃO, MONTAGEM E DESMONTAGEM DE FORMA PARA RADIER, PISO DE CONCRETO OU LAJE SOBRE SOLO, EM MADEIRA SERRADA, 4 UTILIZAÇÕES. AF_09/2021</t>
  </si>
  <si>
    <t>CAMADA SEPARADORA PARA EXECUÇÃO DE RADIER, PISO DE CONCRETO OU LAJE SOBRE SOLO, EM LONA PLÁSTICA. AF_09/2021</t>
  </si>
  <si>
    <t>ARMAÇÃO PARA EXECUÇÃO DE RADIER, PISO DE CONCRETO OU LAJE SOBRE SOLO, COM USO DE TELA Q-283. AF_09/2021</t>
  </si>
  <si>
    <t>CONCRETAGEM DE RADIER, PISO DE CONCRETO OU LAJE SOBRE SOLO, FCK 30 MPA - LANÇAMENTO, ADENSAMENTO E ACABAMENTO. AF_09/2021 h=8cm</t>
  </si>
  <si>
    <t>ACABAMENTO POLIDO PARA PISO DE CONCRETO ARMADO OU LAJE SOBRE SOLO DE ALTA RESISTÊNCIA. AF_09/2021</t>
  </si>
  <si>
    <t>PORTA DE ABRIR COM MOLA HIDRÁULICA, EM VIDRO TEMPERADO, 2 FOLHAS DE 90X210 CM, ESPESSURA DD 10MM, INCLUSIVE ACESSÓRIOS. AF_01/2021</t>
  </si>
  <si>
    <t>INSTALAÇÃO DE VIDRO TEMPERADO, E = 10 MM, ENCAIXADO EM PERFIL U. AF_01/2021_PS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</si>
  <si>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</si>
  <si>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PORTA DE ALUMÍNIO DE ABRIR COM LAMBRI, COM GUARNIÇÃO, FIXAÇÃO COM PARAFUSOS - FORNECIMENTO E INSTALAÇÃO. AF_12/2019</t>
  </si>
  <si>
    <t>4.8</t>
  </si>
  <si>
    <t>4.9</t>
  </si>
  <si>
    <t>5.6</t>
  </si>
  <si>
    <t>5.7</t>
  </si>
  <si>
    <t>5.8</t>
  </si>
  <si>
    <t>5.9</t>
  </si>
  <si>
    <t>5.10</t>
  </si>
  <si>
    <t>5.11</t>
  </si>
  <si>
    <t>5.12</t>
  </si>
  <si>
    <t>ACABAMENTOS PARA FORRO (RODA-FORRO EM PERFIL METÁLICO E PLÁSTICO). AF_08/2023</t>
  </si>
  <si>
    <t>CUMEEIRA NORMAL PARA TELHA TRAPEZOIDAL DE AÇO, E = 0,5 MM, INCLUSO ACESSÓRIOS DE FIXAÇÃO E IÇAMENTO. AF_07/2019</t>
  </si>
  <si>
    <t>RUFO EM CHAPA DE AÇO GALVANIZADO NÚMERO 24, CORTE DE 25 CM, INCLUSO TRANSPORTE VERTICAL. AF_07/2019</t>
  </si>
  <si>
    <t>CALHA EM CHAPA DE AÇO GALVANIZADO NÚMERO 24, DESENVOLVIMENTO DE 50 CM, INCLUSO TRANSPORTE VERTICAL. AF_07/2019</t>
  </si>
  <si>
    <t>FABRICAÇÃO E INSTALAÇÃO DE TESOURA (INTEIRA OU MEIA) EM AÇO, VÃOS MAIORES QUE 12,0 M, INCLUSO IÇAMENTO. AF_07/2019</t>
  </si>
  <si>
    <t>TELHAMENTO COM TELHA DE AÇO/ALUMÍNIO E = 0,5 MM, COM ATÉ 2 ÁGUAS, INCLUSO IÇAMENTO. AF_07/2019</t>
  </si>
  <si>
    <t>BARRA DE APOIO RETA, EM ACO INOX POLIDO, COMPRIMENTO 90 CM, FIXADA NA PAREDE - FORNECIMENTO E INSTALAÇÃO. AF_01/2020</t>
  </si>
  <si>
    <t>10.7</t>
  </si>
  <si>
    <t>10.8</t>
  </si>
  <si>
    <t>12.1</t>
  </si>
  <si>
    <t>12.2</t>
  </si>
  <si>
    <t>12.3</t>
  </si>
  <si>
    <t>PREVENTIVO / INSTALAÇÃO GÁS</t>
  </si>
  <si>
    <t>TUBO PVC, SÉRIE R, ÁGUA PLUVIAL, DN 100 MM, FORNECIDO E INSTALADO EM CONDUTORES VERTICAIS DE ÁGUAS PLUVIAIS. AF_06/2022</t>
  </si>
  <si>
    <t>JOELHO 90 GRAUS, PVC, SERIE R, ÁGUA PLUVIAL, DN 100 MM, JUNTA ELÁSTICA, FORNECIDO E INSTALADO EM CONDUTORES VERTICAIS DE ÁGUAS PLUVIAIS. AF_06/2022</t>
  </si>
  <si>
    <t>TUBO PVC, SERIE NORMAL, ESGOTO PREDIAL, DN 100 MM, FORNECIDO E INSTALADO EM RAMAL DE DESCARGA OU RAMAL DE ESGOTO SANITÁRIO. AF_08/2022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</si>
  <si>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</si>
  <si>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</si>
  <si>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SABONETEIRA PLASTICA TIPO DISPENSER PARA SABONETE LIQUIDO COM RESERVATORIO 800 A 1500 ML, INCLUSO FIXAÇÃO. AF_01/2020</t>
  </si>
  <si>
    <t>10.9</t>
  </si>
  <si>
    <t>10.10</t>
  </si>
  <si>
    <t>INFRAESTRUTURA</t>
  </si>
  <si>
    <t>2.6</t>
  </si>
  <si>
    <t>ESTACA BROCA DE CONCRETO, DIÂMETRO DE 25CM, ESCAVAÇÃO MANUAL COM TRADO CONCHA, COM</t>
  </si>
  <si>
    <t>ARMADURA DE ARRANQUE. AF_05/2020</t>
  </si>
  <si>
    <t>3.11</t>
  </si>
  <si>
    <t>CONCRETAGEM DE VIGAS E LAJES, FCK=25 MPA, PARA LAJES PREMOLDADAS COM USO DE BOMBA - LANÇAMENTO, ADENSAMENTO E ACABAMENTO. AF_02/2022_PS</t>
  </si>
  <si>
    <t>3.12</t>
  </si>
  <si>
    <t>LAJE PRÉ-MOLDADA UNIDIRECIONAL, BIAPOIADA TIPO LAJE PAINEL TRELIÇADO NERVURADO (COM ENCHIMENTO EM EPS), PARA PISO, ALTURA TOTAL DA LAJE "LT" = 12 CM (PAINEL+ENCHIMENTO+CAPA) = (3+5+4). AF_08/2025</t>
  </si>
  <si>
    <t>m3</t>
  </si>
  <si>
    <t>ESCORAMENTO DE FÔRMAS DE LAJE EM MADEIRA NÃO APARELHADA, PÉ-DIREITO DUPLO, INCLUSO TRAVAMENTO, 4 UTILIZAÇÕES. AF_09/2020</t>
  </si>
  <si>
    <t>1.5</t>
  </si>
  <si>
    <t>ESCAVAÇÃO MECANIZADA PARA BLOCO DE COROAMENTO OU SAPATA COM RETROESCAVADEIRA (SEM ESCAVAÇÃO PARA COLOCAÇÃO DE FÔRMAS). AF_01/2024</t>
  </si>
  <si>
    <t>1.6</t>
  </si>
  <si>
    <t>ESCAVAÇÃO MECANIZADA PARA VIGA BALDRAME COM MINI-ESCAVADEIRA (INCLUINDO ESCAVAÇÃO PARA COLOCAÇÃO DE FÔRMAS). AF_01/2024</t>
  </si>
  <si>
    <t>CONCRETAGEM DE PILARES, FCK = 25 MPA, COM USO DE BOMBA - LANÇAMENTO, ADENSAMENTO E ACABAMENTO. AF_02/2022</t>
  </si>
  <si>
    <t>MONTAGEM E DESMONTAGEM DE FÔRMA DE VIGA, ESCORAMENTO COM GARFO DE MADEIRA, PÉ-DIREITO SIMPLES, EM CHAPA DE MADEIRA RESINADA, 2 UTILIZAÇÕES. AF_09/2020</t>
  </si>
  <si>
    <t>MONTAGEM E DESMONTAGEM DE FÔRMA DE PILARES RETANGULARES E ESTRUTURAS SIMILARES, PÉ-DIREITO
SIMPLES, EM MADEIRA SERRADA, 2 UTILIZAÇÕES. AF_09/2020</t>
  </si>
  <si>
    <t>5.13</t>
  </si>
  <si>
    <t>EXECUÇÃO DE PASSEIO (CALÇADA) OU PISO DE CONCRETO COM CONCRETO MOLDADO IN LOCO, USINADO, ACABAMENTO CONVENCIONAL, ESPESSURA 6 CM, ARMADO. AF_08/2022</t>
  </si>
  <si>
    <t xml:space="preserve">  </t>
  </si>
  <si>
    <t>INSTALAÇÕES ELÉTRICAS</t>
  </si>
  <si>
    <t>GERAL</t>
  </si>
  <si>
    <t>CABEAMENTO</t>
  </si>
  <si>
    <t>ELETRODUTOS</t>
  </si>
  <si>
    <t>ELETRODUTO FLEXÍVEL CORRUGADO REFORÇADO, PVC, DN 25 MM (3/4"), PARA CIRCUITOS TERMINAIS, INSTALADO EM FORRO - FORNECIMENTO E INSTALAÇÃO. AF_03/2023</t>
  </si>
  <si>
    <t xml:space="preserve"> 91837 </t>
  </si>
  <si>
    <t>ELETRODUTO FLEXÍVEL CORRUGADO REFORÇADO, PVC, DN 32 MM (1"), PARA CIRCUITOS TERMINAIS, INSTALADO EM FORRO - FORNECIMENTO E INSTALAÇÃO. AF_03/2023</t>
  </si>
  <si>
    <t>ELETRODUTO FLEXÍVEL CORRUGADO, PEAD, DN 50 (1 1/2"), PARA REDE ENTERRADA DE DISTRIBUIÇÃO DE ENERGIA ELÉTRICA - FORNECIMENTO E INSTALAÇÃO. AF_12/2021</t>
  </si>
  <si>
    <t xml:space="preserve"> 97668 </t>
  </si>
  <si>
    <t>ELETRODUTO FLEXÍVEL CORRUGADO, PEAD, DN 63 (2"), PARA REDE ENTERRADA DE DISTRIBUIÇÃO DE ENERGIA ELÉTRICA - FORNECIMENTO E INSTALAÇÃO. AF_12/2021</t>
  </si>
  <si>
    <t>DISPOSITIVOS DE PROTEÇÃO</t>
  </si>
  <si>
    <t>DISJUNTOR MONOPOLAR TIPO DIN, CORRENTE NOMINAL DE 10A - FORNECIMENTO E INSTALAÇÃO. AF_10/2020</t>
  </si>
  <si>
    <t xml:space="preserve"> 93654 </t>
  </si>
  <si>
    <t>DISPOSITIVO DPS CLASSE II, 1 POLO, TENSAO MAXIMA DE 275 V, CORRENTE MAXIMA DE *90* KA (TIPO AC)</t>
  </si>
  <si>
    <t>DISPOSITIVO DR, 4 POLOS, SENSIBILIDADE DE 30 MA, CORRENTE DE 25 A, TIPO AC</t>
  </si>
  <si>
    <t>DISPOSITIVOS ELÉTRICOS</t>
  </si>
  <si>
    <t xml:space="preserve"> 92001 </t>
  </si>
  <si>
    <t>TOMADA BAIXA DE EMBUTIR (1 MÓDULO), 2P+T 20 A, INCLUINDO SUPORTE E PLACA - FORNECIMENTO E INSTALAÇÃO. AF_03/2023</t>
  </si>
  <si>
    <t xml:space="preserve"> 92027 </t>
  </si>
  <si>
    <t>INTERRUPTOR SIMPLES (2 MÓDULOS) COM 1 TOMADA DE EMBUTIR 2P+T 10 A, INCLUINDO SUPORTE E PLACA - FORNECIMENTO E INSTALAÇÃO. AF_03/2023</t>
  </si>
  <si>
    <t>LOUÇAS E METAIS E ACESSÓRIOS</t>
  </si>
  <si>
    <t>REGISTRO DE ESFERA, PVC, SOLDÁVEL, COM VOLANTE, DN 50 MM - FORNECIMENTO E INSTALAÇÃO. AF_08/2021</t>
  </si>
  <si>
    <t>REGISTRO DE GAVETA BRUTO, LATÃO, ROSCÁVEL, 3/4", COM ACABAMENTO E CANOPLA CROMADOS - FORNECIMENTO E INSTALAÇÃO. AF_08/2021</t>
  </si>
  <si>
    <t>MICTÓRIO SIFONADO LOUÇA BRANCA - PADRÃO MÉDIO - FORNECIMENTO E INSTALAÇÃO. AF_01/2020</t>
  </si>
  <si>
    <t>HIDRÁULICO</t>
  </si>
  <si>
    <t>TUBO, PVC, SOLDÁVEL, DE 50MM, INSTALADO EM RAMAL DE DISTRIBUIÇÃO DE ÁGUA - FORNECIMENTO E INSTALAÇÃO. AF_06/2022</t>
  </si>
  <si>
    <t xml:space="preserve"> 89625 </t>
  </si>
  <si>
    <t>TE, PVC, SOLDÁVEL, DN 50MM, INSTALADO EM PRUMADA DE ÁGUA - FORNECIMENTO E INSTALAÇÃO. AF_06/2022</t>
  </si>
  <si>
    <t>TÊ COM BUCHA DE LATÃO NA BOLSA CENTRAL, PVC, SOLDÁVEL, DN 25MM X 1/2, INSTALADO EM RAMAL OU SUB-RAMAL DE ÁGUA - FORNECIMENTO E INSTALAÇÃO. AF_06/2022</t>
  </si>
  <si>
    <t>JOELHO 90 GRAUS, PVC, SOLDÁVEL, DN 50MM, INSTALADO EM PRUMADA DE ÁGUA - FORNECIMENTO E INSTALAÇÃO. AF_06/2022</t>
  </si>
  <si>
    <t xml:space="preserve"> 89481 </t>
  </si>
  <si>
    <t>ADAPTADOR COM FLANGE E ANEL DE VEDAÇÃO, PVC, SOLDÁVEL, DN 50 MM X 1 1/2", INSTALADO EM RESERVAÇÃO PREDIAL DE ÁGUA - FORNECIMENTO E INSTALAÇÃO. AF_04/2024</t>
  </si>
  <si>
    <t>ADAPTADOR CURTO COM BOLSA E ROSCA PARA REGISTRO, PVC, SOLDÁVEL, DN 25 MM X 3/4", INSTALADO EM RESERVAÇÃO PREDIAL DE ÁGUA - FORNECIMENTO E INSTALAÇÃO. AF_04/2024</t>
  </si>
  <si>
    <t>KIT CAVALETE PARA MEDIÇÃO DE ÁGUA - ENTRADA PRINCIPAL, EM PVC 20 MM (1/2") - FORNECIMENTO E INSTALAÇÃO (EXCLUSIVE HIDRÔMETRO). AF_03/2024</t>
  </si>
  <si>
    <t>LUVA, PVC, SOLDÁVEL, DN 50MM, INSTALADO EM RAMAL DE DISTRIBUIÇÃO DE ÁGUA - FORNECIMENTO E INSTALAÇÃO. AF_06/2022</t>
  </si>
  <si>
    <t>SANITÁRIO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</si>
  <si>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</si>
  <si>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</si>
  <si>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89714 </t>
  </si>
  <si>
    <t xml:space="preserve"> 89711 </t>
  </si>
  <si>
    <t xml:space="preserve"> 89784 </t>
  </si>
  <si>
    <t>TE, PVC, SERIE NORMAL, ESGOTO PREDIAL, DN 50 X 50 MM, JUNTA ELÁSTICA, FORNECIDO E INSTALADO EM RAMAL DE DESCARGA OU RAMAL DE ESGOTO SANITÁRIO. AF_08/2022</t>
  </si>
  <si>
    <t xml:space="preserve"> 89833 </t>
  </si>
  <si>
    <t>TE, PVC, SERIE NORMAL, ESGOTO PREDIAL, DN 100 X 100 MM, JUNTA ELÁSTICA, FORNECIDO E INSTALADO EM PRUMADA DE ESGOTO SANITÁRIO OU VENTILAÇÃO. AF_08/2022</t>
  </si>
  <si>
    <t xml:space="preserve"> 89712 </t>
  </si>
  <si>
    <t>JOELHO 45 GRAUS, PVC, SERIE NORMAL, ESGOTO PREDIAL, DN 40 MM, JUNTA SOLDÁVEL, FORNECIDO E INSTALADO EM RAMAL DE DESCARGA OU RAMAL DE ESGOTO SANITÁRIO. AF_08/2022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</si>
  <si>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</si>
  <si>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</si>
  <si>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89813 </t>
  </si>
  <si>
    <t>LUVA SIMPLES, PVC, SERIE NORMAL, ESGOTO PREDIAL, DN 50 MM, JUNTA ELÁSTICA, FORNECIDO E INSTALADO EM PRUMADA DE ESGOTO SANITÁRIO OU VENTILAÇÃO. AF_08/2022</t>
  </si>
  <si>
    <t>TE, PVC, SÉRIE NORMAL, ESGOTO PREDIAL, DN 100 X 50 MM, JUNTA ELÁSTICA, FORNECIDO E INSTALADO EM PRUMADA DE ESGOTO SANITÁRIO OU VENTILAÇÃO. AF_08/2022</t>
  </si>
  <si>
    <t>CURVA CURTA 90 GRAUS, PVC, SERIE NORMAL, ESGOTO PREDIAL, DN 100 MM, JUNTA ELÁSTICA, FORNECIDO E INSTALADO EM RAMAL DE DESCARGA OU RAMAL DE ESGOTO SANITÁRIO. AF_08/2022</t>
  </si>
  <si>
    <t>CURVA CURTA 90 GRAUS, PVC, SERIE NORMAL, ESGOTO PREDIAL, DN 40 MM, JUNTA SOLDÁVEL, FORNECIDO E INSTALADO EM RAMAL DE DESCARGA OU RAMAL DE ESGOTO SANITÁRIO. AF_08/2022</t>
  </si>
  <si>
    <t>CURVA CURTA 90 GRAUS, PVC, SERIE NORMAL, ESGOTO PREDIAL, DN 50 MM, JUNTA ELÁSTICA, FORNECIDO E INSTALADO EM RAMAL DE DESCARGA OU RAMAL DE ESGOTO SANITÁRIO. AF_08/2022</t>
  </si>
  <si>
    <t>LUVA SIMPLES, PVC, SERIE NORMAL, ESGOTO PREDIAL, DN 100 MM, JUNTA ELÁSTICA, FORNECIDO E INSTALADO EM RAMAL DE DESCARGA OU RAMAL DE ESGOTO SANITÁRIO. AF_08/2022</t>
  </si>
  <si>
    <t xml:space="preserve"> 89753 </t>
  </si>
  <si>
    <t>LUVA SIMPLES, PVC, SERIE NORMAL, ESGOTO PREDIAL, DN 50 MM, JUNTA ELÁSTICA, FORNECIDO E INSTALADO EM RAMAL DE DESCARGA OU RAMAL DE ESGOTO SANITÁRIO. AF_08/2022</t>
  </si>
  <si>
    <t>PLUVIAL</t>
  </si>
  <si>
    <t>JOELHO 45 GRAUS, PVC, SERIE R, ÁGUA PLUVIAL, DN 100 MM, JUNTA ELÁSTICA, FORNECIDO E INSTALADO EM RAMAL DE ENCAMINHAMENTO. AF_06/2022</t>
  </si>
  <si>
    <t>JOELHO 45 GRAUS, PVC, SERIE R, ÁGUA PLUVIAL, DN 150 MM, JUNTA ELÁSTICA, FORNECIDO E INSTALADO EM RAMAL DE ENCAMINHAMENTO. AF_06/2022</t>
  </si>
  <si>
    <t>JOELHO 90 GRAUS, PVC, SERIE R, ÁGUA PLUVIAL, DN 100 MM, JUNTA ELÁSTICA, FORNECIDO E INSTALADO EM RAMAL DE ENCAMINHAMENTO. AF_06/2022</t>
  </si>
  <si>
    <t>TUBO PVC, SÉRIE R, ÁGUA PLUVIAL, DN 100 MM, FORNECIDO E INSTALADO EM RAMAL DE ENCAMINHAMENTO. AF_06/2022</t>
  </si>
  <si>
    <t xml:space="preserve"> 104166 </t>
  </si>
  <si>
    <t>TUBO PVC, SÉRIE R, ÁGUA PLUVIAL, DN 150 MM, FORNECIDO E INSTALADO EM RAMAL DE ENCAMINHAMENTO. AF_06/2022</t>
  </si>
  <si>
    <t>LUMINARIA LED REFLETOR RETANGULAR BIVOLT, LUZ BRANCA, 50 W</t>
  </si>
  <si>
    <t>ENTRADA DE ENERGIA ELÉTRICA, AÉREA, BIFÁSICA, COM CAIXA DE EMBUTIR, CABO DE 16 MM2 E DISJUNTOR DIN 50A (NÃO INCLUSO O POSTE DE CONCRETO). AF_07/2020_PS</t>
  </si>
  <si>
    <t>ASSENTAMENTO DE POSTE DE CONCRETO COM COMPRIMENTO NOMINAL DE 11 M, CARGA NOMINAL DE 400 DAN, ENGASTAMENTO BASE CONCRETADA COM 1 M DE CONCRETO E 0,7 M DE SOLO (NÃO INCLUI FORNECIMENTO). AF_04/2025</t>
  </si>
  <si>
    <t xml:space="preserve">POSTE DE CONCRETO ARMADO DE SECAO DUPLO T, EXTENSAO DE 11,00 M, RESISTENCIA DE 600 DAN, TIPO B </t>
  </si>
  <si>
    <t>CABO DE COBRE FLEXÍVEL ISOLADO, 1,5 MM², ANTI-CHAMA 450/750 V, PARA CIRCUITOS TERMINAIS - FORNECIMENTO E INSTALAÇÃO. AF_03/2023</t>
  </si>
  <si>
    <t>CABO DE COBRE FLEXÍVEL ISOLADO, 10 MM², ANTI-CHAMA 450/750 V, PARA CIRCUITOS TERMINAIS - FORNECIMENTO E INSTALAÇÃO. AF_03/2023</t>
  </si>
  <si>
    <t>ABO DE COBRE FLEXÍVEL ISOLADO, 2,5 MM², ANTI-CHAMA 0,6/1,0 KV, PARA CIRCUITOS TERMINAIS - FORNECIMENTO E INSTALAÇÃO. AF_03/2023</t>
  </si>
  <si>
    <t>CABO DE COBRE FLEXÍVEL ISOLADO, 4 MM², ANTI-CHAMA 0,6/1,0 KV, PARA CIRCUITOS TERMINAIS - FORNECIMENTO E INSTALAÇÃO. AF_03/2023</t>
  </si>
  <si>
    <t>DISJUNTOR MONOPOLAR TIPO DIN, CORRENTE NOMINAL DE 32A - FORNECIMENTO E INSTALAÇÃO. AF_10/2020</t>
  </si>
  <si>
    <t>DISJUNTOR MONOPOLAR TIPO DIN, CORRENTE NOMINAL DE 20A - FORNECIMENTO E INSTALAÇÃO. AF_10/2020</t>
  </si>
  <si>
    <t>CAIXA RETANGULAR 4" X 2" MÉDIA (1,30 M DO PISO), PVC, INSTALADA EM PAREDE - FORNECIMENTO E INSTALAÇÃO. AF_03/2023</t>
  </si>
  <si>
    <t>CAIXA RETANGULAR 4" X 2" ALTA (2,00 M DO PISO), PVC, INSTALADA EM PAREDE - FORNECIMENTO E INSTALAÇÃO. AF_03/2023</t>
  </si>
  <si>
    <t>QUADRO DE DISTRIBUICÃO PARA TELEFONE N.3, 40X40X12CM EM CHAPA METÁLICA, DE EMBUTIR, SEM ACESSÓRIOS, PADRÃO TELEBRAS - FORNECIMENTO E INSTALAÇÃO. AF_08/2025</t>
  </si>
  <si>
    <t>QUADRO DE DISTRIBUIÇÃO DE LUZ EM PVC PARA 12 DISJUNTORES - FORNECIMENTO E INSTALAÇÃO. AF_07/2025</t>
  </si>
  <si>
    <t>8.1.1</t>
  </si>
  <si>
    <t>8.1.2</t>
  </si>
  <si>
    <t>8.1.3</t>
  </si>
  <si>
    <t>8.1.4</t>
  </si>
  <si>
    <t>8.1.5</t>
  </si>
  <si>
    <t>8.1.6</t>
  </si>
  <si>
    <t>8.1.7</t>
  </si>
  <si>
    <t>8.2.1</t>
  </si>
  <si>
    <t>8.2.2</t>
  </si>
  <si>
    <t>8.2.3</t>
  </si>
  <si>
    <t>8.2.4</t>
  </si>
  <si>
    <t>8.3.1</t>
  </si>
  <si>
    <t>8.3.2</t>
  </si>
  <si>
    <t>8.3.3</t>
  </si>
  <si>
    <t>8.3.4</t>
  </si>
  <si>
    <t>8.4.1</t>
  </si>
  <si>
    <t>8.4.2</t>
  </si>
  <si>
    <t>8.4.3</t>
  </si>
  <si>
    <t>8.4.4</t>
  </si>
  <si>
    <t>8.4.5</t>
  </si>
  <si>
    <t>8.4.6</t>
  </si>
  <si>
    <t>8.5.1</t>
  </si>
  <si>
    <t>8.5.2</t>
  </si>
  <si>
    <t>8.5.3</t>
  </si>
  <si>
    <t>8.5.4</t>
  </si>
  <si>
    <t>8.5.5</t>
  </si>
  <si>
    <t>8.5.6</t>
  </si>
  <si>
    <t>8.5.7</t>
  </si>
  <si>
    <t>8.5.8</t>
  </si>
  <si>
    <t>8.2.5</t>
  </si>
  <si>
    <t>CABO COAXIAL RG11 95% - FORNECIMENTO E INSTALAÇÃO. AF_08/2025</t>
  </si>
  <si>
    <t>BANCADA GRANITO CINZA, 50 X 60 CM, INCL. CUBA DE EMBUTIR OVAL LOUÇA BRANCA 35 X 50 CM, VÁLVULA METAL CROMADO, SIFÃO FLEXÍVEL PVC, ENGATE 30 CM FLEXÍVEL PLÁSTICO E TORNEIRA CROMADA DE MESA,
PADRÃO POPULAR - FORNEC. E INSTALAÇÃO. AF_01/2020</t>
  </si>
  <si>
    <t>BARRA DE APOIO RETA, EM ACO INOX POLIDO, COMPRIMENTO 60 CM, FIXADA NA PAREDE - FORNECIMENTO E INSTALAÇÃO. AF_01/2020</t>
  </si>
  <si>
    <t>VASO SANITÁRIO SIFONADO COM CAIXA ACOPLADA LOUÇA BRANCA - PADRÃO MÉDIO, INCLUSO ENGATE FLEXÍVEL EM METAL CROMADO, 1/2 X 40CM - FORNECIMENTO E INSTALAÇÃO. AF_01/2020</t>
  </si>
  <si>
    <t>VASO SANITARIO SIFONADO CONVENCIONAL PARA PCD SEM FURO FRONTAL COM LOUÇA BRANCA SEM ASSENTO - FORNECIMENTO E INSTALAÇÃO. AF_01/2020</t>
  </si>
  <si>
    <t>BLOCO AUTÔNOMO DE ILUMINAÇÃO DE EMERGÊNCIA COM DOIS REFLETORES - FORNECIMENTO E INSTALAÇÃO. AF_09/2024</t>
  </si>
  <si>
    <t>CAIXA D´ÁGUA EM POLIÉSTER REFORÇADO COM FIBRA DE VIDRO, 30000 LITROS - FORNECIMENTO E INSTALAÇÃO. AF_06/2021</t>
  </si>
  <si>
    <t>LUVA, PVC, SOLDÁVEL, DN 25MM, INSTALADO EM RAMAL DE DISTRIBUIÇÃO DE ÁGUA - FORNECIMENTO E INSTALAÇÃO. AF_06/2022</t>
  </si>
  <si>
    <t>CAIXA ENTERRADA HIDRÁULICA RETANGULAR, EM CONCRETO PRÉ-MOLDADO, DIMENSÕES INTERNAS: 0,6X0,6X0,5
M. AF_12/2020</t>
  </si>
  <si>
    <t>CAIXA SIFONADA RALO, COM GRELHA QUADRADA, PVC, DN 150 X 150 X 50 MM, JUNTA SOLDÁVEL, FORNECIDA E INSTALADA EM RAMAL DE DESCARGA OU EM RAMAL DE ESGOTO SANITÁRIO. AF_08/2022</t>
  </si>
  <si>
    <t>JUNÇÃO SIMPLES, PVC, SERIE NORMAL, ESGOTO PREDIAL, DN 100 X 100 MM, JUNTA ELÁSTICA, FORNECIDO E INSTALADO EM PRUMADA DE ESGOTO SANITÁRIO OU VENTILAÇÃO. AF_08/2022</t>
  </si>
  <si>
    <t>TANQUE SÉPTICO CIRCULAR, EM CONCRETO PRÉ-MOLDADO, DIÂMETRO INTERNO = 1,20 M, ALTURA INTERNA = 2,00 M, VOLUME ÚTIL: 1680,0 L. AF_12/2020</t>
  </si>
  <si>
    <t>SUMIDOURO CIRCULAR, EM CONCRETO PRÉ-MOLDADO, DIÂMETRO INTERNO = 1,20 M, ALTURA INTERNA = 2,00 M, ÁREA DE INFILTRAÇÃO: 13,1 M². AF_12/2020</t>
  </si>
  <si>
    <t>FILTRO ANAERÓBIO CIRCULAR, EM CONCRETO PRÉ-MOLDADO, DIÂMETRO INTERNO = 1,20 M, ALTURA INTERNA =1,50 M, VOLUME ÚTIL: 1140,4 L (PARA 5 CONTRIBUINTES). AF_12/2020</t>
  </si>
  <si>
    <t>CAIXA ENTERRADA HIDRÁULICA RETANGULAR, EM CONCRETO PRÉ-MOLDADO, DIMENSÕES INTERNAS: 0,4X0,4X0,4M. AF_12/2020</t>
  </si>
  <si>
    <t>PAINEL ACM PARA FECHAMENTOS VERTICAIS (INCLUI PARAFUSOS DE FIXACAO) REVESTIDO EM ACO GALVALUME, LARGURA UTIL DE 1100 MM, REVESTIMENTO COM ESPESSURA DE 0,50 MM, COM PRE-PINTURA NAS DUAS FACES, NUCLEO EM POLIURETANO (PUR) COM ESPESSURA 40/50 MM</t>
  </si>
  <si>
    <r>
      <t xml:space="preserve">MELIM </t>
    </r>
    <r>
      <rPr>
        <b/>
        <sz val="12"/>
        <color indexed="18"/>
        <rFont val="Times New Roman"/>
        <family val="1"/>
      </rPr>
      <t>Engenharia e Construtora Ltda.</t>
    </r>
  </si>
  <si>
    <t>Taxa Selic</t>
  </si>
  <si>
    <t xml:space="preserve"> Despesas Financeiras (DF)</t>
  </si>
  <si>
    <t>ISS MUNI.</t>
  </si>
  <si>
    <t>COMPOSIÇÃO DO BDI</t>
  </si>
  <si>
    <t>BDI = [((1+ AC + S+ R).(1+DF).(1+L)) / (1-(PIS+COFINS + ISS))]-1</t>
  </si>
  <si>
    <t xml:space="preserve">BDI  REFERENCIAL </t>
  </si>
  <si>
    <t>Sem Deso</t>
  </si>
  <si>
    <t>Grupo</t>
  </si>
  <si>
    <t>Componentes</t>
  </si>
  <si>
    <t>Incidências</t>
  </si>
  <si>
    <t>Despesas Indiretas</t>
  </si>
  <si>
    <t>A</t>
  </si>
  <si>
    <t>Administração Central</t>
  </si>
  <si>
    <t>Seguros + Garantias</t>
  </si>
  <si>
    <t>Riscos</t>
  </si>
  <si>
    <t>Despesas Financeiras</t>
  </si>
  <si>
    <t>Subtotal A</t>
  </si>
  <si>
    <t>Tributos</t>
  </si>
  <si>
    <t>B</t>
  </si>
  <si>
    <t>COFINS - Contribuição para o financiamento Seguridade Social</t>
  </si>
  <si>
    <t>PIS - Programa de Integração Social</t>
  </si>
  <si>
    <t>ISS - Imposto Sobre Serviço de Qualquer Natureza</t>
  </si>
  <si>
    <t>CPRB - Contribuição Previdenciária sobre Receita Bruta</t>
  </si>
  <si>
    <t>Subtotal B</t>
  </si>
  <si>
    <t>Bonificação</t>
  </si>
  <si>
    <t>C</t>
  </si>
  <si>
    <t>Lucro</t>
  </si>
  <si>
    <t>Subtotal C</t>
  </si>
  <si>
    <t>BDI</t>
  </si>
  <si>
    <t>BDI PARA ITENS DE MERO FORNECIMENTO DE MATERIAIS E EQUIPAMENTOS</t>
  </si>
  <si>
    <t>ACÓRDÃO Nº 2622/2013 – TCU – Plenário</t>
  </si>
  <si>
    <t>____________________</t>
  </si>
  <si>
    <t>BDI:23,31%</t>
  </si>
  <si>
    <t>CRONOGRAMA</t>
  </si>
  <si>
    <t>DESCRIÇÃO</t>
  </si>
  <si>
    <t>%</t>
  </si>
  <si>
    <r>
      <t>1º</t>
    </r>
    <r>
      <rPr>
        <b/>
        <sz val="11"/>
        <color indexed="8"/>
        <rFont val="Arial"/>
        <family val="2"/>
      </rPr>
      <t xml:space="preserve"> MES</t>
    </r>
  </si>
  <si>
    <r>
      <t>2º</t>
    </r>
    <r>
      <rPr>
        <b/>
        <sz val="11"/>
        <color indexed="8"/>
        <rFont val="Arial"/>
        <family val="2"/>
      </rPr>
      <t xml:space="preserve"> MES</t>
    </r>
  </si>
  <si>
    <r>
      <t>3º</t>
    </r>
    <r>
      <rPr>
        <b/>
        <sz val="11"/>
        <color indexed="8"/>
        <rFont val="Arial"/>
        <family val="2"/>
      </rPr>
      <t xml:space="preserve"> MES</t>
    </r>
  </si>
  <si>
    <t>SUBTOTAL</t>
  </si>
  <si>
    <r>
      <t>TOTAL</t>
    </r>
    <r>
      <rPr>
        <b/>
        <sz val="11"/>
        <color indexed="8"/>
        <rFont val="Arial"/>
        <family val="2"/>
      </rPr>
      <t xml:space="preserve"> ACUMULADO</t>
    </r>
  </si>
  <si>
    <t>Data: 22/12/25</t>
  </si>
  <si>
    <t>9.1.1</t>
  </si>
  <si>
    <t>9.1.2</t>
  </si>
  <si>
    <t>9.1.3</t>
  </si>
  <si>
    <t>9.1.4</t>
  </si>
  <si>
    <t>9.1.5</t>
  </si>
  <si>
    <t>9.1.6</t>
  </si>
  <si>
    <t>9.1.7</t>
  </si>
  <si>
    <t>9.1.8</t>
  </si>
  <si>
    <t>9.1.9</t>
  </si>
  <si>
    <t>9.1.10</t>
  </si>
  <si>
    <t>9.1.11</t>
  </si>
  <si>
    <t>9.2.1</t>
  </si>
  <si>
    <t>9.2.2</t>
  </si>
  <si>
    <t>9.2.3</t>
  </si>
  <si>
    <t>9.2.5</t>
  </si>
  <si>
    <t>9.2.8</t>
  </si>
  <si>
    <t>9.2.9</t>
  </si>
  <si>
    <t>9.2.10</t>
  </si>
  <si>
    <t>9.2.11</t>
  </si>
  <si>
    <t>9.2.13</t>
  </si>
  <si>
    <t>9.2.14</t>
  </si>
  <si>
    <t>9.2.15</t>
  </si>
  <si>
    <t>9.2.18</t>
  </si>
  <si>
    <t>9.2.20</t>
  </si>
  <si>
    <t>9.2.22</t>
  </si>
  <si>
    <t>9.3.1</t>
  </si>
  <si>
    <t>9.3.2</t>
  </si>
  <si>
    <t>9.3.3</t>
  </si>
  <si>
    <t>9.3.4</t>
  </si>
  <si>
    <t>9.3.5</t>
  </si>
  <si>
    <t>9.3.7</t>
  </si>
  <si>
    <t>9.3.8</t>
  </si>
  <si>
    <t>9.3.10</t>
  </si>
  <si>
    <t>9.3.11</t>
  </si>
  <si>
    <t>9.3.12</t>
  </si>
  <si>
    <t>9.3.13</t>
  </si>
  <si>
    <t>9.3.14</t>
  </si>
  <si>
    <t>9.3.15</t>
  </si>
  <si>
    <t>9.3.16</t>
  </si>
  <si>
    <t>9.3.17</t>
  </si>
  <si>
    <t>9.3.18</t>
  </si>
  <si>
    <t>9.3.19</t>
  </si>
  <si>
    <t>9.3.20</t>
  </si>
  <si>
    <t>9.3.21</t>
  </si>
  <si>
    <t>9.3.23</t>
  </si>
  <si>
    <t>9.3.24</t>
  </si>
  <si>
    <t>9.3.25</t>
  </si>
  <si>
    <t>9.3.26</t>
  </si>
  <si>
    <t>9.3.27</t>
  </si>
  <si>
    <t>9.4.1</t>
  </si>
  <si>
    <t>9.4.2</t>
  </si>
  <si>
    <t>9.4.3</t>
  </si>
  <si>
    <t>9.4.4</t>
  </si>
  <si>
    <t>9.4.5</t>
  </si>
  <si>
    <t>9.4.6</t>
  </si>
  <si>
    <t>Endereço: RODOVIA SC 110 - VIDAL RAMOS/SC</t>
  </si>
  <si>
    <t>Propritário: PREFEITURA MUNICIPAL DE VIDAL RAMOS</t>
  </si>
  <si>
    <r>
      <t>4º</t>
    </r>
    <r>
      <rPr>
        <b/>
        <sz val="11"/>
        <color indexed="8"/>
        <rFont val="Arial"/>
        <family val="2"/>
      </rPr>
      <t xml:space="preserve"> MES</t>
    </r>
  </si>
  <si>
    <r>
      <t>5º</t>
    </r>
    <r>
      <rPr>
        <b/>
        <sz val="11"/>
        <color indexed="8"/>
        <rFont val="Arial"/>
        <family val="2"/>
      </rPr>
      <t xml:space="preserve"> MES</t>
    </r>
  </si>
  <si>
    <t>INSTALAÇÕES HIDROSSANITÁRIAS</t>
  </si>
  <si>
    <t>JUNÇÃO SIMPLES, PVC, SERIE NORMAL, ESGOTO PREDIAL, DN 40 MM, JUNTA SOLDÁVEL, FORNECIDO E INSTALADO EM RAMAL DE DESCARGA OU RAMAL DE ESGOTO SANITÁRIO. AF_08/2022</t>
  </si>
  <si>
    <t>JUNÇÃO DE REDUÇÃO INVERTIDA, PVC, SÉRIE NORMAL, ESGOTO PREDIAL, DN 100 X 50 MM, JUNTA ELÁSTICA, FORNECIDO E INSTALADO EM RAMAL DE DESCARGA OU RAMAL DE ESGOTO SANITÁRIO. AF_08/2022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</si>
</sst>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"/>
    <numFmt numFmtId="165" formatCode="0.00000000"/>
    <numFmt numFmtId="166" formatCode="h:mm;@"/>
    <numFmt numFmtId="167" formatCode="0.0000"/>
    <numFmt numFmtId="168" formatCode="0_ 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1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0"/>
      <color indexed="18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2"/>
      <name val="Times New Roman"/>
      <family val="1"/>
    </font>
    <font>
      <b/>
      <sz val="12"/>
      <color indexed="18"/>
      <name val="Times New Roman"/>
      <family val="1"/>
    </font>
    <font>
      <sz val="10"/>
      <name val="TechnicBold"/>
      <charset val="2"/>
    </font>
    <font>
      <sz val="10"/>
      <name val="Times New Roman"/>
      <family val="1"/>
    </font>
    <font>
      <b/>
      <sz val="8"/>
      <name val="Times New Roman"/>
      <family val="1"/>
    </font>
    <font>
      <sz val="11"/>
      <color theme="1"/>
      <name val="Arial"/>
      <family val="2"/>
    </font>
    <font>
      <sz val="17"/>
      <name val="Arial"/>
      <family val="2"/>
    </font>
    <font>
      <b/>
      <sz val="15"/>
      <name val="Arial"/>
      <family val="2"/>
    </font>
    <font>
      <sz val="10"/>
      <name val="Arial"/>
      <family val="2"/>
      <charset val="1"/>
    </font>
    <font>
      <b/>
      <sz val="10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name val="Calibri"/>
      <family val="2"/>
      <charset val="1"/>
    </font>
    <font>
      <b/>
      <sz val="12"/>
      <name val="Arial"/>
      <family val="2"/>
    </font>
    <font>
      <sz val="10"/>
      <color rgb="FF262626"/>
      <name val="Arial"/>
      <family val="2"/>
    </font>
    <font>
      <sz val="8"/>
      <color rgb="FF262626"/>
      <name val="Arial"/>
      <family val="2"/>
    </font>
    <font>
      <b/>
      <sz val="10"/>
      <color rgb="FF262626"/>
      <name val="Arial"/>
      <family val="2"/>
    </font>
    <font>
      <b/>
      <sz val="12"/>
      <color rgb="FF262626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9"/>
      <color indexed="8"/>
      <name val="Arial"/>
      <family val="2"/>
    </font>
    <font>
      <b/>
      <sz val="11"/>
      <color rgb="FF000000"/>
      <name val="Arial"/>
      <family val="2"/>
    </font>
    <font>
      <b/>
      <sz val="11"/>
      <color indexed="8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EEEEE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77BC65"/>
        <bgColor rgb="FF969696"/>
      </patternFill>
    </fill>
    <fill>
      <patternFill patternType="solid">
        <fgColor rgb="FF969696"/>
        <bgColor rgb="FF808080"/>
      </patternFill>
    </fill>
    <fill>
      <patternFill patternType="solid">
        <fgColor rgb="FFF2F2F2"/>
        <bgColor rgb="FFEEEEEE"/>
      </patternFill>
    </fill>
    <fill>
      <patternFill patternType="solid">
        <fgColor rgb="FFFFFFFF"/>
        <bgColor rgb="FFF2F2F2"/>
      </patternFill>
    </fill>
    <fill>
      <patternFill patternType="solid">
        <fgColor indexed="9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/>
    <xf numFmtId="0" fontId="3" fillId="0" borderId="0"/>
    <xf numFmtId="9" fontId="25" fillId="0" borderId="0" applyBorder="0" applyProtection="0"/>
  </cellStyleXfs>
  <cellXfs count="18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164" fontId="3" fillId="0" borderId="0" xfId="2" applyNumberFormat="1" applyFont="1" applyFill="1" applyAlignment="1">
      <alignment vertical="center"/>
    </xf>
    <xf numFmtId="0" fontId="3" fillId="0" borderId="0" xfId="0" applyFont="1" applyAlignment="1">
      <alignment horizontal="center"/>
    </xf>
    <xf numFmtId="0" fontId="6" fillId="3" borderId="2" xfId="0" applyFont="1" applyFill="1" applyBorder="1" applyAlignment="1">
      <alignment horizontal="center" vertical="top" wrapText="1"/>
    </xf>
    <xf numFmtId="0" fontId="6" fillId="3" borderId="4" xfId="0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center" vertical="center" wrapText="1"/>
    </xf>
    <xf numFmtId="43" fontId="6" fillId="3" borderId="4" xfId="1" applyFont="1" applyFill="1" applyBorder="1" applyAlignment="1">
      <alignment horizontal="center" vertical="center" wrapText="1"/>
    </xf>
    <xf numFmtId="43" fontId="6" fillId="3" borderId="5" xfId="1" applyFont="1" applyFill="1" applyBorder="1" applyAlignment="1">
      <alignment horizontal="center" vertical="center" wrapText="1"/>
    </xf>
    <xf numFmtId="43" fontId="6" fillId="3" borderId="4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43" fontId="6" fillId="4" borderId="4" xfId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top" wrapText="1"/>
    </xf>
    <xf numFmtId="43" fontId="4" fillId="4" borderId="4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center" vertical="center" wrapText="1"/>
    </xf>
    <xf numFmtId="43" fontId="6" fillId="3" borderId="1" xfId="1" applyFont="1" applyFill="1" applyBorder="1" applyAlignment="1">
      <alignment horizontal="center" vertical="center" wrapText="1"/>
    </xf>
    <xf numFmtId="43" fontId="6" fillId="3" borderId="7" xfId="1" applyFont="1" applyFill="1" applyBorder="1" applyAlignment="1">
      <alignment horizontal="center" vertical="center" wrapText="1"/>
    </xf>
    <xf numFmtId="43" fontId="6" fillId="3" borderId="1" xfId="0" applyNumberFormat="1" applyFont="1" applyFill="1" applyBorder="1" applyAlignment="1">
      <alignment horizontal="center" vertical="top"/>
    </xf>
    <xf numFmtId="43" fontId="6" fillId="3" borderId="2" xfId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/>
    </xf>
    <xf numFmtId="43" fontId="6" fillId="3" borderId="1" xfId="1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vertical="center"/>
    </xf>
    <xf numFmtId="43" fontId="4" fillId="4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43" fontId="4" fillId="0" borderId="1" xfId="1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43" fontId="4" fillId="3" borderId="1" xfId="1" applyFont="1" applyFill="1" applyBorder="1" applyAlignment="1">
      <alignment vertical="center"/>
    </xf>
    <xf numFmtId="43" fontId="4" fillId="3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44" fontId="4" fillId="0" borderId="0" xfId="2" applyFont="1" applyAlignment="1">
      <alignment horizontal="right" vertical="center"/>
    </xf>
    <xf numFmtId="0" fontId="6" fillId="0" borderId="0" xfId="0" applyFont="1"/>
    <xf numFmtId="0" fontId="4" fillId="0" borderId="0" xfId="0" applyFont="1" applyAlignment="1">
      <alignment horizontal="center" vertical="center"/>
    </xf>
    <xf numFmtId="43" fontId="4" fillId="0" borderId="0" xfId="1" applyFont="1" applyAlignment="1">
      <alignment horizontal="right" vertical="center"/>
    </xf>
    <xf numFmtId="0" fontId="4" fillId="0" borderId="1" xfId="0" applyFont="1" applyBorder="1"/>
    <xf numFmtId="44" fontId="4" fillId="0" borderId="0" xfId="2" applyFont="1" applyAlignment="1">
      <alignment vertical="center"/>
    </xf>
    <xf numFmtId="0" fontId="4" fillId="0" borderId="1" xfId="0" applyFont="1" applyBorder="1" applyAlignment="1">
      <alignment wrapText="1"/>
    </xf>
    <xf numFmtId="0" fontId="10" fillId="3" borderId="1" xfId="0" applyFont="1" applyFill="1" applyBorder="1" applyAlignment="1">
      <alignment horizontal="left" vertical="top" wrapText="1"/>
    </xf>
    <xf numFmtId="43" fontId="4" fillId="0" borderId="0" xfId="0" applyNumberFormat="1" applyFont="1"/>
    <xf numFmtId="165" fontId="4" fillId="0" borderId="0" xfId="0" applyNumberFormat="1" applyFont="1"/>
    <xf numFmtId="0" fontId="4" fillId="0" borderId="0" xfId="0" applyFont="1" applyAlignment="1">
      <alignment wrapText="1"/>
    </xf>
    <xf numFmtId="0" fontId="4" fillId="0" borderId="8" xfId="0" applyFont="1" applyBorder="1" applyAlignment="1">
      <alignment wrapText="1"/>
    </xf>
    <xf numFmtId="0" fontId="4" fillId="2" borderId="10" xfId="0" applyFont="1" applyFill="1" applyBorder="1" applyAlignment="1">
      <alignment horizontal="center" wrapText="1"/>
    </xf>
    <xf numFmtId="43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44" fontId="4" fillId="0" borderId="0" xfId="2" applyFont="1"/>
    <xf numFmtId="4" fontId="4" fillId="0" borderId="0" xfId="0" applyNumberFormat="1" applyFont="1"/>
    <xf numFmtId="0" fontId="5" fillId="0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left" vertical="top" wrapText="1"/>
    </xf>
    <xf numFmtId="0" fontId="11" fillId="3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left" vertical="top" wrapText="1"/>
    </xf>
    <xf numFmtId="0" fontId="13" fillId="0" borderId="0" xfId="0" applyFont="1"/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/>
    </xf>
    <xf numFmtId="43" fontId="16" fillId="0" borderId="0" xfId="1" applyFont="1" applyAlignment="1">
      <alignment vertical="center"/>
    </xf>
    <xf numFmtId="44" fontId="17" fillId="0" borderId="0" xfId="2" applyFont="1" applyAlignment="1"/>
    <xf numFmtId="0" fontId="18" fillId="0" borderId="0" xfId="0" applyFont="1" applyAlignment="1">
      <alignment vertical="center"/>
    </xf>
    <xf numFmtId="0" fontId="16" fillId="0" borderId="0" xfId="0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43" fontId="1" fillId="0" borderId="0" xfId="1" applyFont="1" applyAlignment="1">
      <alignment horizontal="right" vertical="center"/>
    </xf>
    <xf numFmtId="44" fontId="1" fillId="0" borderId="0" xfId="2" applyFont="1" applyAlignment="1">
      <alignment horizontal="right" vertical="center"/>
    </xf>
    <xf numFmtId="0" fontId="22" fillId="5" borderId="13" xfId="4" applyFont="1" applyFill="1" applyBorder="1" applyAlignment="1">
      <alignment horizontal="left" vertical="center"/>
    </xf>
    <xf numFmtId="10" fontId="23" fillId="5" borderId="1" xfId="4" applyNumberFormat="1" applyFont="1" applyFill="1" applyBorder="1" applyAlignment="1">
      <alignment vertical="center"/>
    </xf>
    <xf numFmtId="0" fontId="0" fillId="5" borderId="0" xfId="0" applyFill="1" applyAlignment="1">
      <alignment vertical="center"/>
    </xf>
    <xf numFmtId="0" fontId="0" fillId="5" borderId="14" xfId="0" applyFill="1" applyBorder="1" applyAlignment="1">
      <alignment vertical="center"/>
    </xf>
    <xf numFmtId="0" fontId="23" fillId="7" borderId="18" xfId="0" applyFont="1" applyFill="1" applyBorder="1" applyAlignment="1">
      <alignment vertical="center"/>
    </xf>
    <xf numFmtId="0" fontId="24" fillId="8" borderId="19" xfId="5" applyFont="1" applyFill="1" applyBorder="1" applyAlignment="1">
      <alignment horizontal="center" vertical="center"/>
    </xf>
    <xf numFmtId="10" fontId="26" fillId="9" borderId="19" xfId="6" applyNumberFormat="1" applyFont="1" applyFill="1" applyBorder="1" applyAlignment="1" applyProtection="1">
      <alignment horizontal="center"/>
    </xf>
    <xf numFmtId="10" fontId="26" fillId="10" borderId="19" xfId="6" applyNumberFormat="1" applyFont="1" applyFill="1" applyBorder="1" applyAlignment="1" applyProtection="1">
      <alignment horizontal="center"/>
    </xf>
    <xf numFmtId="10" fontId="24" fillId="9" borderId="19" xfId="6" applyNumberFormat="1" applyFont="1" applyFill="1" applyBorder="1" applyAlignment="1" applyProtection="1">
      <alignment horizontal="center"/>
    </xf>
    <xf numFmtId="166" fontId="23" fillId="9" borderId="19" xfId="5" applyNumberFormat="1" applyFont="1" applyFill="1" applyBorder="1" applyAlignment="1">
      <alignment vertical="center" wrapText="1"/>
    </xf>
    <xf numFmtId="0" fontId="27" fillId="4" borderId="0" xfId="0" applyFont="1" applyFill="1" applyAlignment="1">
      <alignment vertical="center"/>
    </xf>
    <xf numFmtId="10" fontId="24" fillId="0" borderId="19" xfId="6" applyNumberFormat="1" applyFont="1" applyBorder="1" applyAlignment="1" applyProtection="1">
      <alignment horizontal="center"/>
    </xf>
    <xf numFmtId="0" fontId="0" fillId="0" borderId="0" xfId="0" applyAlignment="1">
      <alignment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horizontal="right" vertical="center"/>
    </xf>
    <xf numFmtId="10" fontId="29" fillId="0" borderId="0" xfId="0" applyNumberFormat="1" applyFont="1" applyAlignment="1">
      <alignment horizontal="right" vertical="center"/>
    </xf>
    <xf numFmtId="9" fontId="28" fillId="0" borderId="0" xfId="0" applyNumberFormat="1" applyFont="1" applyAlignment="1">
      <alignment horizontal="left" vertical="center"/>
    </xf>
    <xf numFmtId="10" fontId="30" fillId="0" borderId="1" xfId="0" applyNumberFormat="1" applyFont="1" applyBorder="1" applyAlignment="1">
      <alignment horizontal="left" vertical="center"/>
    </xf>
    <xf numFmtId="0" fontId="31" fillId="0" borderId="0" xfId="0" applyFont="1" applyAlignment="1">
      <alignment vertical="center"/>
    </xf>
    <xf numFmtId="10" fontId="31" fillId="0" borderId="0" xfId="0" applyNumberFormat="1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2" fillId="0" borderId="0" xfId="0" applyFont="1"/>
    <xf numFmtId="10" fontId="35" fillId="11" borderId="0" xfId="3" applyNumberFormat="1" applyFont="1" applyFill="1" applyBorder="1" applyAlignment="1">
      <alignment vertical="center" wrapText="1"/>
    </xf>
    <xf numFmtId="167" fontId="3" fillId="0" borderId="0" xfId="0" applyNumberFormat="1" applyFont="1" applyAlignment="1">
      <alignment horizontal="right" vertical="center"/>
    </xf>
    <xf numFmtId="4" fontId="3" fillId="0" borderId="0" xfId="0" applyNumberFormat="1" applyFont="1" applyAlignment="1">
      <alignment horizontal="right" vertical="center"/>
    </xf>
    <xf numFmtId="0" fontId="36" fillId="4" borderId="21" xfId="0" applyFont="1" applyFill="1" applyBorder="1" applyAlignment="1">
      <alignment horizontal="center" vertical="center"/>
    </xf>
    <xf numFmtId="0" fontId="36" fillId="4" borderId="22" xfId="0" applyFont="1" applyFill="1" applyBorder="1" applyAlignment="1">
      <alignment horizontal="center" vertical="center"/>
    </xf>
    <xf numFmtId="0" fontId="38" fillId="4" borderId="1" xfId="0" applyFont="1" applyFill="1" applyBorder="1" applyAlignment="1">
      <alignment horizontal="center" vertical="center"/>
    </xf>
    <xf numFmtId="0" fontId="38" fillId="4" borderId="1" xfId="0" applyFont="1" applyFill="1" applyBorder="1" applyAlignment="1">
      <alignment horizontal="left" vertical="center"/>
    </xf>
    <xf numFmtId="44" fontId="38" fillId="4" borderId="1" xfId="0" applyNumberFormat="1" applyFont="1" applyFill="1" applyBorder="1" applyAlignment="1">
      <alignment horizontal="center" vertical="center"/>
    </xf>
    <xf numFmtId="10" fontId="38" fillId="4" borderId="1" xfId="3" applyNumberFormat="1" applyFont="1" applyFill="1" applyBorder="1" applyAlignment="1">
      <alignment horizontal="center" vertical="center"/>
    </xf>
    <xf numFmtId="44" fontId="38" fillId="4" borderId="1" xfId="2" applyFont="1" applyFill="1" applyBorder="1" applyAlignment="1">
      <alignment horizontal="center" vertical="center"/>
    </xf>
    <xf numFmtId="10" fontId="39" fillId="4" borderId="1" xfId="3" applyNumberFormat="1" applyFont="1" applyFill="1" applyBorder="1" applyAlignment="1">
      <alignment horizontal="center" vertical="center"/>
    </xf>
    <xf numFmtId="10" fontId="3" fillId="0" borderId="0" xfId="0" applyNumberFormat="1" applyFont="1" applyAlignment="1">
      <alignment vertical="center"/>
    </xf>
    <xf numFmtId="0" fontId="18" fillId="4" borderId="1" xfId="0" applyFont="1" applyFill="1" applyBorder="1" applyAlignment="1">
      <alignment horizontal="left" vertical="center"/>
    </xf>
    <xf numFmtId="168" fontId="38" fillId="0" borderId="0" xfId="0" applyNumberFormat="1" applyFont="1" applyAlignment="1">
      <alignment horizontal="center" vertical="center"/>
    </xf>
    <xf numFmtId="0" fontId="38" fillId="0" borderId="0" xfId="0" applyFont="1" applyAlignment="1">
      <alignment horizontal="left" vertical="center"/>
    </xf>
    <xf numFmtId="44" fontId="38" fillId="0" borderId="0" xfId="0" applyNumberFormat="1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44" fontId="38" fillId="0" borderId="0" xfId="2" applyFont="1" applyAlignment="1">
      <alignment horizontal="center" vertical="center"/>
    </xf>
    <xf numFmtId="10" fontId="38" fillId="0" borderId="0" xfId="0" applyNumberFormat="1" applyFont="1" applyAlignment="1">
      <alignment horizontal="center" vertical="center"/>
    </xf>
    <xf numFmtId="44" fontId="36" fillId="3" borderId="25" xfId="2" applyFont="1" applyFill="1" applyBorder="1" applyAlignment="1">
      <alignment horizontal="center" vertical="center"/>
    </xf>
    <xf numFmtId="10" fontId="36" fillId="3" borderId="25" xfId="0" applyNumberFormat="1" applyFont="1" applyFill="1" applyBorder="1" applyAlignment="1">
      <alignment horizontal="center" vertical="center"/>
    </xf>
    <xf numFmtId="44" fontId="36" fillId="3" borderId="28" xfId="2" applyFont="1" applyFill="1" applyBorder="1" applyAlignment="1">
      <alignment horizontal="center" vertical="center"/>
    </xf>
    <xf numFmtId="10" fontId="36" fillId="3" borderId="28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49" fontId="40" fillId="4" borderId="0" xfId="0" applyNumberFormat="1" applyFont="1" applyFill="1" applyAlignment="1">
      <alignment horizontal="center" vertical="center"/>
    </xf>
    <xf numFmtId="0" fontId="40" fillId="4" borderId="0" xfId="0" applyFont="1" applyFill="1" applyAlignment="1">
      <alignment vertical="center" wrapText="1"/>
    </xf>
    <xf numFmtId="0" fontId="40" fillId="4" borderId="0" xfId="0" applyFont="1" applyFill="1" applyAlignment="1">
      <alignment horizontal="center" vertical="center"/>
    </xf>
    <xf numFmtId="4" fontId="40" fillId="4" borderId="0" xfId="0" applyNumberFormat="1" applyFont="1" applyFill="1" applyAlignment="1">
      <alignment horizontal="right" vertical="center"/>
    </xf>
    <xf numFmtId="0" fontId="2" fillId="0" borderId="0" xfId="5" applyFont="1" applyAlignment="1">
      <alignment horizontal="center"/>
    </xf>
    <xf numFmtId="0" fontId="3" fillId="0" borderId="0" xfId="0" applyFont="1" applyAlignment="1">
      <alignment vertical="center" wrapText="1"/>
    </xf>
    <xf numFmtId="0" fontId="41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44" fontId="6" fillId="2" borderId="11" xfId="2" applyFont="1" applyFill="1" applyBorder="1" applyAlignment="1">
      <alignment horizontal="center"/>
    </xf>
    <xf numFmtId="44" fontId="6" fillId="2" borderId="12" xfId="2" applyFont="1" applyFill="1" applyBorder="1" applyAlignment="1">
      <alignment horizontal="center"/>
    </xf>
    <xf numFmtId="49" fontId="22" fillId="0" borderId="13" xfId="5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49" fontId="22" fillId="9" borderId="13" xfId="5" applyNumberFormat="1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/>
    </xf>
    <xf numFmtId="49" fontId="24" fillId="9" borderId="13" xfId="5" applyNumberFormat="1" applyFont="1" applyFill="1" applyBorder="1" applyAlignment="1">
      <alignment horizontal="center" vertical="center"/>
    </xf>
    <xf numFmtId="49" fontId="24" fillId="0" borderId="13" xfId="5" applyNumberFormat="1" applyFont="1" applyBorder="1" applyAlignment="1">
      <alignment horizontal="center" vertical="center"/>
    </xf>
    <xf numFmtId="49" fontId="24" fillId="8" borderId="13" xfId="5" applyNumberFormat="1" applyFont="1" applyFill="1" applyBorder="1" applyAlignment="1">
      <alignment horizontal="center" vertical="center"/>
    </xf>
    <xf numFmtId="0" fontId="24" fillId="8" borderId="1" xfId="5" applyFont="1" applyFill="1" applyBorder="1" applyAlignment="1">
      <alignment horizontal="center" vertical="center"/>
    </xf>
    <xf numFmtId="10" fontId="23" fillId="6" borderId="1" xfId="3" applyNumberFormat="1" applyFont="1" applyFill="1" applyBorder="1" applyAlignment="1" applyProtection="1">
      <alignment horizontal="center" vertical="center"/>
    </xf>
    <xf numFmtId="0" fontId="22" fillId="5" borderId="13" xfId="4" applyFont="1" applyFill="1" applyBorder="1" applyAlignment="1">
      <alignment horizontal="center" vertical="center"/>
    </xf>
    <xf numFmtId="10" fontId="23" fillId="6" borderId="1" xfId="4" applyNumberFormat="1" applyFont="1" applyFill="1" applyBorder="1" applyAlignment="1">
      <alignment horizontal="center" vertical="center"/>
    </xf>
    <xf numFmtId="49" fontId="24" fillId="5" borderId="15" xfId="4" applyNumberFormat="1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22" fillId="7" borderId="17" xfId="0" applyFont="1" applyFill="1" applyBorder="1" applyAlignment="1">
      <alignment horizontal="center" vertical="center"/>
    </xf>
    <xf numFmtId="0" fontId="36" fillId="3" borderId="23" xfId="0" applyFont="1" applyFill="1" applyBorder="1" applyAlignment="1">
      <alignment horizontal="center" vertical="center"/>
    </xf>
    <xf numFmtId="0" fontId="36" fillId="3" borderId="24" xfId="0" applyFont="1" applyFill="1" applyBorder="1" applyAlignment="1">
      <alignment horizontal="center" vertical="center"/>
    </xf>
    <xf numFmtId="44" fontId="36" fillId="3" borderId="22" xfId="2" applyFont="1" applyFill="1" applyBorder="1" applyAlignment="1">
      <alignment horizontal="center" vertical="center"/>
    </xf>
    <xf numFmtId="44" fontId="36" fillId="3" borderId="20" xfId="2" applyFont="1" applyFill="1" applyBorder="1" applyAlignment="1">
      <alignment horizontal="center" vertical="center"/>
    </xf>
    <xf numFmtId="10" fontId="36" fillId="3" borderId="22" xfId="0" applyNumberFormat="1" applyFont="1" applyFill="1" applyBorder="1" applyAlignment="1">
      <alignment horizontal="center" vertical="center"/>
    </xf>
    <xf numFmtId="10" fontId="36" fillId="3" borderId="20" xfId="0" applyNumberFormat="1" applyFont="1" applyFill="1" applyBorder="1" applyAlignment="1">
      <alignment horizontal="center" vertical="center"/>
    </xf>
    <xf numFmtId="0" fontId="36" fillId="3" borderId="26" xfId="0" applyFont="1" applyFill="1" applyBorder="1" applyAlignment="1">
      <alignment horizontal="center" vertical="center"/>
    </xf>
    <xf numFmtId="0" fontId="36" fillId="3" borderId="27" xfId="0" applyFont="1" applyFill="1" applyBorder="1" applyAlignment="1">
      <alignment horizontal="center" vertical="center"/>
    </xf>
    <xf numFmtId="0" fontId="2" fillId="0" borderId="0" xfId="5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3" fillId="0" borderId="0" xfId="0" applyFont="1"/>
    <xf numFmtId="0" fontId="42" fillId="0" borderId="0" xfId="0" applyFont="1"/>
    <xf numFmtId="10" fontId="3" fillId="0" borderId="0" xfId="0" applyNumberFormat="1" applyFont="1" applyAlignment="1">
      <alignment horizontal="left" vertical="center"/>
    </xf>
    <xf numFmtId="0" fontId="0" fillId="0" borderId="0" xfId="0" applyFont="1"/>
    <xf numFmtId="0" fontId="36" fillId="3" borderId="29" xfId="0" applyFont="1" applyFill="1" applyBorder="1" applyAlignment="1">
      <alignment horizontal="center" vertical="center"/>
    </xf>
    <xf numFmtId="0" fontId="36" fillId="3" borderId="30" xfId="0" applyFont="1" applyFill="1" applyBorder="1" applyAlignment="1">
      <alignment horizontal="center" vertical="center"/>
    </xf>
    <xf numFmtId="0" fontId="36" fillId="3" borderId="3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3" fontId="2" fillId="2" borderId="1" xfId="1" applyFont="1" applyFill="1" applyBorder="1" applyAlignment="1">
      <alignment horizontal="center" vertical="center" wrapText="1"/>
    </xf>
    <xf numFmtId="0" fontId="4" fillId="0" borderId="0" xfId="0" applyFont="1" applyBorder="1"/>
    <xf numFmtId="0" fontId="27" fillId="2" borderId="11" xfId="0" applyFont="1" applyFill="1" applyBorder="1" applyAlignment="1">
      <alignment horizontal="center" vertical="center"/>
    </xf>
    <xf numFmtId="0" fontId="27" fillId="2" borderId="32" xfId="0" applyFont="1" applyFill="1" applyBorder="1" applyAlignment="1">
      <alignment horizontal="center" vertical="center"/>
    </xf>
    <xf numFmtId="0" fontId="27" fillId="2" borderId="12" xfId="0" applyFont="1" applyFill="1" applyBorder="1" applyAlignment="1">
      <alignment horizontal="center" vertical="center"/>
    </xf>
  </cellXfs>
  <cellStyles count="7">
    <cellStyle name="Moeda" xfId="2" builtinId="4"/>
    <cellStyle name="Normal" xfId="0" builtinId="0"/>
    <cellStyle name="Normal 2" xfId="5" xr:uid="{0D7AE852-EF51-42D6-825D-0BA616BC1147}"/>
    <cellStyle name="Normal 3" xfId="4" xr:uid="{4836FA5E-372B-4626-96BA-055C34248619}"/>
    <cellStyle name="Porcentagem" xfId="3" builtinId="5"/>
    <cellStyle name="Porcentagem 2" xfId="6" xr:uid="{9D809444-B76A-4AED-AB16-FEF33648842A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365760</xdr:colOff>
      <xdr:row>0</xdr:row>
      <xdr:rowOff>0</xdr:rowOff>
    </xdr:from>
    <xdr:to>
      <xdr:col>7</xdr:col>
      <xdr:colOff>883920</xdr:colOff>
      <xdr:row>5</xdr:row>
      <xdr:rowOff>114300</xdr:rowOff>
    </xdr:to>
    <xdr:pic>
      <xdr:nvPicPr>
        <xdr:cNvPr id="2" name="Picture 14">
          <a:extLst>
            <a:ext uri="{FF2B5EF4-FFF2-40B4-BE49-F238E27FC236}">
              <a16:creationId xmlns:a16="http://schemas.microsoft.com/office/drawing/2014/main" id="{7A31AC30-29FA-4BD9-A375-2C28FC185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0"/>
          <a:ext cx="219456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952500</xdr:colOff>
      <xdr:row>1</xdr:row>
      <xdr:rowOff>0</xdr:rowOff>
    </xdr:from>
    <xdr:to>
      <xdr:col>7</xdr:col>
      <xdr:colOff>563880</xdr:colOff>
      <xdr:row>6</xdr:row>
      <xdr:rowOff>15240</xdr:rowOff>
    </xdr:to>
    <xdr:pic>
      <xdr:nvPicPr>
        <xdr:cNvPr id="2" name="Picture 14">
          <a:extLst>
            <a:ext uri="{FF2B5EF4-FFF2-40B4-BE49-F238E27FC236}">
              <a16:creationId xmlns:a16="http://schemas.microsoft.com/office/drawing/2014/main" id="{6C0C5F3F-798D-47FA-9562-22C4903C1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7820" y="182880"/>
          <a:ext cx="2202180" cy="960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952500</xdr:colOff>
      <xdr:row>1</xdr:row>
      <xdr:rowOff>0</xdr:rowOff>
    </xdr:from>
    <xdr:to>
      <xdr:col>7</xdr:col>
      <xdr:colOff>563880</xdr:colOff>
      <xdr:row>6</xdr:row>
      <xdr:rowOff>15240</xdr:rowOff>
    </xdr:to>
    <xdr:pic>
      <xdr:nvPicPr>
        <xdr:cNvPr id="3" name="Picture 14">
          <a:extLst>
            <a:ext uri="{FF2B5EF4-FFF2-40B4-BE49-F238E27FC236}">
              <a16:creationId xmlns:a16="http://schemas.microsoft.com/office/drawing/2014/main" id="{EF00B238-5ACF-495F-AEAA-811E9261E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7820" y="182880"/>
          <a:ext cx="2202180" cy="960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784860</xdr:colOff>
      <xdr:row>0</xdr:row>
      <xdr:rowOff>45720</xdr:rowOff>
    </xdr:from>
    <xdr:to>
      <xdr:col>13</xdr:col>
      <xdr:colOff>556260</xdr:colOff>
      <xdr:row>5</xdr:row>
      <xdr:rowOff>137160</xdr:rowOff>
    </xdr:to>
    <xdr:pic>
      <xdr:nvPicPr>
        <xdr:cNvPr id="2" name="Picture 14">
          <a:extLst>
            <a:ext uri="{FF2B5EF4-FFF2-40B4-BE49-F238E27FC236}">
              <a16:creationId xmlns:a16="http://schemas.microsoft.com/office/drawing/2014/main" id="{5D3D837C-BB80-4414-80E3-AECBB6366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5180" y="45720"/>
          <a:ext cx="2720340" cy="102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BKP/Melim/Projetos%202025/Reforma%20clube%20mulheres%20S&#227;o%20Domingos/Or&#231;amento%20Clube%20das%20Mulheres%20S&#227;o%20Doming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BKP/Melim/Projetos%202024/Pontes/Atualizado%20Jan25/Ponte%2015,00%20metros%20%20-%20Or&#231;amento%20Jun_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BDI"/>
      <sheetName val="Cronograma"/>
    </sheetNames>
    <sheetDataSet>
      <sheetData sheetId="0">
        <row r="11">
          <cell r="A11" t="str">
            <v>Propritário: Prefeitura Municipal de Vidal Ramos</v>
          </cell>
        </row>
        <row r="21">
          <cell r="C21" t="str">
            <v>SERVIÇOS INICIAIS</v>
          </cell>
        </row>
      </sheetData>
      <sheetData sheetId="1">
        <row r="11">
          <cell r="B11" t="str">
            <v>Propritário: Prefeitura Municipal de Vidal Ramos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nte 15,00 metros"/>
      <sheetName val="Cotação"/>
      <sheetName val="Cronograma"/>
      <sheetName val="BDI"/>
    </sheetNames>
    <sheetDataSet>
      <sheetData sheetId="0">
        <row r="13">
          <cell r="A13" t="str">
            <v>BDI: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52170-2DE5-4C62-81E8-07BA1F3FCF5A}">
  <dimension ref="A1:N213"/>
  <sheetViews>
    <sheetView tabSelected="1" workbookViewId="0">
      <selection activeCell="K14" sqref="K14"/>
    </sheetView>
  </sheetViews>
  <sheetFormatPr defaultRowHeight="13.2" x14ac:dyDescent="0.25"/>
  <cols>
    <col min="1" max="1" width="6.6640625" style="39" customWidth="1"/>
    <col min="2" max="2" width="7.5546875" style="39" bestFit="1" customWidth="1"/>
    <col min="3" max="3" width="70" style="3" customWidth="1"/>
    <col min="4" max="4" width="6.6640625" style="39" customWidth="1"/>
    <col min="5" max="5" width="10.44140625" style="50" bestFit="1" customWidth="1"/>
    <col min="6" max="6" width="11.5546875" style="51" customWidth="1"/>
    <col min="7" max="7" width="12.88671875" style="51" customWidth="1"/>
    <col min="8" max="8" width="13.44140625" style="3" bestFit="1" customWidth="1"/>
    <col min="9" max="9" width="13.109375" style="3" bestFit="1" customWidth="1"/>
    <col min="10" max="10" width="9.44140625" style="3" bestFit="1" customWidth="1"/>
    <col min="11" max="11" width="9" style="3" bestFit="1" customWidth="1"/>
    <col min="12" max="12" width="14.33203125" style="3" bestFit="1" customWidth="1"/>
    <col min="13" max="13" width="9" style="3" bestFit="1" customWidth="1"/>
    <col min="14" max="14" width="10.5546875" style="3" bestFit="1" customWidth="1"/>
    <col min="15" max="16384" width="8.88671875" style="3"/>
  </cols>
  <sheetData>
    <row r="1" spans="1:14" x14ac:dyDescent="0.25">
      <c r="A1" s="165" t="s">
        <v>156</v>
      </c>
      <c r="B1" s="160"/>
      <c r="C1" s="36"/>
      <c r="D1" s="36"/>
      <c r="E1" s="4"/>
      <c r="F1" s="3"/>
      <c r="G1" s="3"/>
      <c r="I1" s="37"/>
      <c r="J1" s="37"/>
      <c r="L1" s="38"/>
      <c r="M1" s="38"/>
      <c r="N1" s="38"/>
    </row>
    <row r="2" spans="1:14" x14ac:dyDescent="0.25">
      <c r="A2" s="166" t="s">
        <v>0</v>
      </c>
      <c r="B2" s="161"/>
      <c r="C2" s="5"/>
      <c r="D2" s="5"/>
      <c r="E2" s="4"/>
      <c r="F2" s="3"/>
      <c r="G2" s="3"/>
      <c r="I2" s="37"/>
      <c r="J2" s="37"/>
    </row>
    <row r="3" spans="1:14" x14ac:dyDescent="0.25">
      <c r="A3" s="166" t="s">
        <v>1</v>
      </c>
      <c r="B3" s="161"/>
      <c r="C3" s="5"/>
      <c r="D3" s="5"/>
      <c r="E3" s="4"/>
      <c r="F3" s="3"/>
      <c r="G3" s="3"/>
      <c r="I3" s="37"/>
      <c r="J3" s="37"/>
    </row>
    <row r="4" spans="1:14" x14ac:dyDescent="0.25">
      <c r="A4" s="166" t="s">
        <v>2</v>
      </c>
      <c r="B4" s="161"/>
      <c r="C4" s="5"/>
      <c r="D4" s="5"/>
      <c r="E4" s="4"/>
      <c r="F4" s="3"/>
      <c r="G4" s="3"/>
      <c r="I4" s="37"/>
      <c r="J4" s="37"/>
    </row>
    <row r="5" spans="1:14" x14ac:dyDescent="0.25">
      <c r="A5" s="166" t="s">
        <v>3</v>
      </c>
      <c r="B5" s="161"/>
      <c r="C5" s="5"/>
      <c r="D5" s="5"/>
      <c r="E5" s="4"/>
      <c r="F5" s="3"/>
      <c r="G5" s="3"/>
      <c r="I5" s="37"/>
      <c r="J5" s="37"/>
    </row>
    <row r="6" spans="1:14" x14ac:dyDescent="0.25">
      <c r="A6" s="166"/>
      <c r="B6" s="161"/>
      <c r="C6" s="5"/>
      <c r="D6" s="5"/>
      <c r="E6" s="4"/>
      <c r="F6" s="3"/>
      <c r="G6" s="3"/>
      <c r="I6" s="37"/>
      <c r="J6" s="37"/>
    </row>
    <row r="7" spans="1:14" x14ac:dyDescent="0.25">
      <c r="A7" s="166"/>
      <c r="B7" s="161"/>
      <c r="C7" s="5"/>
      <c r="D7" s="5"/>
      <c r="E7" s="4"/>
      <c r="F7" s="3"/>
      <c r="G7" s="3"/>
      <c r="I7" s="37"/>
      <c r="J7" s="37"/>
    </row>
    <row r="8" spans="1:14" x14ac:dyDescent="0.25">
      <c r="A8" s="165" t="s">
        <v>449</v>
      </c>
      <c r="C8" s="39"/>
      <c r="E8" s="39"/>
      <c r="F8" s="39"/>
      <c r="G8" s="40"/>
      <c r="H8" s="37"/>
      <c r="I8" s="37"/>
      <c r="J8" s="37"/>
    </row>
    <row r="9" spans="1:14" x14ac:dyDescent="0.25">
      <c r="A9" s="167" t="s">
        <v>137</v>
      </c>
      <c r="C9" s="39"/>
      <c r="E9" s="39"/>
      <c r="F9" s="39"/>
      <c r="G9" s="3" t="s">
        <v>392</v>
      </c>
      <c r="J9" s="37"/>
      <c r="K9" s="3" t="s">
        <v>4</v>
      </c>
    </row>
    <row r="10" spans="1:14" x14ac:dyDescent="0.25">
      <c r="A10" s="165" t="s">
        <v>448</v>
      </c>
      <c r="C10" s="39"/>
      <c r="E10" s="39"/>
      <c r="F10" s="39"/>
      <c r="G10" s="2" t="s">
        <v>5</v>
      </c>
      <c r="H10" s="2"/>
      <c r="I10" s="2"/>
      <c r="J10" s="37"/>
      <c r="K10" s="41">
        <v>1.2331000000000001</v>
      </c>
    </row>
    <row r="11" spans="1:14" x14ac:dyDescent="0.25">
      <c r="A11" s="165"/>
      <c r="C11" s="39"/>
      <c r="E11" s="39"/>
      <c r="F11" s="39"/>
      <c r="G11" s="2"/>
      <c r="H11" s="2"/>
      <c r="I11" s="2"/>
      <c r="J11" s="37"/>
      <c r="K11" s="183"/>
    </row>
    <row r="12" spans="1:14" x14ac:dyDescent="0.25">
      <c r="E12" s="39"/>
      <c r="F12" s="39"/>
      <c r="G12" s="40"/>
      <c r="H12" s="37"/>
      <c r="I12" s="42"/>
      <c r="J12" s="42"/>
    </row>
    <row r="13" spans="1:14" x14ac:dyDescent="0.25">
      <c r="A13" s="128" t="s">
        <v>6</v>
      </c>
      <c r="B13" s="128"/>
      <c r="C13" s="128"/>
      <c r="D13" s="128"/>
      <c r="E13" s="128"/>
      <c r="F13" s="128"/>
      <c r="G13" s="128"/>
      <c r="H13" s="128"/>
      <c r="I13" s="42"/>
      <c r="J13" s="42"/>
    </row>
    <row r="14" spans="1:14" ht="39.6" x14ac:dyDescent="0.25">
      <c r="A14" s="157" t="s">
        <v>7</v>
      </c>
      <c r="B14" s="175" t="s">
        <v>8</v>
      </c>
      <c r="C14" s="181" t="s">
        <v>9</v>
      </c>
      <c r="D14" s="175" t="s">
        <v>10</v>
      </c>
      <c r="E14" s="182" t="s">
        <v>11</v>
      </c>
      <c r="F14" s="182" t="s">
        <v>12</v>
      </c>
      <c r="G14" s="182" t="s">
        <v>13</v>
      </c>
      <c r="H14" s="182" t="s">
        <v>14</v>
      </c>
      <c r="I14" s="42"/>
      <c r="J14" s="42"/>
    </row>
    <row r="15" spans="1:14" x14ac:dyDescent="0.25">
      <c r="A15" s="158">
        <v>1</v>
      </c>
      <c r="B15" s="176"/>
      <c r="C15" s="7" t="s">
        <v>15</v>
      </c>
      <c r="D15" s="8"/>
      <c r="E15" s="9"/>
      <c r="F15" s="9"/>
      <c r="G15" s="10"/>
      <c r="H15" s="11">
        <f>SUM(H16:H21)</f>
        <v>32357.65</v>
      </c>
    </row>
    <row r="16" spans="1:14" ht="26.4" x14ac:dyDescent="0.25">
      <c r="A16" s="13" t="s">
        <v>16</v>
      </c>
      <c r="B16" s="13">
        <v>103689</v>
      </c>
      <c r="C16" s="12" t="s">
        <v>17</v>
      </c>
      <c r="D16" s="13" t="s">
        <v>18</v>
      </c>
      <c r="E16" s="14">
        <f>1.8*3.6</f>
        <v>6.48</v>
      </c>
      <c r="F16" s="15">
        <v>463.33</v>
      </c>
      <c r="G16" s="14">
        <f>ROUND(F16*L16,2)</f>
        <v>571.33000000000004</v>
      </c>
      <c r="H16" s="14">
        <f>ROUND(G16*E16,2)</f>
        <v>3702.22</v>
      </c>
      <c r="L16" s="3">
        <f>K10</f>
        <v>1.2331000000000001</v>
      </c>
    </row>
    <row r="17" spans="1:12" x14ac:dyDescent="0.25">
      <c r="A17" s="30" t="s">
        <v>19</v>
      </c>
      <c r="B17" s="177">
        <v>98459</v>
      </c>
      <c r="C17" s="16" t="s">
        <v>139</v>
      </c>
      <c r="D17" s="13" t="s">
        <v>18</v>
      </c>
      <c r="E17" s="17">
        <f>2.4*(19+4+25+4)</f>
        <v>124.8</v>
      </c>
      <c r="F17" s="17">
        <v>87.72</v>
      </c>
      <c r="G17" s="14">
        <f>ROUND(F17*L17,2)</f>
        <v>108.17</v>
      </c>
      <c r="H17" s="14">
        <f t="shared" ref="H17:H84" si="0">ROUND(G17*E17,2)</f>
        <v>13499.62</v>
      </c>
      <c r="L17" s="3">
        <f>L16</f>
        <v>1.2331000000000001</v>
      </c>
    </row>
    <row r="18" spans="1:12" ht="39.6" x14ac:dyDescent="0.25">
      <c r="A18" s="30" t="s">
        <v>21</v>
      </c>
      <c r="B18" s="177">
        <v>98525</v>
      </c>
      <c r="C18" s="16" t="s">
        <v>140</v>
      </c>
      <c r="D18" s="13" t="s">
        <v>18</v>
      </c>
      <c r="E18" s="17">
        <f>(19+4)*(25+4)</f>
        <v>667</v>
      </c>
      <c r="F18" s="17">
        <v>0.66</v>
      </c>
      <c r="G18" s="14">
        <f t="shared" ref="G18:G84" si="1">ROUND(F18*L18,2)</f>
        <v>0.81</v>
      </c>
      <c r="H18" s="14">
        <f t="shared" si="0"/>
        <v>540.27</v>
      </c>
      <c r="L18" s="3">
        <f t="shared" ref="L18:L80" si="2">L17</f>
        <v>1.2331000000000001</v>
      </c>
    </row>
    <row r="19" spans="1:12" ht="26.4" x14ac:dyDescent="0.25">
      <c r="A19" s="30" t="s">
        <v>22</v>
      </c>
      <c r="B19" s="13">
        <v>104738</v>
      </c>
      <c r="C19" s="12" t="s">
        <v>141</v>
      </c>
      <c r="D19" s="13" t="s">
        <v>20</v>
      </c>
      <c r="E19" s="14">
        <f>475*0.15</f>
        <v>71.25</v>
      </c>
      <c r="F19" s="14">
        <v>83.19</v>
      </c>
      <c r="G19" s="14">
        <f t="shared" ref="G19" si="3">ROUND(F19*L19,2)</f>
        <v>102.58</v>
      </c>
      <c r="H19" s="14">
        <f t="shared" ref="H19" si="4">ROUND(G19*E19,2)</f>
        <v>7308.83</v>
      </c>
      <c r="L19" s="3">
        <f t="shared" si="2"/>
        <v>1.2331000000000001</v>
      </c>
    </row>
    <row r="20" spans="1:12" ht="26.4" x14ac:dyDescent="0.25">
      <c r="A20" s="30" t="s">
        <v>216</v>
      </c>
      <c r="B20" s="13">
        <v>96525</v>
      </c>
      <c r="C20" s="12" t="s">
        <v>219</v>
      </c>
      <c r="D20" s="13" t="s">
        <v>20</v>
      </c>
      <c r="E20" s="14">
        <f>0.4*0.2*(25*3+4.2*6+3*2+2*4)</f>
        <v>9.1360000000000028</v>
      </c>
      <c r="F20" s="14">
        <v>58.1</v>
      </c>
      <c r="G20" s="14">
        <f t="shared" ref="G20" si="5">ROUND(F20*L20,2)</f>
        <v>71.64</v>
      </c>
      <c r="H20" s="14">
        <f t="shared" ref="H20" si="6">ROUND(G20*E20,2)</f>
        <v>654.5</v>
      </c>
      <c r="L20" s="3">
        <f t="shared" si="2"/>
        <v>1.2331000000000001</v>
      </c>
    </row>
    <row r="21" spans="1:12" ht="39.6" x14ac:dyDescent="0.25">
      <c r="A21" s="30" t="s">
        <v>218</v>
      </c>
      <c r="B21" s="13">
        <v>96520</v>
      </c>
      <c r="C21" s="12" t="s">
        <v>217</v>
      </c>
      <c r="D21" s="13" t="s">
        <v>20</v>
      </c>
      <c r="E21" s="14">
        <f>(1.1*1.1*31*1.5)</f>
        <v>56.265000000000008</v>
      </c>
      <c r="F21" s="14">
        <v>95.88</v>
      </c>
      <c r="G21" s="14">
        <f t="shared" si="1"/>
        <v>118.23</v>
      </c>
      <c r="H21" s="14">
        <f t="shared" si="0"/>
        <v>6652.21</v>
      </c>
      <c r="L21" s="3">
        <f>L18</f>
        <v>1.2331000000000001</v>
      </c>
    </row>
    <row r="22" spans="1:12" x14ac:dyDescent="0.25">
      <c r="A22" s="158">
        <v>2</v>
      </c>
      <c r="B22" s="158"/>
      <c r="C22" s="18" t="s">
        <v>206</v>
      </c>
      <c r="D22" s="19"/>
      <c r="E22" s="20"/>
      <c r="F22" s="20"/>
      <c r="G22" s="21"/>
      <c r="H22" s="22">
        <f>SUM(H23:H28)</f>
        <v>38903.759999999995</v>
      </c>
      <c r="L22" s="3">
        <f t="shared" si="2"/>
        <v>1.2331000000000001</v>
      </c>
    </row>
    <row r="23" spans="1:12" ht="26.4" x14ac:dyDescent="0.25">
      <c r="A23" s="30" t="s">
        <v>26</v>
      </c>
      <c r="B23" s="178">
        <v>101174</v>
      </c>
      <c r="C23" s="35" t="s">
        <v>208</v>
      </c>
      <c r="D23" s="30" t="s">
        <v>24</v>
      </c>
      <c r="E23" s="31">
        <f>31*2*2</f>
        <v>124</v>
      </c>
      <c r="F23" s="31">
        <v>92.41</v>
      </c>
      <c r="G23" s="14">
        <f t="shared" ref="G23" si="7">ROUND(F23*L23,2)</f>
        <v>113.95</v>
      </c>
      <c r="H23" s="14">
        <f t="shared" ref="H23" si="8">ROUND(G23*E23,2)</f>
        <v>14129.8</v>
      </c>
      <c r="L23" s="3">
        <f>L22</f>
        <v>1.2331000000000001</v>
      </c>
    </row>
    <row r="24" spans="1:12" x14ac:dyDescent="0.25">
      <c r="A24" s="30" t="s">
        <v>27</v>
      </c>
      <c r="B24" s="178">
        <v>96535</v>
      </c>
      <c r="C24" s="35" t="s">
        <v>209</v>
      </c>
      <c r="D24" s="30" t="s">
        <v>18</v>
      </c>
      <c r="E24" s="31">
        <f>(20.98+4.44+18.36+10.66+9.65)/4</f>
        <v>16.022500000000001</v>
      </c>
      <c r="F24" s="31">
        <v>142.93</v>
      </c>
      <c r="G24" s="14">
        <f t="shared" ref="G24" si="9">ROUND(F24*L24,2)</f>
        <v>176.25</v>
      </c>
      <c r="H24" s="14">
        <f t="shared" ref="H24" si="10">ROUND(G24*E24,2)</f>
        <v>2823.97</v>
      </c>
      <c r="L24" s="3">
        <f>L23</f>
        <v>1.2331000000000001</v>
      </c>
    </row>
    <row r="25" spans="1:12" ht="26.4" x14ac:dyDescent="0.25">
      <c r="A25" s="30" t="s">
        <v>29</v>
      </c>
      <c r="B25" s="178">
        <v>104916</v>
      </c>
      <c r="C25" s="35" t="s">
        <v>143</v>
      </c>
      <c r="D25" s="30" t="s">
        <v>142</v>
      </c>
      <c r="E25" s="31">
        <f>22.6+4+14.5+9.9+7.9</f>
        <v>58.9</v>
      </c>
      <c r="F25" s="31">
        <v>16.899999999999999</v>
      </c>
      <c r="G25" s="14">
        <f t="shared" ref="G25:G28" si="11">ROUND(F25*L25,2)</f>
        <v>20.84</v>
      </c>
      <c r="H25" s="14">
        <f t="shared" ref="H25:H28" si="12">ROUND(G25*E25,2)</f>
        <v>1227.48</v>
      </c>
      <c r="L25" s="3">
        <f>L23</f>
        <v>1.2331000000000001</v>
      </c>
    </row>
    <row r="26" spans="1:12" ht="26.4" x14ac:dyDescent="0.25">
      <c r="A26" s="30" t="s">
        <v>31</v>
      </c>
      <c r="B26" s="178">
        <v>104919</v>
      </c>
      <c r="C26" s="35" t="s">
        <v>144</v>
      </c>
      <c r="D26" s="30" t="s">
        <v>142</v>
      </c>
      <c r="E26" s="31">
        <f>156.1+31.5+149.6+73.7+73.2</f>
        <v>484.09999999999997</v>
      </c>
      <c r="F26" s="31">
        <v>12.22</v>
      </c>
      <c r="G26" s="14">
        <f t="shared" si="11"/>
        <v>15.07</v>
      </c>
      <c r="H26" s="14">
        <f t="shared" si="12"/>
        <v>7295.39</v>
      </c>
      <c r="L26" s="3">
        <f t="shared" si="2"/>
        <v>1.2331000000000001</v>
      </c>
    </row>
    <row r="27" spans="1:12" ht="26.4" x14ac:dyDescent="0.25">
      <c r="A27" s="30" t="s">
        <v>32</v>
      </c>
      <c r="B27" s="178">
        <v>104920</v>
      </c>
      <c r="C27" s="35" t="s">
        <v>145</v>
      </c>
      <c r="D27" s="30" t="s">
        <v>142</v>
      </c>
      <c r="E27" s="31">
        <f>77.2</f>
        <v>77.2</v>
      </c>
      <c r="F27" s="31">
        <v>10.31</v>
      </c>
      <c r="G27" s="14">
        <f t="shared" si="11"/>
        <v>12.71</v>
      </c>
      <c r="H27" s="14">
        <f t="shared" si="12"/>
        <v>981.21</v>
      </c>
      <c r="L27" s="3">
        <f t="shared" si="2"/>
        <v>1.2331000000000001</v>
      </c>
    </row>
    <row r="28" spans="1:12" ht="26.4" x14ac:dyDescent="0.25">
      <c r="A28" s="30" t="s">
        <v>207</v>
      </c>
      <c r="B28" s="178">
        <v>96558</v>
      </c>
      <c r="C28" s="35" t="s">
        <v>146</v>
      </c>
      <c r="D28" s="30" t="s">
        <v>20</v>
      </c>
      <c r="E28" s="31">
        <f>4.42+0.61+3.46+1.34+1.58</f>
        <v>11.41</v>
      </c>
      <c r="F28" s="31">
        <v>884.59</v>
      </c>
      <c r="G28" s="14">
        <f t="shared" si="11"/>
        <v>1090.79</v>
      </c>
      <c r="H28" s="14">
        <f t="shared" si="12"/>
        <v>12445.91</v>
      </c>
      <c r="L28" s="3">
        <f t="shared" si="2"/>
        <v>1.2331000000000001</v>
      </c>
    </row>
    <row r="29" spans="1:12" x14ac:dyDescent="0.25">
      <c r="A29" s="32">
        <v>3</v>
      </c>
      <c r="B29" s="179"/>
      <c r="C29" s="44" t="s">
        <v>147</v>
      </c>
      <c r="D29" s="32"/>
      <c r="E29" s="33"/>
      <c r="F29" s="33"/>
      <c r="G29" s="34"/>
      <c r="H29" s="22">
        <f>SUM(H30:H40)</f>
        <v>117303.22</v>
      </c>
      <c r="L29" s="3">
        <f t="shared" si="2"/>
        <v>1.2331000000000001</v>
      </c>
    </row>
    <row r="30" spans="1:12" ht="39.6" x14ac:dyDescent="0.25">
      <c r="A30" s="30" t="s">
        <v>38</v>
      </c>
      <c r="B30" s="163">
        <v>92411</v>
      </c>
      <c r="C30" s="35" t="s">
        <v>222</v>
      </c>
      <c r="D30" s="30" t="s">
        <v>18</v>
      </c>
      <c r="E30" s="31">
        <f>(92.89+3.98+7.72)/2</f>
        <v>52.295000000000002</v>
      </c>
      <c r="F30" s="31">
        <v>167.27</v>
      </c>
      <c r="G30" s="14">
        <f t="shared" ref="G30:G35" si="13">ROUND(F30*L30,2)</f>
        <v>206.26</v>
      </c>
      <c r="H30" s="14">
        <f t="shared" ref="H30:H35" si="14">ROUND(G30*E30,2)</f>
        <v>10786.37</v>
      </c>
      <c r="L30" s="3">
        <f t="shared" si="2"/>
        <v>1.2331000000000001</v>
      </c>
    </row>
    <row r="31" spans="1:12" ht="39.6" x14ac:dyDescent="0.25">
      <c r="A31" s="30" t="s">
        <v>40</v>
      </c>
      <c r="B31" s="163">
        <v>92451</v>
      </c>
      <c r="C31" s="35" t="s">
        <v>221</v>
      </c>
      <c r="D31" s="30" t="s">
        <v>18</v>
      </c>
      <c r="E31" s="31">
        <f>(123.05+35.52+117.74+30.96+13.62+15.36)/2</f>
        <v>168.125</v>
      </c>
      <c r="F31" s="31">
        <v>211.64</v>
      </c>
      <c r="G31" s="14">
        <f t="shared" si="13"/>
        <v>260.97000000000003</v>
      </c>
      <c r="H31" s="14">
        <f t="shared" si="14"/>
        <v>43875.58</v>
      </c>
      <c r="L31" s="3">
        <f t="shared" si="2"/>
        <v>1.2331000000000001</v>
      </c>
    </row>
    <row r="32" spans="1:12" ht="29.4" customHeight="1" x14ac:dyDescent="0.25">
      <c r="A32" s="30" t="s">
        <v>41</v>
      </c>
      <c r="B32" s="163">
        <v>92759</v>
      </c>
      <c r="C32" s="35" t="s">
        <v>148</v>
      </c>
      <c r="D32" s="30" t="s">
        <v>155</v>
      </c>
      <c r="E32" s="31">
        <f>127.6+125+37.6+119.8+32.1+9+15.3+15.6+13.8</f>
        <v>495.80000000000007</v>
      </c>
      <c r="F32" s="31">
        <v>13.98</v>
      </c>
      <c r="G32" s="14">
        <f t="shared" si="13"/>
        <v>17.239999999999998</v>
      </c>
      <c r="H32" s="14">
        <f t="shared" si="14"/>
        <v>8547.59</v>
      </c>
      <c r="L32" s="3">
        <f t="shared" si="2"/>
        <v>1.2331000000000001</v>
      </c>
    </row>
    <row r="33" spans="1:12" ht="28.2" customHeight="1" x14ac:dyDescent="0.25">
      <c r="A33" s="30" t="s">
        <v>43</v>
      </c>
      <c r="B33" s="163" t="s">
        <v>157</v>
      </c>
      <c r="C33" s="35" t="s">
        <v>149</v>
      </c>
      <c r="D33" s="30" t="s">
        <v>142</v>
      </c>
      <c r="E33" s="31">
        <f>48.3+1.6+4.8+29.4</f>
        <v>84.1</v>
      </c>
      <c r="F33" s="31">
        <v>11.73</v>
      </c>
      <c r="G33" s="14">
        <f t="shared" si="13"/>
        <v>14.46</v>
      </c>
      <c r="H33" s="14">
        <f t="shared" si="14"/>
        <v>1216.0899999999999</v>
      </c>
      <c r="L33" s="3">
        <f t="shared" si="2"/>
        <v>1.2331000000000001</v>
      </c>
    </row>
    <row r="34" spans="1:12" ht="27.6" customHeight="1" x14ac:dyDescent="0.25">
      <c r="A34" s="30" t="s">
        <v>45</v>
      </c>
      <c r="B34" s="163">
        <v>92762</v>
      </c>
      <c r="C34" s="35" t="s">
        <v>150</v>
      </c>
      <c r="D34" s="30" t="s">
        <v>142</v>
      </c>
      <c r="E34" s="31">
        <f>197.7+231.8+105.1+300.7+50.1+16.2+59.3+52.3+29.4</f>
        <v>1042.5999999999999</v>
      </c>
      <c r="F34" s="31">
        <v>10.34</v>
      </c>
      <c r="G34" s="14">
        <f t="shared" si="13"/>
        <v>12.75</v>
      </c>
      <c r="H34" s="14">
        <f t="shared" si="14"/>
        <v>13293.15</v>
      </c>
      <c r="L34" s="3">
        <f>L29</f>
        <v>1.2331000000000001</v>
      </c>
    </row>
    <row r="35" spans="1:12" ht="28.2" customHeight="1" x14ac:dyDescent="0.25">
      <c r="A35" s="30" t="s">
        <v>153</v>
      </c>
      <c r="B35" s="163" t="s">
        <v>158</v>
      </c>
      <c r="C35" s="35" t="s">
        <v>151</v>
      </c>
      <c r="D35" s="30" t="s">
        <v>142</v>
      </c>
      <c r="E35" s="31">
        <f>161.8+129.4+9</f>
        <v>300.20000000000005</v>
      </c>
      <c r="F35" s="31">
        <v>8.6</v>
      </c>
      <c r="G35" s="14">
        <f t="shared" si="13"/>
        <v>10.6</v>
      </c>
      <c r="H35" s="14">
        <f t="shared" si="14"/>
        <v>3182.12</v>
      </c>
      <c r="L35" s="3">
        <f t="shared" ref="L35:L39" si="15">L30</f>
        <v>1.2331000000000001</v>
      </c>
    </row>
    <row r="36" spans="1:12" ht="27" customHeight="1" x14ac:dyDescent="0.25">
      <c r="A36" s="30" t="s">
        <v>154</v>
      </c>
      <c r="B36" s="163" t="s">
        <v>159</v>
      </c>
      <c r="C36" s="35" t="s">
        <v>152</v>
      </c>
      <c r="D36" s="30" t="s">
        <v>142</v>
      </c>
      <c r="E36" s="31">
        <f>6.3+1.8+15.8+1.6+1.6</f>
        <v>27.1</v>
      </c>
      <c r="F36" s="31">
        <v>12.8</v>
      </c>
      <c r="G36" s="14">
        <f t="shared" ref="G36:G37" si="16">ROUND(F36*L36,2)</f>
        <v>15.78</v>
      </c>
      <c r="H36" s="14">
        <f t="shared" ref="H36:H37" si="17">ROUND(G36*E36,2)</f>
        <v>427.64</v>
      </c>
      <c r="L36" s="3">
        <f t="shared" si="15"/>
        <v>1.2331000000000001</v>
      </c>
    </row>
    <row r="37" spans="1:12" ht="27" customHeight="1" x14ac:dyDescent="0.25">
      <c r="A37" s="30" t="s">
        <v>160</v>
      </c>
      <c r="B37" s="163">
        <v>103670</v>
      </c>
      <c r="C37" s="35" t="s">
        <v>220</v>
      </c>
      <c r="D37" s="30" t="s">
        <v>20</v>
      </c>
      <c r="E37" s="31">
        <f>5.25+0.24+0.44</f>
        <v>5.9300000000000006</v>
      </c>
      <c r="F37" s="31">
        <v>763.36</v>
      </c>
      <c r="G37" s="14">
        <f t="shared" si="16"/>
        <v>941.3</v>
      </c>
      <c r="H37" s="14">
        <f t="shared" si="17"/>
        <v>5581.91</v>
      </c>
      <c r="L37" s="3">
        <f t="shared" si="15"/>
        <v>1.2331000000000001</v>
      </c>
    </row>
    <row r="38" spans="1:12" ht="27" customHeight="1" x14ac:dyDescent="0.25">
      <c r="A38" s="30"/>
      <c r="B38" s="163">
        <v>106068</v>
      </c>
      <c r="C38" s="35" t="s">
        <v>213</v>
      </c>
      <c r="D38" s="30" t="s">
        <v>18</v>
      </c>
      <c r="E38" s="31">
        <f>4.85*4.2</f>
        <v>20.37</v>
      </c>
      <c r="F38" s="31">
        <v>268.79000000000002</v>
      </c>
      <c r="G38" s="14">
        <f t="shared" ref="G38:G39" si="18">ROUND(F38*L38,2)</f>
        <v>331.44</v>
      </c>
      <c r="H38" s="14">
        <f t="shared" ref="H38:H39" si="19">ROUND(G38*E38,2)</f>
        <v>6751.43</v>
      </c>
      <c r="L38" s="3">
        <f t="shared" si="15"/>
        <v>1.2331000000000001</v>
      </c>
    </row>
    <row r="39" spans="1:12" ht="27" customHeight="1" x14ac:dyDescent="0.25">
      <c r="A39" s="30" t="s">
        <v>210</v>
      </c>
      <c r="B39" s="163">
        <v>101793</v>
      </c>
      <c r="C39" s="35" t="s">
        <v>215</v>
      </c>
      <c r="D39" s="30" t="s">
        <v>214</v>
      </c>
      <c r="E39" s="31">
        <f>4.85*4.2*4.5</f>
        <v>91.665000000000006</v>
      </c>
      <c r="F39" s="31">
        <v>28.63</v>
      </c>
      <c r="G39" s="14">
        <f t="shared" si="18"/>
        <v>35.299999999999997</v>
      </c>
      <c r="H39" s="14">
        <f t="shared" si="19"/>
        <v>3235.77</v>
      </c>
      <c r="L39" s="3">
        <f t="shared" si="15"/>
        <v>1.2331000000000001</v>
      </c>
    </row>
    <row r="40" spans="1:12" ht="39.6" x14ac:dyDescent="0.25">
      <c r="A40" s="30" t="s">
        <v>212</v>
      </c>
      <c r="B40" s="163">
        <v>103674</v>
      </c>
      <c r="C40" s="35" t="s">
        <v>211</v>
      </c>
      <c r="D40" s="30" t="s">
        <v>20</v>
      </c>
      <c r="E40" s="31">
        <f>(4.85*4.2*0.08)+0.93+7.18+1.84+2.11+7.32</f>
        <v>21.009599999999999</v>
      </c>
      <c r="F40" s="31">
        <v>787.65</v>
      </c>
      <c r="G40" s="14">
        <f t="shared" ref="G40" si="20">ROUND(F40*L40,2)</f>
        <v>971.25</v>
      </c>
      <c r="H40" s="14">
        <f t="shared" ref="H40" si="21">ROUND(G40*E40,2)</f>
        <v>20405.57</v>
      </c>
      <c r="L40" s="3">
        <f>L31</f>
        <v>1.2331000000000001</v>
      </c>
    </row>
    <row r="41" spans="1:12" x14ac:dyDescent="0.25">
      <c r="A41" s="158">
        <v>4</v>
      </c>
      <c r="B41" s="158"/>
      <c r="C41" s="18" t="s">
        <v>25</v>
      </c>
      <c r="D41" s="19"/>
      <c r="E41" s="20"/>
      <c r="F41" s="20"/>
      <c r="G41" s="21"/>
      <c r="H41" s="22">
        <f>SUM(H42:H50)</f>
        <v>132024.95999999999</v>
      </c>
      <c r="L41" s="3">
        <f>L32</f>
        <v>1.2331000000000001</v>
      </c>
    </row>
    <row r="42" spans="1:12" ht="39.6" x14ac:dyDescent="0.25">
      <c r="A42" s="30" t="s">
        <v>48</v>
      </c>
      <c r="B42" s="30">
        <v>103324</v>
      </c>
      <c r="C42" s="43" t="s">
        <v>161</v>
      </c>
      <c r="D42" s="30" t="s">
        <v>18</v>
      </c>
      <c r="E42" s="31">
        <f>(3.5*(19*2+25*3+3.9*5+3.7+2.1+2*4))-((0.5*6+1+2.1*2+2.2+1.26*7+1.89*8+1.89+11.4*2))</f>
        <v>453.02</v>
      </c>
      <c r="F42" s="31">
        <v>92.17</v>
      </c>
      <c r="G42" s="14">
        <f t="shared" si="1"/>
        <v>113.65</v>
      </c>
      <c r="H42" s="14">
        <f t="shared" si="0"/>
        <v>51485.72</v>
      </c>
      <c r="L42" s="3">
        <f t="shared" si="2"/>
        <v>1.2331000000000001</v>
      </c>
    </row>
    <row r="43" spans="1:12" ht="39.6" x14ac:dyDescent="0.25">
      <c r="A43" s="30" t="s">
        <v>49</v>
      </c>
      <c r="B43" s="30">
        <v>87878</v>
      </c>
      <c r="C43" s="43" t="s">
        <v>28</v>
      </c>
      <c r="D43" s="30" t="s">
        <v>18</v>
      </c>
      <c r="E43" s="31">
        <f>E42*2</f>
        <v>906.04</v>
      </c>
      <c r="F43" s="31">
        <v>5.49</v>
      </c>
      <c r="G43" s="14">
        <f t="shared" si="1"/>
        <v>6.77</v>
      </c>
      <c r="H43" s="14">
        <f t="shared" si="0"/>
        <v>6133.89</v>
      </c>
      <c r="L43" s="3">
        <f t="shared" si="2"/>
        <v>1.2331000000000001</v>
      </c>
    </row>
    <row r="44" spans="1:12" ht="39.6" x14ac:dyDescent="0.25">
      <c r="A44" s="30" t="s">
        <v>51</v>
      </c>
      <c r="B44" s="30">
        <v>104951</v>
      </c>
      <c r="C44" s="43" t="s">
        <v>30</v>
      </c>
      <c r="D44" s="30" t="s">
        <v>18</v>
      </c>
      <c r="E44" s="31">
        <f>E43</f>
        <v>906.04</v>
      </c>
      <c r="F44" s="31">
        <v>36.380000000000003</v>
      </c>
      <c r="G44" s="14">
        <f t="shared" si="1"/>
        <v>44.86</v>
      </c>
      <c r="H44" s="14">
        <f t="shared" si="0"/>
        <v>40644.949999999997</v>
      </c>
      <c r="L44" s="3">
        <f t="shared" si="2"/>
        <v>1.2331000000000001</v>
      </c>
    </row>
    <row r="45" spans="1:12" ht="39.6" x14ac:dyDescent="0.25">
      <c r="A45" s="30" t="s">
        <v>52</v>
      </c>
      <c r="B45" s="30">
        <v>87275</v>
      </c>
      <c r="C45" s="43" t="s">
        <v>162</v>
      </c>
      <c r="D45" s="30" t="s">
        <v>18</v>
      </c>
      <c r="E45" s="31">
        <f>1.5*(5.55*2-0.9*6+2*4+3.9*4+6.7*2)</f>
        <v>64.05</v>
      </c>
      <c r="F45" s="31">
        <v>56.49</v>
      </c>
      <c r="G45" s="14">
        <f t="shared" si="1"/>
        <v>69.66</v>
      </c>
      <c r="H45" s="14">
        <f t="shared" si="0"/>
        <v>4461.72</v>
      </c>
      <c r="L45" s="3">
        <f t="shared" si="2"/>
        <v>1.2331000000000001</v>
      </c>
    </row>
    <row r="46" spans="1:12" ht="39.6" x14ac:dyDescent="0.25">
      <c r="A46" s="30" t="s">
        <v>53</v>
      </c>
      <c r="B46" s="30">
        <v>87273</v>
      </c>
      <c r="C46" s="43" t="s">
        <v>163</v>
      </c>
      <c r="D46" s="30" t="s">
        <v>18</v>
      </c>
      <c r="E46" s="31">
        <f>3.5*(3.35*2+4.1*2-0.9*2+3.9*6-1.2*2+2*2-0.9)</f>
        <v>130.20000000000002</v>
      </c>
      <c r="F46" s="31">
        <v>47.04</v>
      </c>
      <c r="G46" s="14">
        <f t="shared" si="1"/>
        <v>58.01</v>
      </c>
      <c r="H46" s="14">
        <f t="shared" si="0"/>
        <v>7552.9</v>
      </c>
      <c r="L46" s="3">
        <f t="shared" si="2"/>
        <v>1.2331000000000001</v>
      </c>
    </row>
    <row r="47" spans="1:12" ht="39.6" x14ac:dyDescent="0.25">
      <c r="A47" s="30" t="s">
        <v>55</v>
      </c>
      <c r="B47" s="30">
        <v>102257</v>
      </c>
      <c r="C47" s="43" t="s">
        <v>164</v>
      </c>
      <c r="D47" s="30" t="s">
        <v>18</v>
      </c>
      <c r="E47" s="31">
        <f>1.8*(1.5*5+1*2+1.1*4)</f>
        <v>25.02</v>
      </c>
      <c r="F47" s="31">
        <v>346.99</v>
      </c>
      <c r="G47" s="14">
        <f t="shared" ref="G47" si="22">ROUND(F47*L47,2)</f>
        <v>427.87</v>
      </c>
      <c r="H47" s="14">
        <f t="shared" ref="H47" si="23">ROUND(G47*E47,2)</f>
        <v>10705.31</v>
      </c>
      <c r="L47" s="3">
        <f t="shared" si="2"/>
        <v>1.2331000000000001</v>
      </c>
    </row>
    <row r="48" spans="1:12" ht="39.6" x14ac:dyDescent="0.25">
      <c r="A48" s="30" t="s">
        <v>56</v>
      </c>
      <c r="B48" s="30">
        <v>90443</v>
      </c>
      <c r="C48" s="43" t="s">
        <v>34</v>
      </c>
      <c r="D48" s="30" t="s">
        <v>24</v>
      </c>
      <c r="E48" s="31">
        <f>5*2.8+8*3+11*0.7+1+30*2.5</f>
        <v>121.7</v>
      </c>
      <c r="F48" s="31">
        <v>9.0500000000000007</v>
      </c>
      <c r="G48" s="14">
        <f t="shared" si="1"/>
        <v>11.16</v>
      </c>
      <c r="H48" s="14">
        <f t="shared" si="0"/>
        <v>1358.17</v>
      </c>
      <c r="L48" s="3">
        <f>L46</f>
        <v>1.2331000000000001</v>
      </c>
    </row>
    <row r="49" spans="1:12" ht="39.6" x14ac:dyDescent="0.25">
      <c r="A49" s="30" t="s">
        <v>176</v>
      </c>
      <c r="B49" s="30">
        <v>90466</v>
      </c>
      <c r="C49" s="43" t="s">
        <v>35</v>
      </c>
      <c r="D49" s="30" t="s">
        <v>24</v>
      </c>
      <c r="E49" s="31">
        <f>E48</f>
        <v>121.7</v>
      </c>
      <c r="F49" s="31">
        <v>17.43</v>
      </c>
      <c r="G49" s="14">
        <f t="shared" si="1"/>
        <v>21.49</v>
      </c>
      <c r="H49" s="14">
        <f t="shared" si="0"/>
        <v>2615.33</v>
      </c>
      <c r="L49" s="3">
        <f t="shared" si="2"/>
        <v>1.2331000000000001</v>
      </c>
    </row>
    <row r="50" spans="1:12" ht="26.4" x14ac:dyDescent="0.25">
      <c r="A50" s="30" t="s">
        <v>177</v>
      </c>
      <c r="B50" s="30">
        <v>105023</v>
      </c>
      <c r="C50" s="43" t="s">
        <v>36</v>
      </c>
      <c r="D50" s="30" t="s">
        <v>24</v>
      </c>
      <c r="E50" s="31">
        <f>(1.4*2*6+2.4*2+3.4*2*2+2.4*2+1*7+1.3*8+1.3+4.2*2)</f>
        <v>67.099999999999994</v>
      </c>
      <c r="F50" s="31">
        <v>85.41</v>
      </c>
      <c r="G50" s="14">
        <f t="shared" si="1"/>
        <v>105.32</v>
      </c>
      <c r="H50" s="14">
        <f t="shared" si="0"/>
        <v>7066.97</v>
      </c>
      <c r="L50" s="3">
        <f t="shared" si="2"/>
        <v>1.2331000000000001</v>
      </c>
    </row>
    <row r="51" spans="1:12" x14ac:dyDescent="0.25">
      <c r="A51" s="158">
        <v>5</v>
      </c>
      <c r="B51" s="158"/>
      <c r="C51" s="18" t="s">
        <v>37</v>
      </c>
      <c r="D51" s="6"/>
      <c r="E51" s="23"/>
      <c r="F51" s="6"/>
      <c r="G51" s="6"/>
      <c r="H51" s="22">
        <f>SUM(H52:H64)</f>
        <v>94425</v>
      </c>
      <c r="L51" s="3">
        <f t="shared" si="2"/>
        <v>1.2331000000000001</v>
      </c>
    </row>
    <row r="52" spans="1:12" ht="52.8" x14ac:dyDescent="0.25">
      <c r="A52" s="30" t="s">
        <v>59</v>
      </c>
      <c r="B52" s="30">
        <v>87730</v>
      </c>
      <c r="C52" s="43" t="s">
        <v>39</v>
      </c>
      <c r="D52" s="30" t="s">
        <v>18</v>
      </c>
      <c r="E52" s="31">
        <f>E53+E54+E55</f>
        <v>92.17</v>
      </c>
      <c r="F52" s="31">
        <v>46.41</v>
      </c>
      <c r="G52" s="14">
        <f t="shared" si="1"/>
        <v>57.23</v>
      </c>
      <c r="H52" s="14">
        <f t="shared" si="0"/>
        <v>5274.89</v>
      </c>
      <c r="L52" s="3">
        <f>L51</f>
        <v>1.2331000000000001</v>
      </c>
    </row>
    <row r="53" spans="1:12" ht="39.6" x14ac:dyDescent="0.25">
      <c r="A53" s="30" t="s">
        <v>60</v>
      </c>
      <c r="B53" s="30">
        <v>87251</v>
      </c>
      <c r="C53" s="43" t="s">
        <v>33</v>
      </c>
      <c r="D53" s="30" t="s">
        <v>18</v>
      </c>
      <c r="E53" s="31">
        <f>15.99+13.07+21.51+17.02</f>
        <v>67.59</v>
      </c>
      <c r="F53" s="31">
        <v>47.04</v>
      </c>
      <c r="G53" s="14">
        <f t="shared" si="1"/>
        <v>58.01</v>
      </c>
      <c r="H53" s="14">
        <f t="shared" si="0"/>
        <v>3920.9</v>
      </c>
      <c r="L53" s="3">
        <f t="shared" si="2"/>
        <v>1.2331000000000001</v>
      </c>
    </row>
    <row r="54" spans="1:12" ht="39.6" x14ac:dyDescent="0.25">
      <c r="A54" s="30" t="s">
        <v>62</v>
      </c>
      <c r="B54" s="30">
        <v>87250</v>
      </c>
      <c r="C54" s="43" t="s">
        <v>42</v>
      </c>
      <c r="D54" s="30" t="s">
        <v>18</v>
      </c>
      <c r="E54" s="31">
        <f>8.78+7.8</f>
        <v>16.579999999999998</v>
      </c>
      <c r="F54" s="31">
        <v>56.49</v>
      </c>
      <c r="G54" s="14">
        <f t="shared" si="1"/>
        <v>69.66</v>
      </c>
      <c r="H54" s="14">
        <f t="shared" si="0"/>
        <v>1154.96</v>
      </c>
      <c r="L54" s="3">
        <f t="shared" si="2"/>
        <v>1.2331000000000001</v>
      </c>
    </row>
    <row r="55" spans="1:12" ht="39.6" x14ac:dyDescent="0.25">
      <c r="A55" s="30" t="s">
        <v>63</v>
      </c>
      <c r="B55" s="30">
        <v>87249</v>
      </c>
      <c r="C55" s="43" t="s">
        <v>44</v>
      </c>
      <c r="D55" s="30" t="s">
        <v>18</v>
      </c>
      <c r="E55" s="31">
        <f>4+4</f>
        <v>8</v>
      </c>
      <c r="F55" s="31">
        <v>67.91</v>
      </c>
      <c r="G55" s="14">
        <f t="shared" ref="G55" si="24">ROUND(F55*L55,2)</f>
        <v>83.74</v>
      </c>
      <c r="H55" s="14">
        <f t="shared" ref="H55" si="25">ROUND(G55*E55,2)</f>
        <v>669.92</v>
      </c>
      <c r="L55" s="3">
        <f t="shared" si="2"/>
        <v>1.2331000000000001</v>
      </c>
    </row>
    <row r="56" spans="1:12" ht="39.6" x14ac:dyDescent="0.25">
      <c r="A56" s="30" t="s">
        <v>64</v>
      </c>
      <c r="B56" s="30">
        <v>94993</v>
      </c>
      <c r="C56" s="43" t="s">
        <v>224</v>
      </c>
      <c r="D56" s="30" t="s">
        <v>18</v>
      </c>
      <c r="E56" s="31">
        <f>1*(27+27+19+19+1.5+1.5)</f>
        <v>95</v>
      </c>
      <c r="F56" s="31">
        <v>80.39</v>
      </c>
      <c r="G56" s="14">
        <f t="shared" ref="G56" si="26">ROUND(F56*L56,2)</f>
        <v>99.13</v>
      </c>
      <c r="H56" s="14">
        <f t="shared" ref="H56" si="27">ROUND(G56*E56,2)</f>
        <v>9417.35</v>
      </c>
      <c r="L56" s="3">
        <f t="shared" si="2"/>
        <v>1.2331000000000001</v>
      </c>
    </row>
    <row r="57" spans="1:12" ht="26.4" x14ac:dyDescent="0.25">
      <c r="A57" s="30" t="s">
        <v>178</v>
      </c>
      <c r="B57" s="30">
        <v>96621</v>
      </c>
      <c r="C57" s="43" t="s">
        <v>165</v>
      </c>
      <c r="D57" s="30" t="s">
        <v>20</v>
      </c>
      <c r="E57" s="31">
        <f>E58*0.05</f>
        <v>22.431000000000001</v>
      </c>
      <c r="F57" s="31">
        <v>251.71</v>
      </c>
      <c r="G57" s="14">
        <f t="shared" ref="G57:G63" si="28">ROUND(F57*L57,2)</f>
        <v>310.38</v>
      </c>
      <c r="H57" s="14">
        <f t="shared" ref="H57:H63" si="29">ROUND(G57*E57,2)</f>
        <v>6962.13</v>
      </c>
      <c r="L57" s="3">
        <f>L54</f>
        <v>1.2331000000000001</v>
      </c>
    </row>
    <row r="58" spans="1:12" ht="39.6" x14ac:dyDescent="0.25">
      <c r="A58" s="30" t="s">
        <v>179</v>
      </c>
      <c r="B58" s="30">
        <v>97083</v>
      </c>
      <c r="C58" s="43" t="s">
        <v>166</v>
      </c>
      <c r="D58" s="30" t="s">
        <v>18</v>
      </c>
      <c r="E58" s="31">
        <f>E52+40+9.63+300.67+6.15</f>
        <v>448.62</v>
      </c>
      <c r="F58" s="31">
        <v>3.64</v>
      </c>
      <c r="G58" s="14">
        <f t="shared" si="28"/>
        <v>4.49</v>
      </c>
      <c r="H58" s="14">
        <f t="shared" si="29"/>
        <v>2014.3</v>
      </c>
      <c r="L58" s="3">
        <f t="shared" si="2"/>
        <v>1.2331000000000001</v>
      </c>
    </row>
    <row r="59" spans="1:12" ht="39.6" x14ac:dyDescent="0.25">
      <c r="A59" s="30" t="s">
        <v>180</v>
      </c>
      <c r="B59" s="30">
        <v>97086</v>
      </c>
      <c r="C59" s="43" t="s">
        <v>167</v>
      </c>
      <c r="D59" s="30" t="s">
        <v>18</v>
      </c>
      <c r="E59" s="31">
        <f>(300.67+40+9.63+6.15)*0.1</f>
        <v>35.645000000000003</v>
      </c>
      <c r="F59" s="31">
        <v>182.1</v>
      </c>
      <c r="G59" s="14">
        <f t="shared" si="28"/>
        <v>224.55</v>
      </c>
      <c r="H59" s="14">
        <f t="shared" si="29"/>
        <v>8004.08</v>
      </c>
      <c r="L59" s="3">
        <f t="shared" si="2"/>
        <v>1.2331000000000001</v>
      </c>
    </row>
    <row r="60" spans="1:12" ht="26.4" x14ac:dyDescent="0.25">
      <c r="A60" s="30" t="s">
        <v>181</v>
      </c>
      <c r="B60" s="30">
        <v>97087</v>
      </c>
      <c r="C60" s="43" t="s">
        <v>168</v>
      </c>
      <c r="D60" s="30" t="s">
        <v>18</v>
      </c>
      <c r="E60" s="31">
        <f>300.67+40+9.63+6.15</f>
        <v>356.45</v>
      </c>
      <c r="F60" s="31">
        <v>2.85</v>
      </c>
      <c r="G60" s="14">
        <f t="shared" si="28"/>
        <v>3.51</v>
      </c>
      <c r="H60" s="14">
        <f t="shared" si="29"/>
        <v>1251.1400000000001</v>
      </c>
      <c r="L60" s="3">
        <f t="shared" si="2"/>
        <v>1.2331000000000001</v>
      </c>
    </row>
    <row r="61" spans="1:12" ht="26.4" x14ac:dyDescent="0.25">
      <c r="A61" s="30" t="s">
        <v>182</v>
      </c>
      <c r="B61" s="30">
        <v>97093</v>
      </c>
      <c r="C61" s="43" t="s">
        <v>169</v>
      </c>
      <c r="D61" s="30" t="s">
        <v>18</v>
      </c>
      <c r="E61" s="31">
        <f>E60*2.2</f>
        <v>784.19</v>
      </c>
      <c r="F61" s="31">
        <v>11.64</v>
      </c>
      <c r="G61" s="14">
        <f t="shared" ref="G61:G62" si="30">ROUND(F61*L61,2)</f>
        <v>14.35</v>
      </c>
      <c r="H61" s="14">
        <f t="shared" ref="H61:H62" si="31">ROUND(G61*E61,2)</f>
        <v>11253.13</v>
      </c>
      <c r="L61" s="3">
        <f t="shared" si="2"/>
        <v>1.2331000000000001</v>
      </c>
    </row>
    <row r="62" spans="1:12" ht="30" customHeight="1" x14ac:dyDescent="0.25">
      <c r="A62" s="30" t="s">
        <v>183</v>
      </c>
      <c r="B62" s="30">
        <v>97096</v>
      </c>
      <c r="C62" s="43" t="s">
        <v>170</v>
      </c>
      <c r="D62" s="30" t="s">
        <v>20</v>
      </c>
      <c r="E62" s="31">
        <f>E60*0.08</f>
        <v>28.515999999999998</v>
      </c>
      <c r="F62" s="31">
        <v>733.92</v>
      </c>
      <c r="G62" s="14">
        <f t="shared" si="30"/>
        <v>905</v>
      </c>
      <c r="H62" s="14">
        <f t="shared" si="31"/>
        <v>25806.98</v>
      </c>
      <c r="L62" s="3">
        <f t="shared" si="2"/>
        <v>1.2331000000000001</v>
      </c>
    </row>
    <row r="63" spans="1:12" ht="26.4" x14ac:dyDescent="0.25">
      <c r="A63" s="30" t="s">
        <v>184</v>
      </c>
      <c r="B63" s="30">
        <v>97097</v>
      </c>
      <c r="C63" s="43" t="s">
        <v>171</v>
      </c>
      <c r="D63" s="30" t="s">
        <v>18</v>
      </c>
      <c r="E63" s="31">
        <f>E60</f>
        <v>356.45</v>
      </c>
      <c r="F63" s="31">
        <v>35.979999999999997</v>
      </c>
      <c r="G63" s="14">
        <f t="shared" si="28"/>
        <v>44.37</v>
      </c>
      <c r="H63" s="14">
        <f t="shared" si="29"/>
        <v>15815.69</v>
      </c>
      <c r="L63" s="3">
        <f>L60</f>
        <v>1.2331000000000001</v>
      </c>
    </row>
    <row r="64" spans="1:12" x14ac:dyDescent="0.25">
      <c r="A64" s="30" t="s">
        <v>223</v>
      </c>
      <c r="B64" s="30">
        <v>98689</v>
      </c>
      <c r="C64" s="43" t="s">
        <v>46</v>
      </c>
      <c r="D64" s="30" t="s">
        <v>24</v>
      </c>
      <c r="E64" s="31">
        <f>0.6*7+0.9*8+0.9+3.8*2</f>
        <v>19.899999999999999</v>
      </c>
      <c r="F64" s="31">
        <v>117.35</v>
      </c>
      <c r="G64" s="14">
        <f t="shared" si="1"/>
        <v>144.69999999999999</v>
      </c>
      <c r="H64" s="14">
        <f t="shared" si="0"/>
        <v>2879.53</v>
      </c>
      <c r="L64" s="3">
        <f>L54</f>
        <v>1.2331000000000001</v>
      </c>
    </row>
    <row r="65" spans="1:14" x14ac:dyDescent="0.25">
      <c r="A65" s="159">
        <v>6</v>
      </c>
      <c r="B65" s="159"/>
      <c r="C65" s="18" t="s">
        <v>47</v>
      </c>
      <c r="D65" s="24"/>
      <c r="E65" s="25"/>
      <c r="F65" s="25"/>
      <c r="G65" s="25"/>
      <c r="H65" s="25">
        <f>SUM(H66:H72)</f>
        <v>67366.710000000006</v>
      </c>
      <c r="K65" s="45"/>
      <c r="L65" s="3">
        <f t="shared" si="2"/>
        <v>1.2331000000000001</v>
      </c>
    </row>
    <row r="66" spans="1:14" ht="69" customHeight="1" x14ac:dyDescent="0.25">
      <c r="A66" s="30" t="s">
        <v>66</v>
      </c>
      <c r="B66" s="27">
        <v>94570</v>
      </c>
      <c r="C66" s="26" t="s">
        <v>174</v>
      </c>
      <c r="D66" s="27" t="s">
        <v>18</v>
      </c>
      <c r="E66" s="28">
        <f>2*1.1*1</f>
        <v>2.2000000000000002</v>
      </c>
      <c r="F66" s="28">
        <v>341.62</v>
      </c>
      <c r="G66" s="14">
        <f t="shared" si="1"/>
        <v>421.25</v>
      </c>
      <c r="H66" s="14">
        <f t="shared" si="0"/>
        <v>926.75</v>
      </c>
      <c r="L66" s="3">
        <f t="shared" si="2"/>
        <v>1.2331000000000001</v>
      </c>
    </row>
    <row r="67" spans="1:14" ht="52.8" x14ac:dyDescent="0.25">
      <c r="A67" s="30" t="s">
        <v>67</v>
      </c>
      <c r="B67" s="27">
        <v>94569</v>
      </c>
      <c r="C67" s="26" t="s">
        <v>50</v>
      </c>
      <c r="D67" s="27" t="s">
        <v>18</v>
      </c>
      <c r="E67" s="28">
        <f>1*0.5*6+2*0.5*1+3*0.7*2</f>
        <v>8.1999999999999993</v>
      </c>
      <c r="F67" s="28">
        <v>648.29</v>
      </c>
      <c r="G67" s="14">
        <f t="shared" si="1"/>
        <v>799.41</v>
      </c>
      <c r="H67" s="14">
        <f t="shared" si="0"/>
        <v>6555.16</v>
      </c>
      <c r="L67" s="3">
        <f t="shared" si="2"/>
        <v>1.2331000000000001</v>
      </c>
    </row>
    <row r="68" spans="1:14" ht="26.4" x14ac:dyDescent="0.25">
      <c r="A68" s="30" t="s">
        <v>68</v>
      </c>
      <c r="B68" s="27">
        <v>91338</v>
      </c>
      <c r="C68" s="26" t="s">
        <v>175</v>
      </c>
      <c r="D68" s="30" t="s">
        <v>18</v>
      </c>
      <c r="E68" s="28">
        <f>9*2.1*0.9+6*0.7*1.8</f>
        <v>24.57</v>
      </c>
      <c r="F68" s="28">
        <v>1311.36</v>
      </c>
      <c r="G68" s="14">
        <f t="shared" si="1"/>
        <v>1617.04</v>
      </c>
      <c r="H68" s="14">
        <f t="shared" si="0"/>
        <v>39730.67</v>
      </c>
      <c r="L68" s="3">
        <f t="shared" si="2"/>
        <v>1.2331000000000001</v>
      </c>
    </row>
    <row r="69" spans="1:14" ht="30" customHeight="1" x14ac:dyDescent="0.25">
      <c r="A69" s="30" t="s">
        <v>69</v>
      </c>
      <c r="B69" s="27">
        <v>102185</v>
      </c>
      <c r="C69" s="26" t="s">
        <v>172</v>
      </c>
      <c r="D69" s="30" t="s">
        <v>23</v>
      </c>
      <c r="E69" s="28">
        <v>2</v>
      </c>
      <c r="F69" s="28">
        <v>3973.23</v>
      </c>
      <c r="G69" s="14">
        <f t="shared" si="1"/>
        <v>4899.3900000000003</v>
      </c>
      <c r="H69" s="14">
        <f t="shared" si="0"/>
        <v>9798.7800000000007</v>
      </c>
      <c r="L69" s="3">
        <f t="shared" si="2"/>
        <v>1.2331000000000001</v>
      </c>
    </row>
    <row r="70" spans="1:14" ht="26.4" x14ac:dyDescent="0.25">
      <c r="A70" s="30" t="s">
        <v>70</v>
      </c>
      <c r="B70" s="27">
        <v>102181</v>
      </c>
      <c r="C70" s="26" t="s">
        <v>173</v>
      </c>
      <c r="D70" s="30" t="s">
        <v>18</v>
      </c>
      <c r="E70" s="28">
        <f>0.95*2*3*2</f>
        <v>11.399999999999999</v>
      </c>
      <c r="F70" s="28">
        <v>451.39</v>
      </c>
      <c r="G70" s="14">
        <f t="shared" si="1"/>
        <v>556.61</v>
      </c>
      <c r="H70" s="14">
        <f t="shared" si="0"/>
        <v>6345.35</v>
      </c>
      <c r="L70" s="3">
        <f t="shared" si="2"/>
        <v>1.2331000000000001</v>
      </c>
    </row>
    <row r="71" spans="1:14" ht="39.6" x14ac:dyDescent="0.25">
      <c r="A71" s="30" t="s">
        <v>72</v>
      </c>
      <c r="B71" s="27">
        <v>90830</v>
      </c>
      <c r="C71" s="26" t="s">
        <v>54</v>
      </c>
      <c r="D71" s="30" t="s">
        <v>23</v>
      </c>
      <c r="E71" s="28">
        <v>2</v>
      </c>
      <c r="F71" s="28">
        <v>198.17</v>
      </c>
      <c r="G71" s="14">
        <f t="shared" si="1"/>
        <v>244.36</v>
      </c>
      <c r="H71" s="14">
        <f t="shared" si="0"/>
        <v>488.72</v>
      </c>
      <c r="L71" s="3">
        <f t="shared" si="2"/>
        <v>1.2331000000000001</v>
      </c>
    </row>
    <row r="72" spans="1:14" ht="26.4" x14ac:dyDescent="0.25">
      <c r="A72" s="30" t="s">
        <v>73</v>
      </c>
      <c r="B72" s="27">
        <v>101965</v>
      </c>
      <c r="C72" s="26" t="s">
        <v>57</v>
      </c>
      <c r="D72" s="30" t="s">
        <v>24</v>
      </c>
      <c r="E72" s="28">
        <f>3*2+2*2+1*6</f>
        <v>16</v>
      </c>
      <c r="F72" s="28">
        <v>178.48</v>
      </c>
      <c r="G72" s="14">
        <f t="shared" si="1"/>
        <v>220.08</v>
      </c>
      <c r="H72" s="14">
        <f t="shared" si="0"/>
        <v>3521.28</v>
      </c>
      <c r="L72" s="3">
        <f>L71</f>
        <v>1.2331000000000001</v>
      </c>
    </row>
    <row r="73" spans="1:14" x14ac:dyDescent="0.25">
      <c r="A73" s="159">
        <v>7</v>
      </c>
      <c r="B73" s="159"/>
      <c r="C73" s="18" t="s">
        <v>58</v>
      </c>
      <c r="D73" s="24"/>
      <c r="E73" s="25"/>
      <c r="F73" s="25"/>
      <c r="G73" s="25"/>
      <c r="H73" s="25">
        <f>SUM(H74:H84)</f>
        <v>381776.06000000011</v>
      </c>
      <c r="L73" s="3">
        <f t="shared" si="2"/>
        <v>1.2331000000000001</v>
      </c>
    </row>
    <row r="74" spans="1:14" ht="26.4" x14ac:dyDescent="0.25">
      <c r="A74" s="30" t="s">
        <v>80</v>
      </c>
      <c r="B74" s="27">
        <v>100378</v>
      </c>
      <c r="C74" s="26" t="s">
        <v>189</v>
      </c>
      <c r="D74" s="27" t="s">
        <v>142</v>
      </c>
      <c r="E74" s="28">
        <f>35*475</f>
        <v>16625</v>
      </c>
      <c r="F74" s="28">
        <v>10.68</v>
      </c>
      <c r="G74" s="14">
        <f t="shared" si="1"/>
        <v>13.17</v>
      </c>
      <c r="H74" s="14">
        <f t="shared" si="0"/>
        <v>218951.25</v>
      </c>
      <c r="L74" s="3">
        <f t="shared" si="2"/>
        <v>1.2331000000000001</v>
      </c>
      <c r="N74" s="46"/>
    </row>
    <row r="75" spans="1:14" ht="26.4" x14ac:dyDescent="0.25">
      <c r="A75" s="30" t="s">
        <v>81</v>
      </c>
      <c r="B75" s="27">
        <v>94213</v>
      </c>
      <c r="C75" s="26" t="s">
        <v>190</v>
      </c>
      <c r="D75" s="27" t="s">
        <v>18</v>
      </c>
      <c r="E75" s="28">
        <f>27*21</f>
        <v>567</v>
      </c>
      <c r="F75" s="28">
        <v>66.05</v>
      </c>
      <c r="G75" s="14">
        <f t="shared" si="1"/>
        <v>81.45</v>
      </c>
      <c r="H75" s="14">
        <f t="shared" si="0"/>
        <v>46182.15</v>
      </c>
      <c r="L75" s="3">
        <f t="shared" si="2"/>
        <v>1.2331000000000001</v>
      </c>
    </row>
    <row r="76" spans="1:14" ht="26.4" x14ac:dyDescent="0.25">
      <c r="A76" s="30" t="s">
        <v>83</v>
      </c>
      <c r="B76" s="27">
        <v>100326</v>
      </c>
      <c r="C76" s="26" t="s">
        <v>186</v>
      </c>
      <c r="D76" s="27" t="s">
        <v>24</v>
      </c>
      <c r="E76" s="28">
        <v>27</v>
      </c>
      <c r="F76" s="28">
        <v>77.53</v>
      </c>
      <c r="G76" s="14">
        <f t="shared" ref="G76" si="32">ROUND(F76*L76,2)</f>
        <v>95.6</v>
      </c>
      <c r="H76" s="14">
        <f t="shared" ref="H76" si="33">ROUND(G76*E76,2)</f>
        <v>2581.1999999999998</v>
      </c>
      <c r="L76" s="3">
        <f t="shared" si="2"/>
        <v>1.2331000000000001</v>
      </c>
    </row>
    <row r="77" spans="1:14" ht="26.4" x14ac:dyDescent="0.25">
      <c r="A77" s="30" t="s">
        <v>84</v>
      </c>
      <c r="B77" s="27">
        <v>94231</v>
      </c>
      <c r="C77" s="26" t="s">
        <v>187</v>
      </c>
      <c r="D77" s="27" t="s">
        <v>24</v>
      </c>
      <c r="E77" s="28">
        <f>27*2+21*4</f>
        <v>138</v>
      </c>
      <c r="F77" s="28">
        <v>48.71</v>
      </c>
      <c r="G77" s="14">
        <f t="shared" ref="G77:G79" si="34">ROUND(F77*L77,2)</f>
        <v>60.06</v>
      </c>
      <c r="H77" s="14">
        <f t="shared" ref="H77:H79" si="35">ROUND(G77*E77,2)</f>
        <v>8288.2800000000007</v>
      </c>
      <c r="L77" s="3">
        <f t="shared" si="2"/>
        <v>1.2331000000000001</v>
      </c>
    </row>
    <row r="78" spans="1:14" ht="26.4" x14ac:dyDescent="0.25">
      <c r="A78" s="30" t="s">
        <v>85</v>
      </c>
      <c r="B78" s="27">
        <v>94228</v>
      </c>
      <c r="C78" s="26" t="s">
        <v>188</v>
      </c>
      <c r="D78" s="27" t="s">
        <v>24</v>
      </c>
      <c r="E78" s="28">
        <f>27*2</f>
        <v>54</v>
      </c>
      <c r="F78" s="28">
        <v>81.93</v>
      </c>
      <c r="G78" s="14">
        <f t="shared" si="34"/>
        <v>101.03</v>
      </c>
      <c r="H78" s="14">
        <f t="shared" si="35"/>
        <v>5455.62</v>
      </c>
      <c r="L78" s="3">
        <f t="shared" si="2"/>
        <v>1.2331000000000001</v>
      </c>
    </row>
    <row r="79" spans="1:14" ht="26.4" x14ac:dyDescent="0.25">
      <c r="A79" s="30" t="s">
        <v>87</v>
      </c>
      <c r="B79" s="27">
        <v>89578</v>
      </c>
      <c r="C79" s="26" t="s">
        <v>198</v>
      </c>
      <c r="D79" s="27" t="s">
        <v>24</v>
      </c>
      <c r="E79" s="28">
        <f>4.5*10</f>
        <v>45</v>
      </c>
      <c r="F79" s="28">
        <v>33.22</v>
      </c>
      <c r="G79" s="14">
        <f t="shared" si="34"/>
        <v>40.96</v>
      </c>
      <c r="H79" s="14">
        <f t="shared" si="35"/>
        <v>1843.2</v>
      </c>
      <c r="L79" s="3">
        <f t="shared" si="2"/>
        <v>1.2331000000000001</v>
      </c>
    </row>
    <row r="80" spans="1:14" ht="39.6" x14ac:dyDescent="0.25">
      <c r="A80" s="30" t="s">
        <v>89</v>
      </c>
      <c r="B80" s="27">
        <v>89584</v>
      </c>
      <c r="C80" s="26" t="s">
        <v>199</v>
      </c>
      <c r="D80" s="27" t="s">
        <v>23</v>
      </c>
      <c r="E80" s="28">
        <v>20</v>
      </c>
      <c r="F80" s="28">
        <v>44.93</v>
      </c>
      <c r="G80" s="14">
        <f t="shared" ref="G80" si="36">ROUND(F80*L80,2)</f>
        <v>55.4</v>
      </c>
      <c r="H80" s="14">
        <f t="shared" ref="H80" si="37">ROUND(G80*E80,2)</f>
        <v>1108</v>
      </c>
      <c r="L80" s="3">
        <f t="shared" si="2"/>
        <v>1.2331000000000001</v>
      </c>
    </row>
    <row r="81" spans="1:12" ht="26.4" x14ac:dyDescent="0.25">
      <c r="A81" s="30" t="s">
        <v>91</v>
      </c>
      <c r="B81" s="27">
        <v>96486</v>
      </c>
      <c r="C81" s="26" t="s">
        <v>61</v>
      </c>
      <c r="D81" s="27" t="s">
        <v>18</v>
      </c>
      <c r="E81" s="31">
        <f>40+9.63+300.67+6.15+67.59+16.58+8</f>
        <v>448.61999999999995</v>
      </c>
      <c r="F81" s="28">
        <v>71.540000000000006</v>
      </c>
      <c r="G81" s="14">
        <f t="shared" ref="G81:G83" si="38">ROUND(F81*L81,2)</f>
        <v>88.22</v>
      </c>
      <c r="H81" s="14">
        <f t="shared" ref="H81:H83" si="39">ROUND(G81*E81,2)</f>
        <v>39577.26</v>
      </c>
      <c r="L81" s="3">
        <f>L75</f>
        <v>1.2331000000000001</v>
      </c>
    </row>
    <row r="82" spans="1:12" ht="26.4" x14ac:dyDescent="0.25">
      <c r="A82" s="30" t="s">
        <v>93</v>
      </c>
      <c r="B82" s="27">
        <v>96121</v>
      </c>
      <c r="C82" s="43" t="s">
        <v>185</v>
      </c>
      <c r="D82" s="30" t="s">
        <v>24</v>
      </c>
      <c r="E82" s="31">
        <f>2.5*2+3.85*2+4+2.65+12+20.7+24.7+14.65+1.5*2+3.9*12+2*2+2.25*2+4.1*2+3.35*2+6.7*2+5.55*2+2*4</f>
        <v>197.09999999999997</v>
      </c>
      <c r="F82" s="31">
        <v>11.76</v>
      </c>
      <c r="G82" s="14">
        <f t="shared" si="38"/>
        <v>14.5</v>
      </c>
      <c r="H82" s="14">
        <f t="shared" si="39"/>
        <v>2857.95</v>
      </c>
      <c r="L82" s="3">
        <f>L76</f>
        <v>1.2331000000000001</v>
      </c>
    </row>
    <row r="83" spans="1:12" ht="26.4" x14ac:dyDescent="0.25">
      <c r="A83" s="30" t="s">
        <v>94</v>
      </c>
      <c r="B83" s="27">
        <v>94226</v>
      </c>
      <c r="C83" s="43" t="s">
        <v>65</v>
      </c>
      <c r="D83" s="30" t="s">
        <v>24</v>
      </c>
      <c r="E83" s="31">
        <f>475</f>
        <v>475</v>
      </c>
      <c r="F83" s="31">
        <v>22.2</v>
      </c>
      <c r="G83" s="14">
        <f t="shared" si="38"/>
        <v>27.37</v>
      </c>
      <c r="H83" s="14">
        <f t="shared" si="39"/>
        <v>13000.75</v>
      </c>
      <c r="L83" s="3">
        <f>L77</f>
        <v>1.2331000000000001</v>
      </c>
    </row>
    <row r="84" spans="1:12" ht="52.8" x14ac:dyDescent="0.25">
      <c r="A84" s="30" t="s">
        <v>94</v>
      </c>
      <c r="B84" s="27">
        <v>39517</v>
      </c>
      <c r="C84" s="43" t="s">
        <v>349</v>
      </c>
      <c r="D84" s="30" t="s">
        <v>18</v>
      </c>
      <c r="E84" s="31">
        <f>(21*2+27*2)*(1.7+0.8)</f>
        <v>240</v>
      </c>
      <c r="F84" s="31">
        <f>1.1*966/(1.5*5)</f>
        <v>141.68</v>
      </c>
      <c r="G84" s="14">
        <f t="shared" si="1"/>
        <v>174.71</v>
      </c>
      <c r="H84" s="14">
        <f t="shared" si="0"/>
        <v>41930.400000000001</v>
      </c>
      <c r="L84" s="3">
        <f>L75</f>
        <v>1.2331000000000001</v>
      </c>
    </row>
    <row r="85" spans="1:12" x14ac:dyDescent="0.25">
      <c r="A85" s="162">
        <v>8</v>
      </c>
      <c r="B85" s="162"/>
      <c r="C85" s="55" t="s">
        <v>226</v>
      </c>
      <c r="D85" s="56"/>
      <c r="E85" s="33"/>
      <c r="F85" s="33"/>
      <c r="G85" s="34"/>
      <c r="H85" s="20">
        <f>SUM(H87:H120)</f>
        <v>35500.19</v>
      </c>
    </row>
    <row r="86" spans="1:12" x14ac:dyDescent="0.25">
      <c r="A86" s="162" t="s">
        <v>95</v>
      </c>
      <c r="B86" s="162"/>
      <c r="C86" s="55" t="s">
        <v>227</v>
      </c>
      <c r="D86" s="56"/>
      <c r="E86" s="33"/>
      <c r="F86" s="33"/>
      <c r="G86" s="34"/>
      <c r="H86" s="34"/>
    </row>
    <row r="87" spans="1:12" x14ac:dyDescent="0.25">
      <c r="A87" s="163" t="s">
        <v>304</v>
      </c>
      <c r="B87" s="163">
        <v>39391</v>
      </c>
      <c r="C87" s="29" t="s">
        <v>290</v>
      </c>
      <c r="D87" s="54" t="s">
        <v>23</v>
      </c>
      <c r="E87" s="31">
        <v>37</v>
      </c>
      <c r="F87" s="31">
        <v>28.26</v>
      </c>
      <c r="G87" s="14">
        <f t="shared" ref="G87:G143" si="40">ROUND(F87*L87,2)</f>
        <v>34.85</v>
      </c>
      <c r="H87" s="14">
        <f t="shared" ref="H87:H143" si="41">ROUND(G87*E87,2)</f>
        <v>1289.45</v>
      </c>
      <c r="L87" s="3">
        <f t="shared" ref="L87" si="42">L78</f>
        <v>1.2331000000000001</v>
      </c>
    </row>
    <row r="88" spans="1:12" ht="39.6" x14ac:dyDescent="0.25">
      <c r="A88" s="163" t="s">
        <v>305</v>
      </c>
      <c r="B88" s="163">
        <v>101502</v>
      </c>
      <c r="C88" s="29" t="s">
        <v>291</v>
      </c>
      <c r="D88" s="54" t="s">
        <v>23</v>
      </c>
      <c r="E88" s="31">
        <v>1</v>
      </c>
      <c r="F88" s="31">
        <v>2187.46</v>
      </c>
      <c r="G88" s="14">
        <f t="shared" si="40"/>
        <v>2697.36</v>
      </c>
      <c r="H88" s="14">
        <f t="shared" si="41"/>
        <v>2697.36</v>
      </c>
      <c r="L88" s="3">
        <f>L80</f>
        <v>1.2331000000000001</v>
      </c>
    </row>
    <row r="89" spans="1:12" ht="52.8" x14ac:dyDescent="0.25">
      <c r="A89" s="163" t="s">
        <v>306</v>
      </c>
      <c r="B89" s="163">
        <v>100611</v>
      </c>
      <c r="C89" s="29" t="s">
        <v>292</v>
      </c>
      <c r="D89" s="54" t="s">
        <v>23</v>
      </c>
      <c r="E89" s="31">
        <v>1</v>
      </c>
      <c r="F89" s="31">
        <v>1062.24</v>
      </c>
      <c r="G89" s="14">
        <f t="shared" ref="G89:G93" si="43">ROUND(F89*L89,2)</f>
        <v>1309.8499999999999</v>
      </c>
      <c r="H89" s="14">
        <f t="shared" ref="H89:H93" si="44">ROUND(G89*E89,2)</f>
        <v>1309.8499999999999</v>
      </c>
      <c r="L89" s="3">
        <f>L81</f>
        <v>1.2331000000000001</v>
      </c>
    </row>
    <row r="90" spans="1:12" ht="26.4" x14ac:dyDescent="0.25">
      <c r="A90" s="163" t="s">
        <v>307</v>
      </c>
      <c r="B90" s="163">
        <v>41204</v>
      </c>
      <c r="C90" s="29" t="s">
        <v>293</v>
      </c>
      <c r="D90" s="54" t="s">
        <v>23</v>
      </c>
      <c r="E90" s="31">
        <v>1</v>
      </c>
      <c r="F90" s="31">
        <v>1662.69</v>
      </c>
      <c r="G90" s="14">
        <f t="shared" si="43"/>
        <v>2050.2600000000002</v>
      </c>
      <c r="H90" s="14">
        <f t="shared" si="44"/>
        <v>2050.2600000000002</v>
      </c>
      <c r="L90" s="3">
        <f>L82</f>
        <v>1.2331000000000001</v>
      </c>
    </row>
    <row r="91" spans="1:12" ht="26.4" x14ac:dyDescent="0.25">
      <c r="A91" s="163" t="s">
        <v>308</v>
      </c>
      <c r="B91" s="30">
        <v>98111</v>
      </c>
      <c r="C91" s="43" t="s">
        <v>76</v>
      </c>
      <c r="D91" s="30" t="s">
        <v>23</v>
      </c>
      <c r="E91" s="31">
        <v>2</v>
      </c>
      <c r="F91" s="31">
        <v>54.31</v>
      </c>
      <c r="G91" s="14">
        <f t="shared" si="43"/>
        <v>66.97</v>
      </c>
      <c r="H91" s="14">
        <f t="shared" si="44"/>
        <v>133.94</v>
      </c>
      <c r="L91" s="3">
        <f t="shared" ref="L91:L92" si="45">L83</f>
        <v>1.2331000000000001</v>
      </c>
    </row>
    <row r="92" spans="1:12" ht="26.4" x14ac:dyDescent="0.25">
      <c r="A92" s="163" t="s">
        <v>309</v>
      </c>
      <c r="B92" s="30">
        <v>104751</v>
      </c>
      <c r="C92" s="43" t="s">
        <v>77</v>
      </c>
      <c r="D92" s="30" t="s">
        <v>23</v>
      </c>
      <c r="E92" s="31">
        <v>2</v>
      </c>
      <c r="F92" s="31">
        <v>25.16</v>
      </c>
      <c r="G92" s="14">
        <f t="shared" si="43"/>
        <v>31.02</v>
      </c>
      <c r="H92" s="14">
        <f t="shared" si="44"/>
        <v>62.04</v>
      </c>
      <c r="L92" s="3">
        <f t="shared" si="45"/>
        <v>1.2331000000000001</v>
      </c>
    </row>
    <row r="93" spans="1:12" ht="26.4" x14ac:dyDescent="0.25">
      <c r="A93" s="163" t="s">
        <v>310</v>
      </c>
      <c r="B93" s="30">
        <v>96986</v>
      </c>
      <c r="C93" s="43" t="s">
        <v>78</v>
      </c>
      <c r="D93" s="30" t="s">
        <v>23</v>
      </c>
      <c r="E93" s="31">
        <v>2</v>
      </c>
      <c r="F93" s="31">
        <v>123.16</v>
      </c>
      <c r="G93" s="14">
        <f t="shared" si="43"/>
        <v>151.87</v>
      </c>
      <c r="H93" s="14">
        <f t="shared" si="44"/>
        <v>303.74</v>
      </c>
      <c r="L93" s="3">
        <f>L92</f>
        <v>1.2331000000000001</v>
      </c>
    </row>
    <row r="94" spans="1:12" x14ac:dyDescent="0.25">
      <c r="A94" s="162" t="s">
        <v>97</v>
      </c>
      <c r="B94" s="162" t="s">
        <v>225</v>
      </c>
      <c r="C94" s="55" t="s">
        <v>228</v>
      </c>
      <c r="D94" s="56"/>
      <c r="E94" s="33"/>
      <c r="F94" s="33"/>
      <c r="G94" s="34"/>
      <c r="H94" s="34"/>
    </row>
    <row r="95" spans="1:12" ht="26.4" x14ac:dyDescent="0.25">
      <c r="A95" s="163" t="s">
        <v>311</v>
      </c>
      <c r="B95" s="163">
        <v>91924</v>
      </c>
      <c r="C95" s="29" t="s">
        <v>294</v>
      </c>
      <c r="D95" s="54" t="s">
        <v>24</v>
      </c>
      <c r="E95" s="31">
        <f>(12.5*7+3.8+2.7*2+5.3+3.1+4.3+2*4+4+2*4+3.3+2*2+2.2+2*6+1.5*12)*2</f>
        <v>337.79999999999995</v>
      </c>
      <c r="F95" s="31">
        <v>3.4</v>
      </c>
      <c r="G95" s="14">
        <f t="shared" si="40"/>
        <v>4.1900000000000004</v>
      </c>
      <c r="H95" s="14">
        <f t="shared" si="41"/>
        <v>1415.38</v>
      </c>
      <c r="L95" s="3">
        <f>L84</f>
        <v>1.2331000000000001</v>
      </c>
    </row>
    <row r="96" spans="1:12" ht="26.4" x14ac:dyDescent="0.25">
      <c r="A96" s="163" t="s">
        <v>312</v>
      </c>
      <c r="B96" s="163">
        <v>91932</v>
      </c>
      <c r="C96" s="29" t="s">
        <v>295</v>
      </c>
      <c r="D96" s="54" t="s">
        <v>24</v>
      </c>
      <c r="E96" s="31">
        <f>50*3</f>
        <v>150</v>
      </c>
      <c r="F96" s="31">
        <v>18.52</v>
      </c>
      <c r="G96" s="14">
        <f t="shared" si="40"/>
        <v>22.84</v>
      </c>
      <c r="H96" s="14">
        <f t="shared" si="41"/>
        <v>3426</v>
      </c>
      <c r="L96" s="3">
        <f>L95</f>
        <v>1.2331000000000001</v>
      </c>
    </row>
    <row r="97" spans="1:12" ht="26.4" x14ac:dyDescent="0.25">
      <c r="A97" s="163" t="s">
        <v>313</v>
      </c>
      <c r="B97" s="163">
        <v>91927</v>
      </c>
      <c r="C97" s="29" t="s">
        <v>296</v>
      </c>
      <c r="D97" s="54" t="s">
        <v>24</v>
      </c>
      <c r="E97" s="31">
        <f>(12.5*7+3.8+2.7*2+5.3+3.1+4.3+2*4+4+2*4+3.3+2*2+2.2+2*6+1.5*12)*3</f>
        <v>506.69999999999993</v>
      </c>
      <c r="F97" s="31">
        <v>5.45</v>
      </c>
      <c r="G97" s="14">
        <f t="shared" si="40"/>
        <v>6.72</v>
      </c>
      <c r="H97" s="14">
        <f t="shared" si="41"/>
        <v>3405.02</v>
      </c>
      <c r="L97" s="3">
        <f>L96</f>
        <v>1.2331000000000001</v>
      </c>
    </row>
    <row r="98" spans="1:12" ht="26.4" x14ac:dyDescent="0.25">
      <c r="A98" s="163" t="s">
        <v>314</v>
      </c>
      <c r="B98" s="163">
        <v>91929</v>
      </c>
      <c r="C98" s="29" t="s">
        <v>297</v>
      </c>
      <c r="D98" s="54" t="s">
        <v>24</v>
      </c>
      <c r="E98" s="31">
        <f>(12.5*4+3.8+2.7*2+5.3+3.1+4.3+2*4+4+2*4+3.3+2*2+2.2+2*6+1.5*12)*2</f>
        <v>262.79999999999995</v>
      </c>
      <c r="F98" s="31">
        <v>8</v>
      </c>
      <c r="G98" s="14">
        <f t="shared" ref="G98:G99" si="46">ROUND(F98*L98,2)</f>
        <v>9.86</v>
      </c>
      <c r="H98" s="14">
        <f t="shared" ref="H98:H99" si="47">ROUND(G98*E98,2)</f>
        <v>2591.21</v>
      </c>
      <c r="L98" s="3">
        <f>L97</f>
        <v>1.2331000000000001</v>
      </c>
    </row>
    <row r="99" spans="1:12" x14ac:dyDescent="0.25">
      <c r="A99" s="163" t="s">
        <v>333</v>
      </c>
      <c r="B99" s="163">
        <v>100553</v>
      </c>
      <c r="C99" s="29" t="s">
        <v>334</v>
      </c>
      <c r="D99" s="54" t="s">
        <v>24</v>
      </c>
      <c r="E99" s="31">
        <f>25+2+20</f>
        <v>47</v>
      </c>
      <c r="F99" s="31">
        <v>29.44</v>
      </c>
      <c r="G99" s="14">
        <f t="shared" si="46"/>
        <v>36.299999999999997</v>
      </c>
      <c r="H99" s="14">
        <f t="shared" si="47"/>
        <v>1706.1</v>
      </c>
      <c r="L99" s="3">
        <f>L87</f>
        <v>1.2331000000000001</v>
      </c>
    </row>
    <row r="100" spans="1:12" x14ac:dyDescent="0.25">
      <c r="A100" s="162" t="s">
        <v>98</v>
      </c>
      <c r="B100" s="162" t="s">
        <v>225</v>
      </c>
      <c r="C100" s="55" t="s">
        <v>229</v>
      </c>
      <c r="D100" s="56"/>
      <c r="E100" s="33"/>
      <c r="F100" s="33"/>
      <c r="G100" s="34"/>
      <c r="H100" s="34"/>
    </row>
    <row r="101" spans="1:12" ht="39.6" x14ac:dyDescent="0.25">
      <c r="A101" s="163" t="s">
        <v>315</v>
      </c>
      <c r="B101" s="163">
        <v>91835</v>
      </c>
      <c r="C101" s="29" t="s">
        <v>230</v>
      </c>
      <c r="D101" s="54" t="s">
        <v>24</v>
      </c>
      <c r="E101" s="31">
        <f>E95/2</f>
        <v>168.89999999999998</v>
      </c>
      <c r="F101" s="31">
        <v>20.16</v>
      </c>
      <c r="G101" s="14">
        <f t="shared" si="40"/>
        <v>24.86</v>
      </c>
      <c r="H101" s="14">
        <f t="shared" si="41"/>
        <v>4198.8500000000004</v>
      </c>
      <c r="L101" s="3">
        <f t="shared" ref="L101:L110" si="48">L88</f>
        <v>1.2331000000000001</v>
      </c>
    </row>
    <row r="102" spans="1:12" ht="39.6" x14ac:dyDescent="0.25">
      <c r="A102" s="163" t="s">
        <v>316</v>
      </c>
      <c r="B102" s="163" t="s">
        <v>231</v>
      </c>
      <c r="C102" s="29" t="s">
        <v>232</v>
      </c>
      <c r="D102" s="54" t="s">
        <v>24</v>
      </c>
      <c r="E102" s="31">
        <f>E97/3</f>
        <v>168.89999999999998</v>
      </c>
      <c r="F102" s="31">
        <v>25.14</v>
      </c>
      <c r="G102" s="14">
        <f t="shared" si="40"/>
        <v>31</v>
      </c>
      <c r="H102" s="14">
        <f t="shared" si="41"/>
        <v>5235.8999999999996</v>
      </c>
      <c r="L102" s="3">
        <f t="shared" si="48"/>
        <v>1.2331000000000001</v>
      </c>
    </row>
    <row r="103" spans="1:12" ht="39.6" x14ac:dyDescent="0.25">
      <c r="A103" s="163" t="s">
        <v>317</v>
      </c>
      <c r="B103" s="163">
        <v>97667</v>
      </c>
      <c r="C103" s="29" t="s">
        <v>233</v>
      </c>
      <c r="D103" s="54" t="s">
        <v>24</v>
      </c>
      <c r="E103" s="31">
        <f>E96/3</f>
        <v>50</v>
      </c>
      <c r="F103" s="31">
        <v>8.23</v>
      </c>
      <c r="G103" s="14">
        <f t="shared" si="40"/>
        <v>10.15</v>
      </c>
      <c r="H103" s="14">
        <f t="shared" si="41"/>
        <v>507.5</v>
      </c>
      <c r="L103" s="3">
        <f t="shared" si="48"/>
        <v>1.2331000000000001</v>
      </c>
    </row>
    <row r="104" spans="1:12" ht="39.6" x14ac:dyDescent="0.25">
      <c r="A104" s="163" t="s">
        <v>318</v>
      </c>
      <c r="B104" s="163" t="s">
        <v>234</v>
      </c>
      <c r="C104" s="29" t="s">
        <v>235</v>
      </c>
      <c r="D104" s="54" t="s">
        <v>24</v>
      </c>
      <c r="E104" s="31">
        <v>50</v>
      </c>
      <c r="F104" s="31">
        <v>11.69</v>
      </c>
      <c r="G104" s="14">
        <f t="shared" si="40"/>
        <v>14.41</v>
      </c>
      <c r="H104" s="14">
        <f t="shared" si="41"/>
        <v>720.5</v>
      </c>
      <c r="L104" s="3">
        <f t="shared" si="48"/>
        <v>1.2331000000000001</v>
      </c>
    </row>
    <row r="105" spans="1:12" x14ac:dyDescent="0.25">
      <c r="A105" s="162" t="s">
        <v>99</v>
      </c>
      <c r="B105" s="162" t="s">
        <v>225</v>
      </c>
      <c r="C105" s="55" t="s">
        <v>236</v>
      </c>
      <c r="D105" s="56"/>
      <c r="E105" s="33"/>
      <c r="F105" s="33"/>
      <c r="G105" s="34"/>
      <c r="H105" s="34"/>
    </row>
    <row r="106" spans="1:12" ht="26.4" x14ac:dyDescent="0.25">
      <c r="A106" s="163" t="s">
        <v>319</v>
      </c>
      <c r="B106" s="163">
        <v>93653</v>
      </c>
      <c r="C106" s="29" t="s">
        <v>237</v>
      </c>
      <c r="D106" s="54" t="s">
        <v>23</v>
      </c>
      <c r="E106" s="31">
        <v>5</v>
      </c>
      <c r="F106" s="31">
        <v>11.89</v>
      </c>
      <c r="G106" s="14">
        <f t="shared" si="40"/>
        <v>14.66</v>
      </c>
      <c r="H106" s="14">
        <f t="shared" si="41"/>
        <v>73.3</v>
      </c>
      <c r="L106" s="3">
        <f t="shared" si="48"/>
        <v>1.2331000000000001</v>
      </c>
    </row>
    <row r="107" spans="1:12" ht="26.4" x14ac:dyDescent="0.25">
      <c r="A107" s="163" t="s">
        <v>320</v>
      </c>
      <c r="B107" s="163">
        <v>936545</v>
      </c>
      <c r="C107" s="29" t="s">
        <v>299</v>
      </c>
      <c r="D107" s="54" t="s">
        <v>23</v>
      </c>
      <c r="E107" s="31">
        <v>5</v>
      </c>
      <c r="F107" s="31">
        <v>12.92</v>
      </c>
      <c r="G107" s="14">
        <f t="shared" si="40"/>
        <v>15.93</v>
      </c>
      <c r="H107" s="14">
        <f t="shared" si="41"/>
        <v>79.650000000000006</v>
      </c>
      <c r="L107" s="3">
        <f>L92</f>
        <v>1.2331000000000001</v>
      </c>
    </row>
    <row r="108" spans="1:12" ht="26.4" x14ac:dyDescent="0.25">
      <c r="A108" s="163" t="s">
        <v>321</v>
      </c>
      <c r="B108" s="163" t="s">
        <v>238</v>
      </c>
      <c r="C108" s="29" t="s">
        <v>298</v>
      </c>
      <c r="D108" s="54" t="s">
        <v>23</v>
      </c>
      <c r="E108" s="31">
        <v>2</v>
      </c>
      <c r="F108" s="31">
        <v>15.86</v>
      </c>
      <c r="G108" s="14">
        <f t="shared" ref="G108" si="49">ROUND(F108*L108,2)</f>
        <v>19.559999999999999</v>
      </c>
      <c r="H108" s="14">
        <f t="shared" ref="H108" si="50">ROUND(G108*E108,2)</f>
        <v>39.119999999999997</v>
      </c>
      <c r="L108" s="3">
        <f t="shared" si="48"/>
        <v>1.2331000000000001</v>
      </c>
    </row>
    <row r="109" spans="1:12" ht="26.4" x14ac:dyDescent="0.25">
      <c r="A109" s="163" t="s">
        <v>322</v>
      </c>
      <c r="B109" s="163">
        <v>93659</v>
      </c>
      <c r="C109" s="29" t="s">
        <v>71</v>
      </c>
      <c r="D109" s="54" t="s">
        <v>23</v>
      </c>
      <c r="E109" s="31">
        <v>1</v>
      </c>
      <c r="F109" s="31">
        <v>26.33</v>
      </c>
      <c r="G109" s="14">
        <f t="shared" si="40"/>
        <v>32.47</v>
      </c>
      <c r="H109" s="14">
        <f t="shared" si="41"/>
        <v>32.47</v>
      </c>
      <c r="L109" s="3">
        <f t="shared" si="48"/>
        <v>1.2331000000000001</v>
      </c>
    </row>
    <row r="110" spans="1:12" ht="26.4" x14ac:dyDescent="0.25">
      <c r="A110" s="163" t="s">
        <v>323</v>
      </c>
      <c r="B110" s="163">
        <v>39472</v>
      </c>
      <c r="C110" s="29" t="s">
        <v>239</v>
      </c>
      <c r="D110" s="54" t="s">
        <v>23</v>
      </c>
      <c r="E110" s="31">
        <v>1</v>
      </c>
      <c r="F110" s="31">
        <v>172.97</v>
      </c>
      <c r="G110" s="14">
        <f t="shared" si="40"/>
        <v>213.29</v>
      </c>
      <c r="H110" s="14">
        <f t="shared" si="41"/>
        <v>213.29</v>
      </c>
      <c r="L110" s="3">
        <f t="shared" si="48"/>
        <v>1.2331000000000001</v>
      </c>
    </row>
    <row r="111" spans="1:12" ht="26.4" x14ac:dyDescent="0.25">
      <c r="A111" s="163" t="s">
        <v>324</v>
      </c>
      <c r="B111" s="163">
        <v>39455</v>
      </c>
      <c r="C111" s="29" t="s">
        <v>240</v>
      </c>
      <c r="D111" s="54" t="s">
        <v>23</v>
      </c>
      <c r="E111" s="31">
        <v>1</v>
      </c>
      <c r="F111" s="31">
        <v>151.71</v>
      </c>
      <c r="G111" s="14">
        <f t="shared" si="40"/>
        <v>187.07</v>
      </c>
      <c r="H111" s="14">
        <f t="shared" si="41"/>
        <v>187.07</v>
      </c>
      <c r="L111" s="3">
        <f t="shared" ref="L111:L123" si="51">L99</f>
        <v>1.2331000000000001</v>
      </c>
    </row>
    <row r="112" spans="1:12" x14ac:dyDescent="0.25">
      <c r="A112" s="162" t="s">
        <v>100</v>
      </c>
      <c r="B112" s="162" t="s">
        <v>225</v>
      </c>
      <c r="C112" s="55" t="s">
        <v>241</v>
      </c>
      <c r="D112" s="56"/>
      <c r="E112" s="33"/>
      <c r="F112" s="33"/>
      <c r="G112" s="34"/>
      <c r="H112" s="34"/>
      <c r="L112" s="3">
        <f t="shared" si="51"/>
        <v>0</v>
      </c>
    </row>
    <row r="113" spans="1:12" ht="26.4" x14ac:dyDescent="0.25">
      <c r="A113" s="163" t="s">
        <v>325</v>
      </c>
      <c r="B113" s="163">
        <v>91940</v>
      </c>
      <c r="C113" s="29" t="s">
        <v>300</v>
      </c>
      <c r="D113" s="54" t="s">
        <v>23</v>
      </c>
      <c r="E113" s="31">
        <v>30</v>
      </c>
      <c r="F113" s="31">
        <v>22.09</v>
      </c>
      <c r="G113" s="14">
        <f t="shared" si="40"/>
        <v>27.24</v>
      </c>
      <c r="H113" s="14">
        <f t="shared" si="41"/>
        <v>817.2</v>
      </c>
      <c r="L113" s="3">
        <f t="shared" si="51"/>
        <v>1.2331000000000001</v>
      </c>
    </row>
    <row r="114" spans="1:12" ht="26.4" x14ac:dyDescent="0.25">
      <c r="A114" s="163" t="s">
        <v>326</v>
      </c>
      <c r="B114" s="163">
        <v>91939</v>
      </c>
      <c r="C114" s="29" t="s">
        <v>301</v>
      </c>
      <c r="D114" s="54" t="s">
        <v>23</v>
      </c>
      <c r="E114" s="31">
        <v>9</v>
      </c>
      <c r="F114" s="31">
        <v>39.26</v>
      </c>
      <c r="G114" s="14">
        <f t="shared" si="40"/>
        <v>48.41</v>
      </c>
      <c r="H114" s="14">
        <f t="shared" si="41"/>
        <v>435.69</v>
      </c>
      <c r="L114" s="3">
        <f t="shared" si="51"/>
        <v>1.2331000000000001</v>
      </c>
    </row>
    <row r="115" spans="1:12" ht="26.4" x14ac:dyDescent="0.25">
      <c r="A115" s="163" t="s">
        <v>327</v>
      </c>
      <c r="B115" s="163">
        <v>91953</v>
      </c>
      <c r="C115" s="29" t="s">
        <v>75</v>
      </c>
      <c r="D115" s="54" t="s">
        <v>23</v>
      </c>
      <c r="E115" s="31">
        <v>11</v>
      </c>
      <c r="F115" s="31">
        <v>36.61</v>
      </c>
      <c r="G115" s="14">
        <f t="shared" si="40"/>
        <v>45.14</v>
      </c>
      <c r="H115" s="14">
        <f t="shared" si="41"/>
        <v>496.54</v>
      </c>
      <c r="L115" s="3">
        <f t="shared" si="51"/>
        <v>1.2331000000000001</v>
      </c>
    </row>
    <row r="116" spans="1:12" ht="26.4" x14ac:dyDescent="0.25">
      <c r="A116" s="163" t="s">
        <v>328</v>
      </c>
      <c r="B116" s="163">
        <v>92000</v>
      </c>
      <c r="C116" s="29" t="s">
        <v>74</v>
      </c>
      <c r="D116" s="54" t="s">
        <v>23</v>
      </c>
      <c r="E116" s="31">
        <v>10</v>
      </c>
      <c r="F116" s="31">
        <v>38.35</v>
      </c>
      <c r="G116" s="14">
        <f t="shared" si="40"/>
        <v>47.29</v>
      </c>
      <c r="H116" s="14">
        <f t="shared" si="41"/>
        <v>472.9</v>
      </c>
      <c r="L116" s="3">
        <f t="shared" si="51"/>
        <v>1.2331000000000001</v>
      </c>
    </row>
    <row r="117" spans="1:12" ht="26.4" x14ac:dyDescent="0.25">
      <c r="A117" s="163" t="s">
        <v>329</v>
      </c>
      <c r="B117" s="163" t="s">
        <v>242</v>
      </c>
      <c r="C117" s="29" t="s">
        <v>243</v>
      </c>
      <c r="D117" s="54" t="s">
        <v>23</v>
      </c>
      <c r="E117" s="31">
        <v>15</v>
      </c>
      <c r="F117" s="31">
        <v>40.82</v>
      </c>
      <c r="G117" s="14">
        <f t="shared" si="40"/>
        <v>50.34</v>
      </c>
      <c r="H117" s="14">
        <f t="shared" si="41"/>
        <v>755.1</v>
      </c>
      <c r="L117" s="3">
        <f>L107</f>
        <v>1.2331000000000001</v>
      </c>
    </row>
    <row r="118" spans="1:12" ht="29.4" customHeight="1" x14ac:dyDescent="0.25">
      <c r="A118" s="163" t="s">
        <v>330</v>
      </c>
      <c r="B118" s="163" t="s">
        <v>244</v>
      </c>
      <c r="C118" s="29" t="s">
        <v>245</v>
      </c>
      <c r="D118" s="54" t="s">
        <v>23</v>
      </c>
      <c r="E118" s="31">
        <v>2</v>
      </c>
      <c r="F118" s="31">
        <v>81.349999999999994</v>
      </c>
      <c r="G118" s="14">
        <f t="shared" si="40"/>
        <v>100.31</v>
      </c>
      <c r="H118" s="14">
        <f t="shared" si="41"/>
        <v>200.62</v>
      </c>
      <c r="L118" s="3">
        <f t="shared" si="51"/>
        <v>1.2331000000000001</v>
      </c>
    </row>
    <row r="119" spans="1:12" ht="29.4" customHeight="1" x14ac:dyDescent="0.25">
      <c r="A119" s="163" t="s">
        <v>331</v>
      </c>
      <c r="B119" s="163">
        <v>101873</v>
      </c>
      <c r="C119" s="29" t="s">
        <v>303</v>
      </c>
      <c r="D119" s="54" t="s">
        <v>23</v>
      </c>
      <c r="E119" s="31">
        <v>1</v>
      </c>
      <c r="F119" s="31">
        <v>356.86</v>
      </c>
      <c r="G119" s="14">
        <f t="shared" ref="G119" si="52">ROUND(F119*L119,2)</f>
        <v>440.04</v>
      </c>
      <c r="H119" s="14">
        <f t="shared" ref="H119" si="53">ROUND(G119*E119,2)</f>
        <v>440.04</v>
      </c>
      <c r="L119" s="3">
        <f>L118</f>
        <v>1.2331000000000001</v>
      </c>
    </row>
    <row r="120" spans="1:12" ht="39.6" x14ac:dyDescent="0.25">
      <c r="A120" s="163" t="s">
        <v>332</v>
      </c>
      <c r="B120" s="163">
        <v>100561</v>
      </c>
      <c r="C120" s="29" t="s">
        <v>302</v>
      </c>
      <c r="D120" s="54" t="s">
        <v>23</v>
      </c>
      <c r="E120" s="31">
        <v>1</v>
      </c>
      <c r="F120" s="31">
        <v>165.52</v>
      </c>
      <c r="G120" s="14">
        <f t="shared" si="40"/>
        <v>204.1</v>
      </c>
      <c r="H120" s="14">
        <f t="shared" si="41"/>
        <v>204.1</v>
      </c>
      <c r="L120" s="3">
        <f t="shared" si="51"/>
        <v>1.2331000000000001</v>
      </c>
    </row>
    <row r="121" spans="1:12" x14ac:dyDescent="0.25">
      <c r="A121" s="162">
        <v>9</v>
      </c>
      <c r="B121" s="162" t="s">
        <v>225</v>
      </c>
      <c r="C121" s="55" t="s">
        <v>452</v>
      </c>
      <c r="D121" s="56"/>
      <c r="E121" s="33"/>
      <c r="F121" s="33"/>
      <c r="G121" s="34"/>
      <c r="H121" s="20">
        <f>SUM(H123:H180)</f>
        <v>80757.14</v>
      </c>
      <c r="L121" s="3">
        <f t="shared" si="51"/>
        <v>1.2331000000000001</v>
      </c>
    </row>
    <row r="122" spans="1:12" x14ac:dyDescent="0.25">
      <c r="A122" s="162" t="s">
        <v>102</v>
      </c>
      <c r="B122" s="162" t="s">
        <v>225</v>
      </c>
      <c r="C122" s="55" t="s">
        <v>246</v>
      </c>
      <c r="D122" s="56"/>
      <c r="E122" s="33"/>
      <c r="F122" s="33"/>
      <c r="G122" s="34"/>
      <c r="H122" s="34"/>
      <c r="L122" s="3">
        <f t="shared" si="51"/>
        <v>1.2331000000000001</v>
      </c>
    </row>
    <row r="123" spans="1:12" ht="26.4" x14ac:dyDescent="0.25">
      <c r="A123" s="163" t="s">
        <v>393</v>
      </c>
      <c r="B123" s="163">
        <v>94492</v>
      </c>
      <c r="C123" s="29" t="s">
        <v>247</v>
      </c>
      <c r="D123" s="54" t="s">
        <v>23</v>
      </c>
      <c r="E123" s="31">
        <v>2</v>
      </c>
      <c r="F123" s="31">
        <v>61.51</v>
      </c>
      <c r="G123" s="14">
        <f t="shared" si="40"/>
        <v>75.849999999999994</v>
      </c>
      <c r="H123" s="14">
        <f t="shared" si="41"/>
        <v>151.69999999999999</v>
      </c>
      <c r="L123" s="3">
        <f t="shared" si="51"/>
        <v>1.2331000000000001</v>
      </c>
    </row>
    <row r="124" spans="1:12" ht="26.4" x14ac:dyDescent="0.25">
      <c r="A124" s="163" t="s">
        <v>394</v>
      </c>
      <c r="B124" s="163">
        <v>89987</v>
      </c>
      <c r="C124" s="29" t="s">
        <v>248</v>
      </c>
      <c r="D124" s="54" t="s">
        <v>23</v>
      </c>
      <c r="E124" s="31">
        <v>4</v>
      </c>
      <c r="F124" s="31">
        <v>97.91</v>
      </c>
      <c r="G124" s="14">
        <f t="shared" si="40"/>
        <v>120.73</v>
      </c>
      <c r="H124" s="14">
        <f t="shared" si="41"/>
        <v>482.92</v>
      </c>
      <c r="L124" s="3">
        <f>L113</f>
        <v>1.2331000000000001</v>
      </c>
    </row>
    <row r="125" spans="1:12" ht="26.4" x14ac:dyDescent="0.25">
      <c r="A125" s="163" t="s">
        <v>395</v>
      </c>
      <c r="B125" s="163">
        <v>100858</v>
      </c>
      <c r="C125" s="29" t="s">
        <v>249</v>
      </c>
      <c r="D125" s="54" t="s">
        <v>23</v>
      </c>
      <c r="E125" s="31">
        <v>3</v>
      </c>
      <c r="F125" s="31">
        <v>664.83</v>
      </c>
      <c r="G125" s="14">
        <f t="shared" si="40"/>
        <v>819.8</v>
      </c>
      <c r="H125" s="14">
        <f t="shared" si="41"/>
        <v>2459.4</v>
      </c>
      <c r="L125" s="3">
        <f>L114</f>
        <v>1.2331000000000001</v>
      </c>
    </row>
    <row r="126" spans="1:12" ht="39.6" x14ac:dyDescent="0.25">
      <c r="A126" s="163" t="s">
        <v>396</v>
      </c>
      <c r="B126" s="163">
        <v>86932</v>
      </c>
      <c r="C126" s="29" t="s">
        <v>337</v>
      </c>
      <c r="D126" s="54" t="s">
        <v>23</v>
      </c>
      <c r="E126" s="31">
        <v>6</v>
      </c>
      <c r="F126" s="31">
        <v>560.63</v>
      </c>
      <c r="G126" s="14">
        <f t="shared" si="40"/>
        <v>691.31</v>
      </c>
      <c r="H126" s="14">
        <f t="shared" si="41"/>
        <v>4147.8599999999997</v>
      </c>
      <c r="L126" s="3">
        <f>L115</f>
        <v>1.2331000000000001</v>
      </c>
    </row>
    <row r="127" spans="1:12" ht="39.6" x14ac:dyDescent="0.25">
      <c r="A127" s="163" t="s">
        <v>397</v>
      </c>
      <c r="B127" s="163">
        <v>95471</v>
      </c>
      <c r="C127" s="29" t="s">
        <v>338</v>
      </c>
      <c r="D127" s="54" t="s">
        <v>23</v>
      </c>
      <c r="E127" s="31">
        <v>2</v>
      </c>
      <c r="F127" s="31">
        <v>792.73</v>
      </c>
      <c r="G127" s="14">
        <f t="shared" ref="G127" si="54">ROUND(F127*L127,2)</f>
        <v>977.52</v>
      </c>
      <c r="H127" s="14">
        <f t="shared" ref="H127" si="55">ROUND(G127*E127,2)</f>
        <v>1955.04</v>
      </c>
      <c r="L127" s="3">
        <f>L116</f>
        <v>1.2331000000000001</v>
      </c>
    </row>
    <row r="128" spans="1:12" ht="26.4" x14ac:dyDescent="0.25">
      <c r="A128" s="163" t="s">
        <v>398</v>
      </c>
      <c r="B128" s="163">
        <v>100849</v>
      </c>
      <c r="C128" s="29" t="s">
        <v>82</v>
      </c>
      <c r="D128" s="54" t="s">
        <v>23</v>
      </c>
      <c r="E128" s="31">
        <v>8</v>
      </c>
      <c r="F128" s="31">
        <v>50.27</v>
      </c>
      <c r="G128" s="14">
        <f t="shared" si="40"/>
        <v>61.99</v>
      </c>
      <c r="H128" s="14">
        <f t="shared" si="41"/>
        <v>495.92</v>
      </c>
      <c r="L128" s="3">
        <f t="shared" ref="L128:L133" si="56">L116</f>
        <v>1.2331000000000001</v>
      </c>
    </row>
    <row r="129" spans="1:12" ht="26.4" x14ac:dyDescent="0.25">
      <c r="A129" s="163" t="s">
        <v>399</v>
      </c>
      <c r="B129" s="163">
        <v>100869</v>
      </c>
      <c r="C129" s="29" t="s">
        <v>191</v>
      </c>
      <c r="D129" s="54" t="s">
        <v>23</v>
      </c>
      <c r="E129" s="31">
        <v>2</v>
      </c>
      <c r="F129" s="31">
        <v>384.94</v>
      </c>
      <c r="G129" s="14">
        <f t="shared" ref="G129" si="57">ROUND(F129*L129,2)</f>
        <v>474.67</v>
      </c>
      <c r="H129" s="14">
        <f t="shared" ref="H129" si="58">ROUND(G129*E129,2)</f>
        <v>949.34</v>
      </c>
      <c r="L129" s="3">
        <f t="shared" si="56"/>
        <v>1.2331000000000001</v>
      </c>
    </row>
    <row r="130" spans="1:12" ht="26.4" x14ac:dyDescent="0.25">
      <c r="A130" s="163" t="s">
        <v>400</v>
      </c>
      <c r="B130" s="163">
        <v>100866</v>
      </c>
      <c r="C130" s="29" t="s">
        <v>336</v>
      </c>
      <c r="D130" s="54" t="s">
        <v>23</v>
      </c>
      <c r="E130" s="31">
        <v>2</v>
      </c>
      <c r="F130" s="31">
        <v>341.68</v>
      </c>
      <c r="G130" s="14">
        <f t="shared" si="40"/>
        <v>421.33</v>
      </c>
      <c r="H130" s="14">
        <f t="shared" si="41"/>
        <v>842.66</v>
      </c>
      <c r="L130" s="3">
        <f t="shared" si="56"/>
        <v>1.2331000000000001</v>
      </c>
    </row>
    <row r="131" spans="1:12" ht="52.8" x14ac:dyDescent="0.25">
      <c r="A131" s="163" t="s">
        <v>401</v>
      </c>
      <c r="B131" s="163">
        <v>93396</v>
      </c>
      <c r="C131" s="29" t="s">
        <v>335</v>
      </c>
      <c r="D131" s="54" t="s">
        <v>23</v>
      </c>
      <c r="E131" s="31">
        <v>11</v>
      </c>
      <c r="F131" s="31">
        <v>725.64</v>
      </c>
      <c r="G131" s="14">
        <f t="shared" si="40"/>
        <v>894.79</v>
      </c>
      <c r="H131" s="14">
        <f t="shared" si="41"/>
        <v>9842.69</v>
      </c>
      <c r="L131" s="3">
        <f t="shared" si="56"/>
        <v>1.2331000000000001</v>
      </c>
    </row>
    <row r="132" spans="1:12" ht="26.4" x14ac:dyDescent="0.25">
      <c r="A132" s="163" t="s">
        <v>402</v>
      </c>
      <c r="B132" s="30">
        <v>95547</v>
      </c>
      <c r="C132" s="43" t="s">
        <v>203</v>
      </c>
      <c r="D132" s="30" t="s">
        <v>23</v>
      </c>
      <c r="E132" s="31">
        <v>8</v>
      </c>
      <c r="F132" s="31">
        <v>67.78</v>
      </c>
      <c r="G132" s="14">
        <f t="shared" si="40"/>
        <v>83.58</v>
      </c>
      <c r="H132" s="14">
        <f t="shared" si="41"/>
        <v>668.64</v>
      </c>
      <c r="L132" s="3">
        <f t="shared" si="56"/>
        <v>1.2331000000000001</v>
      </c>
    </row>
    <row r="133" spans="1:12" ht="26.4" x14ac:dyDescent="0.25">
      <c r="A133" s="163" t="s">
        <v>403</v>
      </c>
      <c r="B133" s="30">
        <v>95544</v>
      </c>
      <c r="C133" s="43" t="s">
        <v>101</v>
      </c>
      <c r="D133" s="30" t="s">
        <v>23</v>
      </c>
      <c r="E133" s="31">
        <v>8</v>
      </c>
      <c r="F133" s="31">
        <v>46.95</v>
      </c>
      <c r="G133" s="14">
        <f t="shared" si="40"/>
        <v>57.89</v>
      </c>
      <c r="H133" s="14">
        <f t="shared" si="41"/>
        <v>463.12</v>
      </c>
      <c r="L133" s="3">
        <f t="shared" si="56"/>
        <v>1.2331000000000001</v>
      </c>
    </row>
    <row r="134" spans="1:12" x14ac:dyDescent="0.25">
      <c r="A134" s="162" t="s">
        <v>104</v>
      </c>
      <c r="B134" s="162" t="s">
        <v>225</v>
      </c>
      <c r="C134" s="55" t="s">
        <v>250</v>
      </c>
      <c r="D134" s="56"/>
      <c r="E134" s="33"/>
      <c r="F134" s="33"/>
      <c r="G134" s="34"/>
      <c r="H134" s="34"/>
      <c r="L134" s="3">
        <f>L120</f>
        <v>1.2331000000000001</v>
      </c>
    </row>
    <row r="135" spans="1:12" ht="26.4" x14ac:dyDescent="0.25">
      <c r="A135" s="163" t="s">
        <v>404</v>
      </c>
      <c r="B135" s="163">
        <v>89402</v>
      </c>
      <c r="C135" s="29" t="s">
        <v>86</v>
      </c>
      <c r="D135" s="54" t="s">
        <v>24</v>
      </c>
      <c r="E135" s="31">
        <f>2+4+3*4+2+2.5+2+2.5+1+2.5+3+3+3+3+3+3+1+2+3+1+2.5+2.5+1</f>
        <v>61.5</v>
      </c>
      <c r="F135" s="31">
        <v>13.03</v>
      </c>
      <c r="G135" s="14">
        <f t="shared" si="40"/>
        <v>16.07</v>
      </c>
      <c r="H135" s="14">
        <f t="shared" si="41"/>
        <v>988.31</v>
      </c>
      <c r="L135" s="3">
        <f>L121</f>
        <v>1.2331000000000001</v>
      </c>
    </row>
    <row r="136" spans="1:12" ht="26.4" x14ac:dyDescent="0.25">
      <c r="A136" s="163" t="s">
        <v>405</v>
      </c>
      <c r="B136" s="163">
        <v>103979</v>
      </c>
      <c r="C136" s="57" t="s">
        <v>251</v>
      </c>
      <c r="D136" s="54" t="s">
        <v>24</v>
      </c>
      <c r="E136" s="31">
        <v>18</v>
      </c>
      <c r="F136" s="31">
        <v>30.34</v>
      </c>
      <c r="G136" s="14">
        <f t="shared" si="40"/>
        <v>37.409999999999997</v>
      </c>
      <c r="H136" s="14">
        <f t="shared" si="41"/>
        <v>673.38</v>
      </c>
      <c r="L136" s="3">
        <f>L123</f>
        <v>1.2331000000000001</v>
      </c>
    </row>
    <row r="137" spans="1:12" ht="26.4" x14ac:dyDescent="0.25">
      <c r="A137" s="163" t="s">
        <v>406</v>
      </c>
      <c r="B137" s="163">
        <v>89440</v>
      </c>
      <c r="C137" s="29" t="s">
        <v>88</v>
      </c>
      <c r="D137" s="54" t="s">
        <v>23</v>
      </c>
      <c r="E137" s="31">
        <v>3</v>
      </c>
      <c r="F137" s="31">
        <v>13.15</v>
      </c>
      <c r="G137" s="14">
        <f t="shared" si="40"/>
        <v>16.22</v>
      </c>
      <c r="H137" s="14">
        <f t="shared" si="41"/>
        <v>48.66</v>
      </c>
      <c r="L137" s="3">
        <f>L124</f>
        <v>1.2331000000000001</v>
      </c>
    </row>
    <row r="138" spans="1:12" ht="26.4" x14ac:dyDescent="0.25">
      <c r="A138" s="163" t="s">
        <v>407</v>
      </c>
      <c r="B138" s="163" t="s">
        <v>252</v>
      </c>
      <c r="C138" s="29" t="s">
        <v>253</v>
      </c>
      <c r="D138" s="54" t="s">
        <v>23</v>
      </c>
      <c r="E138" s="31">
        <v>2</v>
      </c>
      <c r="F138" s="31">
        <v>23.4</v>
      </c>
      <c r="G138" s="14">
        <f t="shared" si="40"/>
        <v>28.85</v>
      </c>
      <c r="H138" s="14">
        <f t="shared" si="41"/>
        <v>57.7</v>
      </c>
      <c r="L138" s="3">
        <f>L125</f>
        <v>1.2331000000000001</v>
      </c>
    </row>
    <row r="139" spans="1:12" ht="39.6" x14ac:dyDescent="0.25">
      <c r="A139" s="163" t="s">
        <v>408</v>
      </c>
      <c r="B139" s="163">
        <v>89396</v>
      </c>
      <c r="C139" s="29" t="s">
        <v>254</v>
      </c>
      <c r="D139" s="54" t="s">
        <v>23</v>
      </c>
      <c r="E139" s="31">
        <v>1</v>
      </c>
      <c r="F139" s="31">
        <v>20.92</v>
      </c>
      <c r="G139" s="14">
        <f t="shared" si="40"/>
        <v>25.8</v>
      </c>
      <c r="H139" s="14">
        <f t="shared" si="41"/>
        <v>25.8</v>
      </c>
      <c r="L139" s="3">
        <f>L129</f>
        <v>1.2331000000000001</v>
      </c>
    </row>
    <row r="140" spans="1:12" ht="39.6" x14ac:dyDescent="0.25">
      <c r="A140" s="163" t="s">
        <v>409</v>
      </c>
      <c r="B140" s="163">
        <v>90373</v>
      </c>
      <c r="C140" s="29" t="s">
        <v>92</v>
      </c>
      <c r="D140" s="54" t="s">
        <v>23</v>
      </c>
      <c r="E140" s="31">
        <v>21</v>
      </c>
      <c r="F140" s="31">
        <v>13.5</v>
      </c>
      <c r="G140" s="14">
        <f t="shared" si="40"/>
        <v>16.649999999999999</v>
      </c>
      <c r="H140" s="14">
        <f t="shared" si="41"/>
        <v>349.65</v>
      </c>
      <c r="L140" s="3">
        <f>L130</f>
        <v>1.2331000000000001</v>
      </c>
    </row>
    <row r="141" spans="1:12" ht="26.4" x14ac:dyDescent="0.25">
      <c r="A141" s="163" t="s">
        <v>410</v>
      </c>
      <c r="B141" s="163">
        <v>102616</v>
      </c>
      <c r="C141" s="29" t="s">
        <v>340</v>
      </c>
      <c r="D141" s="54" t="s">
        <v>23</v>
      </c>
      <c r="E141" s="31">
        <v>2</v>
      </c>
      <c r="F141" s="31">
        <v>1753.19</v>
      </c>
      <c r="G141" s="14">
        <f t="shared" si="40"/>
        <v>2161.86</v>
      </c>
      <c r="H141" s="14">
        <f t="shared" si="41"/>
        <v>4323.72</v>
      </c>
      <c r="L141" s="3">
        <f>L131</f>
        <v>1.2331000000000001</v>
      </c>
    </row>
    <row r="142" spans="1:12" ht="26.4" x14ac:dyDescent="0.25">
      <c r="A142" s="163" t="s">
        <v>411</v>
      </c>
      <c r="B142" s="163">
        <v>89501</v>
      </c>
      <c r="C142" s="29" t="s">
        <v>255</v>
      </c>
      <c r="D142" s="54" t="s">
        <v>23</v>
      </c>
      <c r="E142" s="31">
        <v>2</v>
      </c>
      <c r="F142" s="31">
        <v>15.01</v>
      </c>
      <c r="G142" s="14">
        <f t="shared" si="40"/>
        <v>18.510000000000002</v>
      </c>
      <c r="H142" s="14">
        <f t="shared" si="41"/>
        <v>37.020000000000003</v>
      </c>
      <c r="L142" s="3">
        <f>L134</f>
        <v>1.2331000000000001</v>
      </c>
    </row>
    <row r="143" spans="1:12" ht="26.4" x14ac:dyDescent="0.25">
      <c r="A143" s="163" t="s">
        <v>412</v>
      </c>
      <c r="B143" s="163" t="s">
        <v>256</v>
      </c>
      <c r="C143" s="29" t="s">
        <v>90</v>
      </c>
      <c r="D143" s="54" t="s">
        <v>23</v>
      </c>
      <c r="E143" s="31">
        <v>21</v>
      </c>
      <c r="F143" s="31">
        <v>5.86</v>
      </c>
      <c r="G143" s="14">
        <f t="shared" si="40"/>
        <v>7.23</v>
      </c>
      <c r="H143" s="14">
        <f t="shared" si="41"/>
        <v>151.83000000000001</v>
      </c>
      <c r="L143" s="3">
        <f>L136</f>
        <v>1.2331000000000001</v>
      </c>
    </row>
    <row r="144" spans="1:12" ht="39.6" x14ac:dyDescent="0.25">
      <c r="A144" s="163" t="s">
        <v>413</v>
      </c>
      <c r="B144" s="163">
        <v>94706</v>
      </c>
      <c r="C144" s="29" t="s">
        <v>257</v>
      </c>
      <c r="D144" s="54" t="s">
        <v>23</v>
      </c>
      <c r="E144" s="31">
        <v>2</v>
      </c>
      <c r="F144" s="31">
        <v>34.71</v>
      </c>
      <c r="G144" s="14">
        <f t="shared" ref="G144:G180" si="59">ROUND(F144*L144,2)</f>
        <v>42.8</v>
      </c>
      <c r="H144" s="14">
        <f t="shared" ref="H144:H180" si="60">ROUND(G144*E144,2)</f>
        <v>85.6</v>
      </c>
      <c r="L144" s="3">
        <f>L137</f>
        <v>1.2331000000000001</v>
      </c>
    </row>
    <row r="145" spans="1:12" ht="39.6" x14ac:dyDescent="0.25">
      <c r="A145" s="163" t="s">
        <v>414</v>
      </c>
      <c r="B145" s="163">
        <v>94656</v>
      </c>
      <c r="C145" s="29" t="s">
        <v>258</v>
      </c>
      <c r="D145" s="54" t="s">
        <v>23</v>
      </c>
      <c r="E145" s="31">
        <v>4</v>
      </c>
      <c r="F145" s="31">
        <v>3.65</v>
      </c>
      <c r="G145" s="14">
        <f t="shared" si="59"/>
        <v>4.5</v>
      </c>
      <c r="H145" s="14">
        <f t="shared" si="60"/>
        <v>18</v>
      </c>
      <c r="L145" s="3">
        <f>L138</f>
        <v>1.2331000000000001</v>
      </c>
    </row>
    <row r="146" spans="1:12" ht="39.6" x14ac:dyDescent="0.25">
      <c r="A146" s="163" t="s">
        <v>415</v>
      </c>
      <c r="B146" s="163">
        <v>95634</v>
      </c>
      <c r="C146" s="29" t="s">
        <v>259</v>
      </c>
      <c r="D146" s="54" t="s">
        <v>23</v>
      </c>
      <c r="E146" s="31">
        <v>1</v>
      </c>
      <c r="F146" s="31">
        <v>205.95</v>
      </c>
      <c r="G146" s="14">
        <f t="shared" si="59"/>
        <v>253.96</v>
      </c>
      <c r="H146" s="14">
        <f t="shared" si="60"/>
        <v>253.96</v>
      </c>
      <c r="L146" s="3">
        <f>L140</f>
        <v>1.2331000000000001</v>
      </c>
    </row>
    <row r="147" spans="1:12" ht="26.4" x14ac:dyDescent="0.25">
      <c r="A147" s="163" t="s">
        <v>416</v>
      </c>
      <c r="B147" s="163">
        <v>103995</v>
      </c>
      <c r="C147" s="29" t="s">
        <v>260</v>
      </c>
      <c r="D147" s="54" t="s">
        <v>23</v>
      </c>
      <c r="E147" s="31">
        <v>4</v>
      </c>
      <c r="F147" s="31">
        <v>15.93</v>
      </c>
      <c r="G147" s="14">
        <f t="shared" si="59"/>
        <v>19.64</v>
      </c>
      <c r="H147" s="14">
        <f t="shared" si="60"/>
        <v>78.56</v>
      </c>
      <c r="L147" s="3">
        <f>L143</f>
        <v>1.2331000000000001</v>
      </c>
    </row>
    <row r="148" spans="1:12" ht="26.4" x14ac:dyDescent="0.25">
      <c r="A148" s="163" t="s">
        <v>417</v>
      </c>
      <c r="B148" s="163">
        <v>89424</v>
      </c>
      <c r="C148" s="29" t="s">
        <v>341</v>
      </c>
      <c r="D148" s="54"/>
      <c r="E148" s="31">
        <v>8</v>
      </c>
      <c r="F148" s="31">
        <v>7.1</v>
      </c>
      <c r="G148" s="14">
        <f t="shared" si="59"/>
        <v>8.76</v>
      </c>
      <c r="H148" s="14">
        <f t="shared" si="60"/>
        <v>70.08</v>
      </c>
      <c r="L148" s="3">
        <f>L144</f>
        <v>1.2331000000000001</v>
      </c>
    </row>
    <row r="149" spans="1:12" x14ac:dyDescent="0.25">
      <c r="A149" s="162" t="s">
        <v>106</v>
      </c>
      <c r="B149" s="162" t="s">
        <v>225</v>
      </c>
      <c r="C149" s="55" t="s">
        <v>261</v>
      </c>
      <c r="D149" s="56"/>
      <c r="E149" s="33"/>
      <c r="F149" s="33"/>
      <c r="G149" s="34">
        <f t="shared" si="59"/>
        <v>0</v>
      </c>
      <c r="H149" s="34">
        <f t="shared" si="60"/>
        <v>0</v>
      </c>
      <c r="L149" s="3">
        <f>L144</f>
        <v>1.2331000000000001</v>
      </c>
    </row>
    <row r="150" spans="1:12" ht="39.6" x14ac:dyDescent="0.25">
      <c r="A150" s="163" t="s">
        <v>418</v>
      </c>
      <c r="B150" s="163">
        <v>97897</v>
      </c>
      <c r="C150" s="29" t="s">
        <v>342</v>
      </c>
      <c r="D150" s="54" t="s">
        <v>23</v>
      </c>
      <c r="E150" s="31">
        <v>8</v>
      </c>
      <c r="F150" s="31">
        <v>581.07000000000005</v>
      </c>
      <c r="G150" s="14">
        <f t="shared" si="59"/>
        <v>716.52</v>
      </c>
      <c r="H150" s="14">
        <f t="shared" si="60"/>
        <v>5732.16</v>
      </c>
      <c r="L150" s="3">
        <f>L145</f>
        <v>1.2331000000000001</v>
      </c>
    </row>
    <row r="151" spans="1:12" ht="26.4" x14ac:dyDescent="0.25">
      <c r="A151" s="163" t="s">
        <v>419</v>
      </c>
      <c r="B151" s="27">
        <v>98102</v>
      </c>
      <c r="C151" s="43" t="s">
        <v>96</v>
      </c>
      <c r="D151" s="30" t="s">
        <v>23</v>
      </c>
      <c r="E151" s="28">
        <v>2</v>
      </c>
      <c r="F151" s="28">
        <v>229.59</v>
      </c>
      <c r="G151" s="14">
        <f t="shared" ref="G151" si="61">ROUND(F151*L151,2)</f>
        <v>283.11</v>
      </c>
      <c r="H151" s="14">
        <f t="shared" ref="H151" si="62">ROUND(G151*E151,2)</f>
        <v>566.22</v>
      </c>
      <c r="L151" s="3">
        <f>L150</f>
        <v>1.2331000000000001</v>
      </c>
    </row>
    <row r="152" spans="1:12" ht="39.6" x14ac:dyDescent="0.25">
      <c r="A152" s="163" t="s">
        <v>420</v>
      </c>
      <c r="B152" s="163">
        <v>104328</v>
      </c>
      <c r="C152" s="29" t="s">
        <v>343</v>
      </c>
      <c r="D152" s="54" t="s">
        <v>23</v>
      </c>
      <c r="E152" s="31">
        <v>4</v>
      </c>
      <c r="F152" s="31">
        <v>73.81</v>
      </c>
      <c r="G152" s="14">
        <f t="shared" si="59"/>
        <v>91.02</v>
      </c>
      <c r="H152" s="14">
        <f t="shared" si="60"/>
        <v>364.08</v>
      </c>
      <c r="L152" s="3">
        <f>L144</f>
        <v>1.2331000000000001</v>
      </c>
    </row>
    <row r="153" spans="1:12" ht="39.6" x14ac:dyDescent="0.25">
      <c r="A153" s="163" t="s">
        <v>421</v>
      </c>
      <c r="B153" s="163" t="s">
        <v>262</v>
      </c>
      <c r="C153" s="29" t="s">
        <v>263</v>
      </c>
      <c r="D153" s="54" t="s">
        <v>23</v>
      </c>
      <c r="E153" s="31">
        <v>4</v>
      </c>
      <c r="F153" s="31">
        <v>28.41</v>
      </c>
      <c r="G153" s="14">
        <f t="shared" si="59"/>
        <v>35.03</v>
      </c>
      <c r="H153" s="14">
        <f t="shared" si="60"/>
        <v>140.12</v>
      </c>
      <c r="L153" s="3">
        <f>L146</f>
        <v>1.2331000000000001</v>
      </c>
    </row>
    <row r="154" spans="1:12" ht="39.6" x14ac:dyDescent="0.25">
      <c r="A154" s="163" t="s">
        <v>422</v>
      </c>
      <c r="B154" s="163">
        <v>89733</v>
      </c>
      <c r="C154" s="29" t="s">
        <v>279</v>
      </c>
      <c r="D154" s="54" t="s">
        <v>23</v>
      </c>
      <c r="E154" s="31">
        <v>2</v>
      </c>
      <c r="F154" s="31">
        <v>23.97</v>
      </c>
      <c r="G154" s="14">
        <f t="shared" si="59"/>
        <v>29.56</v>
      </c>
      <c r="H154" s="14">
        <f t="shared" si="60"/>
        <v>59.12</v>
      </c>
      <c r="L154" s="3">
        <f t="shared" ref="L154" si="63">L147</f>
        <v>1.2331000000000001</v>
      </c>
    </row>
    <row r="155" spans="1:12" ht="39.6" x14ac:dyDescent="0.25">
      <c r="A155" s="163" t="s">
        <v>423</v>
      </c>
      <c r="B155" s="163" t="s">
        <v>264</v>
      </c>
      <c r="C155" s="29" t="s">
        <v>200</v>
      </c>
      <c r="D155" s="54" t="s">
        <v>24</v>
      </c>
      <c r="E155" s="31">
        <f>26+2*4+3*4</f>
        <v>46</v>
      </c>
      <c r="F155" s="31">
        <v>40.39</v>
      </c>
      <c r="G155" s="14">
        <f t="shared" si="59"/>
        <v>49.8</v>
      </c>
      <c r="H155" s="14">
        <f t="shared" si="60"/>
        <v>2290.8000000000002</v>
      </c>
      <c r="L155" s="3">
        <f>L149</f>
        <v>1.2331000000000001</v>
      </c>
    </row>
    <row r="156" spans="1:12" ht="39.6" x14ac:dyDescent="0.25">
      <c r="A156" s="163" t="s">
        <v>424</v>
      </c>
      <c r="B156" s="163" t="s">
        <v>265</v>
      </c>
      <c r="C156" s="29" t="s">
        <v>201</v>
      </c>
      <c r="D156" s="54" t="s">
        <v>24</v>
      </c>
      <c r="E156" s="31">
        <f>11+11+2.5+2.5+2+2</f>
        <v>31</v>
      </c>
      <c r="F156" s="31">
        <v>23.14</v>
      </c>
      <c r="G156" s="14">
        <f t="shared" si="59"/>
        <v>28.53</v>
      </c>
      <c r="H156" s="14">
        <f t="shared" si="60"/>
        <v>884.43</v>
      </c>
      <c r="L156" s="3">
        <f>L147</f>
        <v>1.2331000000000001</v>
      </c>
    </row>
    <row r="157" spans="1:12" ht="39.6" x14ac:dyDescent="0.25">
      <c r="A157" s="163" t="s">
        <v>425</v>
      </c>
      <c r="B157" s="163" t="s">
        <v>266</v>
      </c>
      <c r="C157" s="29" t="s">
        <v>267</v>
      </c>
      <c r="D157" s="54" t="s">
        <v>23</v>
      </c>
      <c r="E157" s="31">
        <v>2</v>
      </c>
      <c r="F157" s="31">
        <v>25</v>
      </c>
      <c r="G157" s="14">
        <f t="shared" si="59"/>
        <v>30.83</v>
      </c>
      <c r="H157" s="14">
        <f t="shared" si="60"/>
        <v>61.66</v>
      </c>
      <c r="L157" s="3">
        <f>L147</f>
        <v>1.2331000000000001</v>
      </c>
    </row>
    <row r="158" spans="1:12" ht="39.6" x14ac:dyDescent="0.25">
      <c r="A158" s="163" t="s">
        <v>426</v>
      </c>
      <c r="B158" s="163" t="s">
        <v>268</v>
      </c>
      <c r="C158" s="29" t="s">
        <v>269</v>
      </c>
      <c r="D158" s="54" t="s">
        <v>23</v>
      </c>
      <c r="E158" s="31">
        <v>2</v>
      </c>
      <c r="F158" s="31">
        <v>46.19</v>
      </c>
      <c r="G158" s="14">
        <f t="shared" si="59"/>
        <v>56.96</v>
      </c>
      <c r="H158" s="14">
        <f t="shared" si="60"/>
        <v>113.92</v>
      </c>
      <c r="L158" s="3">
        <f>L157</f>
        <v>1.2331000000000001</v>
      </c>
    </row>
    <row r="159" spans="1:12" ht="39.6" x14ac:dyDescent="0.25">
      <c r="A159" s="163" t="s">
        <v>427</v>
      </c>
      <c r="B159" s="163" t="s">
        <v>270</v>
      </c>
      <c r="C159" s="29" t="s">
        <v>202</v>
      </c>
      <c r="D159" s="54" t="s">
        <v>24</v>
      </c>
      <c r="E159" s="31">
        <v>12</v>
      </c>
      <c r="F159" s="31">
        <v>29.02</v>
      </c>
      <c r="G159" s="14">
        <f t="shared" si="59"/>
        <v>35.78</v>
      </c>
      <c r="H159" s="14">
        <f t="shared" si="60"/>
        <v>429.36</v>
      </c>
      <c r="L159" s="3">
        <f>L150</f>
        <v>1.2331000000000001</v>
      </c>
    </row>
    <row r="160" spans="1:12" ht="39.6" x14ac:dyDescent="0.25">
      <c r="A160" s="163" t="s">
        <v>428</v>
      </c>
      <c r="B160" s="163">
        <v>89783</v>
      </c>
      <c r="C160" s="29" t="s">
        <v>453</v>
      </c>
      <c r="D160" s="54" t="s">
        <v>23</v>
      </c>
      <c r="E160" s="31">
        <v>4</v>
      </c>
      <c r="F160" s="31">
        <v>16.27</v>
      </c>
      <c r="G160" s="14">
        <f>ROUND(F160*L160,2)</f>
        <v>20.059999999999999</v>
      </c>
      <c r="H160" s="14">
        <f t="shared" ref="H160" si="64">ROUND(G160*E160,2)</f>
        <v>80.239999999999995</v>
      </c>
      <c r="L160" s="3">
        <f>L151</f>
        <v>1.2331000000000001</v>
      </c>
    </row>
    <row r="161" spans="1:12" ht="39.6" x14ac:dyDescent="0.25">
      <c r="A161" s="163" t="s">
        <v>429</v>
      </c>
      <c r="B161" s="163">
        <v>104345</v>
      </c>
      <c r="C161" s="29" t="s">
        <v>454</v>
      </c>
      <c r="D161" s="54" t="s">
        <v>23</v>
      </c>
      <c r="E161" s="31">
        <v>1</v>
      </c>
      <c r="F161" s="31">
        <v>43.79</v>
      </c>
      <c r="G161" s="14">
        <f t="shared" si="59"/>
        <v>54</v>
      </c>
      <c r="H161" s="14">
        <f t="shared" si="60"/>
        <v>54</v>
      </c>
      <c r="L161" s="3">
        <f>L153</f>
        <v>1.2331000000000001</v>
      </c>
    </row>
    <row r="162" spans="1:12" ht="39.6" x14ac:dyDescent="0.25">
      <c r="A162" s="163" t="s">
        <v>430</v>
      </c>
      <c r="B162" s="163">
        <v>89834</v>
      </c>
      <c r="C162" s="29" t="s">
        <v>344</v>
      </c>
      <c r="D162" s="54" t="s">
        <v>23</v>
      </c>
      <c r="E162" s="31">
        <v>4</v>
      </c>
      <c r="F162" s="31">
        <v>54.18</v>
      </c>
      <c r="G162" s="14">
        <f t="shared" si="59"/>
        <v>66.81</v>
      </c>
      <c r="H162" s="14">
        <f t="shared" si="60"/>
        <v>267.24</v>
      </c>
      <c r="L162" s="3">
        <f>L153</f>
        <v>1.2331000000000001</v>
      </c>
    </row>
    <row r="163" spans="1:12" ht="39.6" x14ac:dyDescent="0.25">
      <c r="A163" s="163" t="s">
        <v>431</v>
      </c>
      <c r="B163" s="163">
        <v>89726</v>
      </c>
      <c r="C163" s="29" t="s">
        <v>271</v>
      </c>
      <c r="D163" s="54" t="s">
        <v>23</v>
      </c>
      <c r="E163" s="31">
        <v>8</v>
      </c>
      <c r="F163" s="31">
        <v>11.45</v>
      </c>
      <c r="G163" s="14">
        <f t="shared" si="59"/>
        <v>14.12</v>
      </c>
      <c r="H163" s="14">
        <f t="shared" si="60"/>
        <v>112.96</v>
      </c>
      <c r="L163" s="3">
        <f>L154</f>
        <v>1.2331000000000001</v>
      </c>
    </row>
    <row r="164" spans="1:12" ht="39.6" x14ac:dyDescent="0.25">
      <c r="A164" s="163" t="s">
        <v>432</v>
      </c>
      <c r="B164" s="163" t="s">
        <v>272</v>
      </c>
      <c r="C164" s="29" t="s">
        <v>273</v>
      </c>
      <c r="D164" s="54" t="s">
        <v>23</v>
      </c>
      <c r="E164" s="31">
        <v>4</v>
      </c>
      <c r="F164" s="31">
        <v>16.29</v>
      </c>
      <c r="G164" s="14">
        <f t="shared" si="59"/>
        <v>20.09</v>
      </c>
      <c r="H164" s="14">
        <f t="shared" si="60"/>
        <v>80.36</v>
      </c>
      <c r="L164" s="3">
        <f>L155</f>
        <v>1.2331000000000001</v>
      </c>
    </row>
    <row r="165" spans="1:12" ht="39.6" x14ac:dyDescent="0.25">
      <c r="A165" s="163" t="s">
        <v>433</v>
      </c>
      <c r="B165" s="163" t="s">
        <v>274</v>
      </c>
      <c r="C165" s="29" t="s">
        <v>275</v>
      </c>
      <c r="D165" s="54" t="s">
        <v>23</v>
      </c>
      <c r="E165" s="31">
        <v>6</v>
      </c>
      <c r="F165" s="31">
        <v>6.06</v>
      </c>
      <c r="G165" s="14">
        <f t="shared" si="59"/>
        <v>7.47</v>
      </c>
      <c r="H165" s="14">
        <f t="shared" si="60"/>
        <v>44.82</v>
      </c>
      <c r="L165" s="3">
        <f>L156</f>
        <v>1.2331000000000001</v>
      </c>
    </row>
    <row r="166" spans="1:12" ht="39.6" x14ac:dyDescent="0.25">
      <c r="A166" s="163" t="s">
        <v>434</v>
      </c>
      <c r="B166" s="163">
        <v>104352</v>
      </c>
      <c r="C166" s="29" t="s">
        <v>276</v>
      </c>
      <c r="D166" s="54" t="s">
        <v>23</v>
      </c>
      <c r="E166" s="31">
        <v>4</v>
      </c>
      <c r="F166" s="31">
        <v>40.39</v>
      </c>
      <c r="G166" s="14">
        <f t="shared" si="59"/>
        <v>49.8</v>
      </c>
      <c r="H166" s="14">
        <f t="shared" si="60"/>
        <v>199.2</v>
      </c>
      <c r="L166" s="3">
        <f>L157</f>
        <v>1.2331000000000001</v>
      </c>
    </row>
    <row r="167" spans="1:12" ht="39.6" x14ac:dyDescent="0.25">
      <c r="A167" s="163" t="s">
        <v>435</v>
      </c>
      <c r="B167" s="163">
        <v>89748</v>
      </c>
      <c r="C167" s="29" t="s">
        <v>277</v>
      </c>
      <c r="D167" s="54" t="s">
        <v>23</v>
      </c>
      <c r="E167" s="31">
        <v>8</v>
      </c>
      <c r="F167" s="31">
        <v>43.36</v>
      </c>
      <c r="G167" s="14">
        <f t="shared" si="59"/>
        <v>53.47</v>
      </c>
      <c r="H167" s="14">
        <f t="shared" si="60"/>
        <v>427.76</v>
      </c>
      <c r="L167" s="3">
        <f t="shared" ref="L167:L168" si="65">L157</f>
        <v>1.2331000000000001</v>
      </c>
    </row>
    <row r="168" spans="1:12" ht="39.6" x14ac:dyDescent="0.25">
      <c r="A168" s="163" t="s">
        <v>436</v>
      </c>
      <c r="B168" s="163">
        <v>89728</v>
      </c>
      <c r="C168" s="29" t="s">
        <v>278</v>
      </c>
      <c r="D168" s="54" t="s">
        <v>23</v>
      </c>
      <c r="E168" s="31">
        <v>24</v>
      </c>
      <c r="F168" s="31">
        <v>14.12</v>
      </c>
      <c r="G168" s="14">
        <f t="shared" si="59"/>
        <v>17.41</v>
      </c>
      <c r="H168" s="14">
        <f t="shared" si="60"/>
        <v>417.84</v>
      </c>
      <c r="L168" s="3">
        <f t="shared" si="65"/>
        <v>1.2331000000000001</v>
      </c>
    </row>
    <row r="169" spans="1:12" ht="39.6" x14ac:dyDescent="0.25">
      <c r="A169" s="163" t="s">
        <v>437</v>
      </c>
      <c r="B169" s="163">
        <v>89778</v>
      </c>
      <c r="C169" s="29" t="s">
        <v>280</v>
      </c>
      <c r="D169" s="54" t="s">
        <v>23</v>
      </c>
      <c r="E169" s="31">
        <v>6</v>
      </c>
      <c r="F169" s="31">
        <v>19.02</v>
      </c>
      <c r="G169" s="14">
        <f t="shared" si="59"/>
        <v>23.45</v>
      </c>
      <c r="H169" s="14">
        <f t="shared" si="60"/>
        <v>140.69999999999999</v>
      </c>
      <c r="L169" s="3">
        <f t="shared" ref="L169:L172" si="66">L165</f>
        <v>1.2331000000000001</v>
      </c>
    </row>
    <row r="170" spans="1:12" ht="39.6" x14ac:dyDescent="0.25">
      <c r="A170" s="163" t="s">
        <v>438</v>
      </c>
      <c r="B170" s="163" t="s">
        <v>281</v>
      </c>
      <c r="C170" s="29" t="s">
        <v>282</v>
      </c>
      <c r="D170" s="54" t="s">
        <v>23</v>
      </c>
      <c r="E170" s="31">
        <v>6</v>
      </c>
      <c r="F170" s="31">
        <v>9.99</v>
      </c>
      <c r="G170" s="14">
        <f t="shared" si="59"/>
        <v>12.32</v>
      </c>
      <c r="H170" s="14">
        <f t="shared" si="60"/>
        <v>73.92</v>
      </c>
      <c r="L170" s="3">
        <f t="shared" si="66"/>
        <v>1.2331000000000001</v>
      </c>
    </row>
    <row r="171" spans="1:12" ht="39.6" x14ac:dyDescent="0.25">
      <c r="A171" s="163" t="s">
        <v>439</v>
      </c>
      <c r="B171" s="163">
        <v>98052</v>
      </c>
      <c r="C171" s="29" t="s">
        <v>345</v>
      </c>
      <c r="D171" s="54" t="s">
        <v>23</v>
      </c>
      <c r="E171" s="31">
        <v>1</v>
      </c>
      <c r="F171" s="31">
        <v>2545.9699999999998</v>
      </c>
      <c r="G171" s="14">
        <f t="shared" si="59"/>
        <v>3139.44</v>
      </c>
      <c r="H171" s="14">
        <f t="shared" si="60"/>
        <v>3139.44</v>
      </c>
      <c r="L171" s="3">
        <f t="shared" si="66"/>
        <v>1.2331000000000001</v>
      </c>
    </row>
    <row r="172" spans="1:12" ht="39.6" x14ac:dyDescent="0.25">
      <c r="A172" s="163" t="s">
        <v>440</v>
      </c>
      <c r="B172" s="163">
        <v>98058</v>
      </c>
      <c r="C172" s="29" t="s">
        <v>347</v>
      </c>
      <c r="D172" s="54" t="s">
        <v>23</v>
      </c>
      <c r="E172" s="31">
        <v>1</v>
      </c>
      <c r="F172" s="31">
        <v>2118.46</v>
      </c>
      <c r="G172" s="14">
        <f t="shared" si="59"/>
        <v>2612.27</v>
      </c>
      <c r="H172" s="14">
        <f t="shared" si="60"/>
        <v>2612.27</v>
      </c>
      <c r="L172" s="3">
        <f t="shared" si="66"/>
        <v>1.2331000000000001</v>
      </c>
    </row>
    <row r="173" spans="1:12" ht="39.6" x14ac:dyDescent="0.25">
      <c r="A173" s="163" t="s">
        <v>441</v>
      </c>
      <c r="B173" s="163">
        <v>98062</v>
      </c>
      <c r="C173" s="29" t="s">
        <v>346</v>
      </c>
      <c r="D173" s="54" t="s">
        <v>23</v>
      </c>
      <c r="E173" s="31">
        <v>2</v>
      </c>
      <c r="F173" s="31">
        <v>3762.22</v>
      </c>
      <c r="G173" s="14">
        <f t="shared" si="59"/>
        <v>4639.1899999999996</v>
      </c>
      <c r="H173" s="14">
        <f t="shared" si="60"/>
        <v>9278.3799999999992</v>
      </c>
      <c r="L173" s="3">
        <f>L165</f>
        <v>1.2331000000000001</v>
      </c>
    </row>
    <row r="174" spans="1:12" x14ac:dyDescent="0.25">
      <c r="A174" s="162" t="s">
        <v>108</v>
      </c>
      <c r="B174" s="162" t="s">
        <v>225</v>
      </c>
      <c r="C174" s="55" t="s">
        <v>283</v>
      </c>
      <c r="D174" s="127"/>
      <c r="E174" s="33"/>
      <c r="F174" s="33"/>
      <c r="G174" s="34"/>
      <c r="H174" s="34"/>
    </row>
    <row r="175" spans="1:12" ht="39.6" x14ac:dyDescent="0.25">
      <c r="A175" s="163" t="s">
        <v>442</v>
      </c>
      <c r="B175" s="163">
        <v>89531</v>
      </c>
      <c r="C175" s="29" t="s">
        <v>284</v>
      </c>
      <c r="D175" s="54" t="s">
        <v>23</v>
      </c>
      <c r="E175" s="31">
        <v>24</v>
      </c>
      <c r="F175" s="31">
        <v>37.94</v>
      </c>
      <c r="G175" s="14">
        <f t="shared" si="59"/>
        <v>46.78</v>
      </c>
      <c r="H175" s="14">
        <f t="shared" si="60"/>
        <v>1122.72</v>
      </c>
      <c r="L175" s="3">
        <f>L166</f>
        <v>1.2331000000000001</v>
      </c>
    </row>
    <row r="176" spans="1:12" ht="39.6" x14ac:dyDescent="0.25">
      <c r="A176" s="163" t="s">
        <v>443</v>
      </c>
      <c r="B176" s="163">
        <v>104168</v>
      </c>
      <c r="C176" s="29" t="s">
        <v>285</v>
      </c>
      <c r="D176" s="54" t="s">
        <v>23</v>
      </c>
      <c r="E176" s="31">
        <v>4</v>
      </c>
      <c r="F176" s="31">
        <v>117.16</v>
      </c>
      <c r="G176" s="14">
        <f t="shared" si="59"/>
        <v>144.47</v>
      </c>
      <c r="H176" s="14">
        <f t="shared" si="60"/>
        <v>577.88</v>
      </c>
      <c r="L176" s="3">
        <f>L167</f>
        <v>1.2331000000000001</v>
      </c>
    </row>
    <row r="177" spans="1:12" ht="39.6" x14ac:dyDescent="0.25">
      <c r="A177" s="163" t="s">
        <v>444</v>
      </c>
      <c r="B177" s="163">
        <v>89529</v>
      </c>
      <c r="C177" s="29" t="s">
        <v>286</v>
      </c>
      <c r="D177" s="54" t="s">
        <v>23</v>
      </c>
      <c r="E177" s="31">
        <v>12</v>
      </c>
      <c r="F177" s="31">
        <v>36.92</v>
      </c>
      <c r="G177" s="14">
        <f t="shared" si="59"/>
        <v>45.53</v>
      </c>
      <c r="H177" s="14">
        <f t="shared" si="60"/>
        <v>546.36</v>
      </c>
      <c r="L177" s="3">
        <f>L168</f>
        <v>1.2331000000000001</v>
      </c>
    </row>
    <row r="178" spans="1:12" ht="26.4" x14ac:dyDescent="0.25">
      <c r="A178" s="163" t="s">
        <v>445</v>
      </c>
      <c r="B178" s="163">
        <v>89512</v>
      </c>
      <c r="C178" s="29" t="s">
        <v>287</v>
      </c>
      <c r="D178" s="54" t="s">
        <v>24</v>
      </c>
      <c r="E178" s="31">
        <f>15+15+12*3.5</f>
        <v>72</v>
      </c>
      <c r="F178" s="31">
        <v>51.33</v>
      </c>
      <c r="G178" s="14">
        <f t="shared" si="59"/>
        <v>63.3</v>
      </c>
      <c r="H178" s="14">
        <f t="shared" si="60"/>
        <v>4557.6000000000004</v>
      </c>
      <c r="L178" s="3">
        <f>L167</f>
        <v>1.2331000000000001</v>
      </c>
    </row>
    <row r="179" spans="1:12" ht="26.4" x14ac:dyDescent="0.25">
      <c r="A179" s="163" t="s">
        <v>446</v>
      </c>
      <c r="B179" s="163" t="s">
        <v>288</v>
      </c>
      <c r="C179" s="29" t="s">
        <v>289</v>
      </c>
      <c r="D179" s="54" t="s">
        <v>24</v>
      </c>
      <c r="E179" s="31">
        <f>(35+10)*2+19</f>
        <v>109</v>
      </c>
      <c r="F179" s="31">
        <v>75.209999999999994</v>
      </c>
      <c r="G179" s="14">
        <f t="shared" ref="G179" si="67">ROUND(F179*L179,2)</f>
        <v>92.74</v>
      </c>
      <c r="H179" s="14">
        <f t="shared" ref="H179" si="68">ROUND(G179*E179,2)</f>
        <v>10108.66</v>
      </c>
      <c r="L179" s="3">
        <f>L168</f>
        <v>1.2331000000000001</v>
      </c>
    </row>
    <row r="180" spans="1:12" ht="26.4" x14ac:dyDescent="0.25">
      <c r="A180" s="163" t="s">
        <v>447</v>
      </c>
      <c r="B180" s="163">
        <v>97896</v>
      </c>
      <c r="C180" s="29" t="s">
        <v>348</v>
      </c>
      <c r="D180" s="30" t="s">
        <v>23</v>
      </c>
      <c r="E180" s="31">
        <v>12</v>
      </c>
      <c r="F180" s="31">
        <v>449.5</v>
      </c>
      <c r="G180" s="14">
        <f t="shared" si="59"/>
        <v>554.28</v>
      </c>
      <c r="H180" s="14">
        <f t="shared" si="60"/>
        <v>6651.36</v>
      </c>
      <c r="L180" s="3">
        <f>L168</f>
        <v>1.2331000000000001</v>
      </c>
    </row>
    <row r="181" spans="1:12" x14ac:dyDescent="0.25">
      <c r="A181" s="159">
        <v>10</v>
      </c>
      <c r="B181" s="159"/>
      <c r="C181" s="18" t="s">
        <v>197</v>
      </c>
      <c r="D181" s="24"/>
      <c r="E181" s="25"/>
      <c r="F181" s="25"/>
      <c r="G181" s="25"/>
      <c r="H181" s="25">
        <f>SUM(H182:H191)</f>
        <v>5758.0300000000007</v>
      </c>
    </row>
    <row r="182" spans="1:12" ht="26.4" x14ac:dyDescent="0.25">
      <c r="A182" s="30" t="s">
        <v>115</v>
      </c>
      <c r="B182" s="30">
        <v>103029</v>
      </c>
      <c r="C182" s="43" t="s">
        <v>103</v>
      </c>
      <c r="D182" s="30" t="s">
        <v>23</v>
      </c>
      <c r="E182" s="31">
        <v>1</v>
      </c>
      <c r="F182" s="31">
        <v>47.09</v>
      </c>
      <c r="G182" s="14">
        <f t="shared" ref="G182:G199" si="69">ROUND(F182*L182,2)</f>
        <v>58.07</v>
      </c>
      <c r="H182" s="14">
        <f t="shared" ref="H182:H199" si="70">ROUND(G182*E182,2)</f>
        <v>58.07</v>
      </c>
      <c r="L182" s="3">
        <f t="shared" ref="L182:L199" si="71">L169</f>
        <v>1.2331000000000001</v>
      </c>
    </row>
    <row r="183" spans="1:12" ht="39.6" x14ac:dyDescent="0.25">
      <c r="A183" s="30" t="s">
        <v>117</v>
      </c>
      <c r="B183" s="30">
        <v>100807</v>
      </c>
      <c r="C183" s="43" t="s">
        <v>105</v>
      </c>
      <c r="D183" s="30" t="s">
        <v>24</v>
      </c>
      <c r="E183" s="31">
        <v>5</v>
      </c>
      <c r="F183" s="31">
        <f>25.91</f>
        <v>25.91</v>
      </c>
      <c r="G183" s="14">
        <f t="shared" si="69"/>
        <v>31.95</v>
      </c>
      <c r="H183" s="14">
        <f t="shared" si="70"/>
        <v>159.75</v>
      </c>
      <c r="L183" s="3">
        <f t="shared" si="71"/>
        <v>1.2331000000000001</v>
      </c>
    </row>
    <row r="184" spans="1:12" ht="26.4" x14ac:dyDescent="0.25">
      <c r="A184" s="30" t="s">
        <v>119</v>
      </c>
      <c r="B184" s="30">
        <v>101747</v>
      </c>
      <c r="C184" s="43" t="s">
        <v>107</v>
      </c>
      <c r="D184" s="30" t="s">
        <v>18</v>
      </c>
      <c r="E184" s="31">
        <f>1</f>
        <v>1</v>
      </c>
      <c r="F184" s="31">
        <v>85.36</v>
      </c>
      <c r="G184" s="14">
        <f t="shared" si="69"/>
        <v>105.26</v>
      </c>
      <c r="H184" s="14">
        <f t="shared" si="70"/>
        <v>105.26</v>
      </c>
      <c r="L184" s="3">
        <f t="shared" si="71"/>
        <v>1.2331000000000001</v>
      </c>
    </row>
    <row r="185" spans="1:12" ht="52.8" x14ac:dyDescent="0.25">
      <c r="A185" s="30" t="s">
        <v>121</v>
      </c>
      <c r="B185" s="30">
        <v>103354</v>
      </c>
      <c r="C185" s="48" t="s">
        <v>109</v>
      </c>
      <c r="D185" s="30" t="s">
        <v>18</v>
      </c>
      <c r="E185" s="31">
        <f>0.8*1*2</f>
        <v>1.6</v>
      </c>
      <c r="F185" s="31">
        <v>101.42</v>
      </c>
      <c r="G185" s="14">
        <f t="shared" si="69"/>
        <v>125.06</v>
      </c>
      <c r="H185" s="14">
        <f t="shared" si="70"/>
        <v>200.1</v>
      </c>
      <c r="L185" s="3">
        <f t="shared" si="71"/>
        <v>1.2331000000000001</v>
      </c>
    </row>
    <row r="186" spans="1:12" ht="39.6" x14ac:dyDescent="0.25">
      <c r="A186" s="30" t="s">
        <v>122</v>
      </c>
      <c r="B186" s="30">
        <v>92510</v>
      </c>
      <c r="C186" s="48" t="s">
        <v>110</v>
      </c>
      <c r="D186" s="30" t="s">
        <v>18</v>
      </c>
      <c r="E186" s="31">
        <v>1</v>
      </c>
      <c r="F186" s="31">
        <v>81.42</v>
      </c>
      <c r="G186" s="14">
        <f t="shared" si="69"/>
        <v>100.4</v>
      </c>
      <c r="H186" s="14">
        <f t="shared" si="70"/>
        <v>100.4</v>
      </c>
      <c r="L186" s="3">
        <f t="shared" si="71"/>
        <v>1.2331000000000001</v>
      </c>
    </row>
    <row r="187" spans="1:12" ht="39.6" x14ac:dyDescent="0.25">
      <c r="A187" s="30" t="s">
        <v>123</v>
      </c>
      <c r="B187" s="30">
        <v>103682</v>
      </c>
      <c r="C187" s="43" t="s">
        <v>111</v>
      </c>
      <c r="D187" s="30" t="s">
        <v>20</v>
      </c>
      <c r="E187" s="31">
        <f>1*1*0.1</f>
        <v>0.1</v>
      </c>
      <c r="F187" s="31">
        <v>1108</v>
      </c>
      <c r="G187" s="14">
        <f t="shared" si="69"/>
        <v>1366.27</v>
      </c>
      <c r="H187" s="14">
        <f t="shared" si="70"/>
        <v>136.63</v>
      </c>
      <c r="L187" s="3">
        <f>L173</f>
        <v>1.2331000000000001</v>
      </c>
    </row>
    <row r="188" spans="1:12" ht="26.4" x14ac:dyDescent="0.25">
      <c r="A188" s="30" t="s">
        <v>192</v>
      </c>
      <c r="B188" s="30">
        <v>91341</v>
      </c>
      <c r="C188" s="43" t="s">
        <v>112</v>
      </c>
      <c r="D188" s="30" t="s">
        <v>18</v>
      </c>
      <c r="E188" s="31">
        <f>0.75*0.9</f>
        <v>0.67500000000000004</v>
      </c>
      <c r="F188" s="31">
        <v>981.06</v>
      </c>
      <c r="G188" s="14">
        <f t="shared" si="69"/>
        <v>1209.75</v>
      </c>
      <c r="H188" s="14">
        <f t="shared" si="70"/>
        <v>816.58</v>
      </c>
      <c r="L188" s="3">
        <f t="shared" si="71"/>
        <v>1.2331000000000001</v>
      </c>
    </row>
    <row r="189" spans="1:12" ht="26.4" x14ac:dyDescent="0.25">
      <c r="A189" s="30" t="s">
        <v>193</v>
      </c>
      <c r="B189" s="30">
        <v>97599</v>
      </c>
      <c r="C189" s="43" t="s">
        <v>79</v>
      </c>
      <c r="D189" s="30" t="s">
        <v>23</v>
      </c>
      <c r="E189" s="31">
        <v>5</v>
      </c>
      <c r="F189" s="31">
        <v>20.75</v>
      </c>
      <c r="G189" s="14">
        <f t="shared" ref="G189" si="72">ROUND(F189*L189,2)</f>
        <v>25.59</v>
      </c>
      <c r="H189" s="14">
        <f t="shared" ref="H189" si="73">ROUND(G189*E189,2)</f>
        <v>127.95</v>
      </c>
      <c r="L189" s="3">
        <f t="shared" si="71"/>
        <v>1.2331000000000001</v>
      </c>
    </row>
    <row r="190" spans="1:12" ht="26.4" x14ac:dyDescent="0.25">
      <c r="A190" s="30" t="s">
        <v>204</v>
      </c>
      <c r="B190" s="30">
        <v>105555</v>
      </c>
      <c r="C190" s="43" t="s">
        <v>339</v>
      </c>
      <c r="D190" s="30" t="s">
        <v>23</v>
      </c>
      <c r="E190" s="31">
        <v>2</v>
      </c>
      <c r="F190" s="31">
        <v>171.94</v>
      </c>
      <c r="G190" s="14">
        <f t="shared" ref="G190" si="74">ROUND(F190*L190,2)</f>
        <v>212.02</v>
      </c>
      <c r="H190" s="14">
        <f t="shared" ref="H190" si="75">ROUND(G190*E190,2)</f>
        <v>424.04</v>
      </c>
      <c r="L190" s="3">
        <f t="shared" si="71"/>
        <v>1.2331000000000001</v>
      </c>
    </row>
    <row r="191" spans="1:12" ht="26.4" x14ac:dyDescent="0.25">
      <c r="A191" s="30" t="s">
        <v>205</v>
      </c>
      <c r="B191" s="30">
        <v>101908</v>
      </c>
      <c r="C191" s="43" t="s">
        <v>113</v>
      </c>
      <c r="D191" s="30" t="s">
        <v>18</v>
      </c>
      <c r="E191" s="31">
        <v>3</v>
      </c>
      <c r="F191" s="31">
        <v>981.06</v>
      </c>
      <c r="G191" s="14">
        <f t="shared" si="69"/>
        <v>1209.75</v>
      </c>
      <c r="H191" s="14">
        <f t="shared" si="70"/>
        <v>3629.25</v>
      </c>
      <c r="L191" s="3">
        <f t="shared" si="71"/>
        <v>1.2331000000000001</v>
      </c>
    </row>
    <row r="192" spans="1:12" x14ac:dyDescent="0.25">
      <c r="A192" s="159">
        <v>11</v>
      </c>
      <c r="B192" s="159"/>
      <c r="C192" s="18" t="s">
        <v>114</v>
      </c>
      <c r="D192" s="24"/>
      <c r="E192" s="25"/>
      <c r="F192" s="25"/>
      <c r="G192" s="25"/>
      <c r="H192" s="25">
        <f>SUM(H193:H195)</f>
        <v>24834.35</v>
      </c>
      <c r="L192" s="3">
        <f t="shared" si="71"/>
        <v>1.2331000000000001</v>
      </c>
    </row>
    <row r="193" spans="1:12" x14ac:dyDescent="0.25">
      <c r="A193" s="30" t="s">
        <v>125</v>
      </c>
      <c r="B193" s="30">
        <v>99814</v>
      </c>
      <c r="C193" s="43" t="s">
        <v>116</v>
      </c>
      <c r="D193" s="30" t="s">
        <v>18</v>
      </c>
      <c r="E193" s="31">
        <f>E43-E45-E46</f>
        <v>711.79</v>
      </c>
      <c r="F193" s="31">
        <v>4.17</v>
      </c>
      <c r="G193" s="14">
        <f t="shared" si="69"/>
        <v>5.14</v>
      </c>
      <c r="H193" s="14">
        <f t="shared" si="70"/>
        <v>3658.6</v>
      </c>
      <c r="L193" s="3">
        <f t="shared" si="71"/>
        <v>1.2331000000000001</v>
      </c>
    </row>
    <row r="194" spans="1:12" ht="26.4" x14ac:dyDescent="0.25">
      <c r="A194" s="30" t="s">
        <v>127</v>
      </c>
      <c r="B194" s="30">
        <v>88495</v>
      </c>
      <c r="C194" s="43" t="s">
        <v>118</v>
      </c>
      <c r="D194" s="30" t="s">
        <v>18</v>
      </c>
      <c r="E194" s="31">
        <f>E193</f>
        <v>711.79</v>
      </c>
      <c r="F194" s="31">
        <v>13.31</v>
      </c>
      <c r="G194" s="14">
        <f t="shared" si="69"/>
        <v>16.41</v>
      </c>
      <c r="H194" s="14">
        <f t="shared" si="70"/>
        <v>11680.47</v>
      </c>
      <c r="L194" s="3">
        <f>L173</f>
        <v>1.2331000000000001</v>
      </c>
    </row>
    <row r="195" spans="1:12" ht="26.4" x14ac:dyDescent="0.25">
      <c r="A195" s="30" t="s">
        <v>129</v>
      </c>
      <c r="B195" s="30">
        <v>104642</v>
      </c>
      <c r="C195" s="43" t="s">
        <v>120</v>
      </c>
      <c r="D195" s="30" t="s">
        <v>18</v>
      </c>
      <c r="E195" s="31">
        <f>E194</f>
        <v>711.79</v>
      </c>
      <c r="F195" s="31">
        <v>10.82</v>
      </c>
      <c r="G195" s="14">
        <f t="shared" si="69"/>
        <v>13.34</v>
      </c>
      <c r="H195" s="14">
        <f t="shared" si="70"/>
        <v>9495.2800000000007</v>
      </c>
      <c r="L195" s="3">
        <f t="shared" si="71"/>
        <v>1.2331000000000001</v>
      </c>
    </row>
    <row r="196" spans="1:12" x14ac:dyDescent="0.25">
      <c r="A196" s="159">
        <v>12</v>
      </c>
      <c r="B196" s="159"/>
      <c r="C196" s="18" t="s">
        <v>124</v>
      </c>
      <c r="D196" s="24"/>
      <c r="E196" s="25"/>
      <c r="F196" s="25"/>
      <c r="G196" s="25"/>
      <c r="H196" s="25">
        <f>SUM(H197:H199)</f>
        <v>1415.36</v>
      </c>
      <c r="L196" s="3">
        <f t="shared" si="71"/>
        <v>1.2331000000000001</v>
      </c>
    </row>
    <row r="197" spans="1:12" ht="26.4" x14ac:dyDescent="0.25">
      <c r="A197" s="30" t="s">
        <v>194</v>
      </c>
      <c r="B197" s="30">
        <v>99818</v>
      </c>
      <c r="C197" s="43" t="s">
        <v>126</v>
      </c>
      <c r="D197" s="30" t="s">
        <v>23</v>
      </c>
      <c r="E197" s="31">
        <f>4</f>
        <v>4</v>
      </c>
      <c r="F197" s="31">
        <v>5.88</v>
      </c>
      <c r="G197" s="14">
        <f t="shared" si="69"/>
        <v>7.25</v>
      </c>
      <c r="H197" s="14">
        <f t="shared" si="70"/>
        <v>29</v>
      </c>
      <c r="L197" s="3">
        <f t="shared" si="71"/>
        <v>1.2331000000000001</v>
      </c>
    </row>
    <row r="198" spans="1:12" ht="26.4" x14ac:dyDescent="0.25">
      <c r="A198" s="30" t="s">
        <v>195</v>
      </c>
      <c r="B198" s="30">
        <v>99821</v>
      </c>
      <c r="C198" s="43" t="s">
        <v>128</v>
      </c>
      <c r="D198" s="30" t="s">
        <v>18</v>
      </c>
      <c r="E198" s="31">
        <f>E66+E67</f>
        <v>10.399999999999999</v>
      </c>
      <c r="F198" s="31">
        <v>3.24</v>
      </c>
      <c r="G198" s="14">
        <f t="shared" si="69"/>
        <v>4</v>
      </c>
      <c r="H198" s="14">
        <f t="shared" si="70"/>
        <v>41.6</v>
      </c>
      <c r="L198" s="3">
        <f t="shared" si="71"/>
        <v>1.2331000000000001</v>
      </c>
    </row>
    <row r="199" spans="1:12" ht="27" thickBot="1" x14ac:dyDescent="0.3">
      <c r="A199" s="30" t="s">
        <v>196</v>
      </c>
      <c r="B199" s="30">
        <v>99805</v>
      </c>
      <c r="C199" s="43" t="s">
        <v>130</v>
      </c>
      <c r="D199" s="30" t="s">
        <v>18</v>
      </c>
      <c r="E199" s="31">
        <f>E52</f>
        <v>92.17</v>
      </c>
      <c r="F199" s="31">
        <v>11.83</v>
      </c>
      <c r="G199" s="14">
        <f t="shared" si="69"/>
        <v>14.59</v>
      </c>
      <c r="H199" s="14">
        <f t="shared" si="70"/>
        <v>1344.76</v>
      </c>
      <c r="L199" s="3">
        <f t="shared" si="71"/>
        <v>1.2331000000000001</v>
      </c>
    </row>
    <row r="200" spans="1:12" ht="13.8" thickBot="1" x14ac:dyDescent="0.3">
      <c r="A200" s="164"/>
      <c r="B200" s="180"/>
      <c r="C200" s="49" t="s">
        <v>131</v>
      </c>
      <c r="G200" s="129">
        <f>H73+H65+H51+H41+H15+H181+H192+H196+H29+H22+H121+H85</f>
        <v>1012422.4300000002</v>
      </c>
      <c r="H200" s="130"/>
      <c r="I200" s="45">
        <f>SUM(H15:H199)/2</f>
        <v>1012422.4300000003</v>
      </c>
      <c r="J200" s="45">
        <f>I200/475</f>
        <v>2131.4156421052639</v>
      </c>
      <c r="L200" s="52"/>
    </row>
    <row r="201" spans="1:12" x14ac:dyDescent="0.25">
      <c r="A201" s="164"/>
      <c r="B201" s="164"/>
      <c r="C201" s="47"/>
      <c r="L201" s="52"/>
    </row>
    <row r="202" spans="1:12" x14ac:dyDescent="0.25">
      <c r="C202" s="47" t="s">
        <v>132</v>
      </c>
      <c r="L202" s="52"/>
    </row>
    <row r="203" spans="1:12" x14ac:dyDescent="0.25">
      <c r="C203" s="3" t="s">
        <v>138</v>
      </c>
      <c r="J203" s="53"/>
      <c r="L203" s="52"/>
    </row>
    <row r="204" spans="1:12" x14ac:dyDescent="0.25">
      <c r="J204" s="53"/>
      <c r="L204" s="52"/>
    </row>
    <row r="205" spans="1:12" x14ac:dyDescent="0.25">
      <c r="J205" s="53"/>
      <c r="L205" s="52"/>
    </row>
    <row r="206" spans="1:12" x14ac:dyDescent="0.25">
      <c r="J206" s="53"/>
      <c r="L206" s="52"/>
    </row>
    <row r="207" spans="1:12" x14ac:dyDescent="0.25">
      <c r="J207" s="53"/>
      <c r="L207" s="52"/>
    </row>
    <row r="208" spans="1:12" x14ac:dyDescent="0.25">
      <c r="L208" s="52"/>
    </row>
    <row r="209" spans="3:12" x14ac:dyDescent="0.25">
      <c r="L209" s="52"/>
    </row>
    <row r="210" spans="3:12" x14ac:dyDescent="0.25">
      <c r="C210" s="47"/>
      <c r="D210" s="39" t="s">
        <v>133</v>
      </c>
    </row>
    <row r="211" spans="3:12" x14ac:dyDescent="0.25">
      <c r="C211" s="47"/>
      <c r="D211" s="39" t="s">
        <v>134</v>
      </c>
    </row>
    <row r="212" spans="3:12" x14ac:dyDescent="0.25">
      <c r="C212" s="47"/>
      <c r="D212" s="39" t="s">
        <v>135</v>
      </c>
    </row>
    <row r="213" spans="3:12" x14ac:dyDescent="0.25">
      <c r="D213" s="39" t="s">
        <v>136</v>
      </c>
    </row>
  </sheetData>
  <mergeCells count="2">
    <mergeCell ref="A13:H13"/>
    <mergeCell ref="G200:H200"/>
  </mergeCells>
  <phoneticPr fontId="8" type="noConversion"/>
  <pageMargins left="0.59055118110236227" right="0.51181102362204722" top="0.78740157480314965" bottom="0.78740157480314965" header="0.31496062992125984" footer="0.31496062992125984"/>
  <pageSetup paperSize="9" scale="65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ED4A5-ABE3-4BB8-AF85-9799D976D23C}">
  <dimension ref="B2:J54"/>
  <sheetViews>
    <sheetView topLeftCell="A31" workbookViewId="0">
      <selection activeCell="D48" sqref="D48"/>
    </sheetView>
  </sheetViews>
  <sheetFormatPr defaultRowHeight="14.4" x14ac:dyDescent="0.3"/>
  <cols>
    <col min="1" max="1" width="3.109375" customWidth="1"/>
    <col min="3" max="3" width="34" customWidth="1"/>
    <col min="4" max="4" width="19.109375" customWidth="1"/>
    <col min="5" max="5" width="17.44140625" customWidth="1"/>
    <col min="6" max="6" width="11.44140625" customWidth="1"/>
    <col min="257" max="257" width="3.109375" customWidth="1"/>
    <col min="259" max="259" width="34" customWidth="1"/>
    <col min="260" max="260" width="19.109375" customWidth="1"/>
    <col min="261" max="261" width="17.44140625" customWidth="1"/>
    <col min="262" max="262" width="11.44140625" customWidth="1"/>
    <col min="513" max="513" width="3.109375" customWidth="1"/>
    <col min="515" max="515" width="34" customWidth="1"/>
    <col min="516" max="516" width="19.109375" customWidth="1"/>
    <col min="517" max="517" width="17.44140625" customWidth="1"/>
    <col min="518" max="518" width="11.44140625" customWidth="1"/>
    <col min="769" max="769" width="3.109375" customWidth="1"/>
    <col min="771" max="771" width="34" customWidth="1"/>
    <col min="772" max="772" width="19.109375" customWidth="1"/>
    <col min="773" max="773" width="17.44140625" customWidth="1"/>
    <col min="774" max="774" width="11.44140625" customWidth="1"/>
    <col min="1025" max="1025" width="3.109375" customWidth="1"/>
    <col min="1027" max="1027" width="34" customWidth="1"/>
    <col min="1028" max="1028" width="19.109375" customWidth="1"/>
    <col min="1029" max="1029" width="17.44140625" customWidth="1"/>
    <col min="1030" max="1030" width="11.44140625" customWidth="1"/>
    <col min="1281" max="1281" width="3.109375" customWidth="1"/>
    <col min="1283" max="1283" width="34" customWidth="1"/>
    <col min="1284" max="1284" width="19.109375" customWidth="1"/>
    <col min="1285" max="1285" width="17.44140625" customWidth="1"/>
    <col min="1286" max="1286" width="11.44140625" customWidth="1"/>
    <col min="1537" max="1537" width="3.109375" customWidth="1"/>
    <col min="1539" max="1539" width="34" customWidth="1"/>
    <col min="1540" max="1540" width="19.109375" customWidth="1"/>
    <col min="1541" max="1541" width="17.44140625" customWidth="1"/>
    <col min="1542" max="1542" width="11.44140625" customWidth="1"/>
    <col min="1793" max="1793" width="3.109375" customWidth="1"/>
    <col min="1795" max="1795" width="34" customWidth="1"/>
    <col min="1796" max="1796" width="19.109375" customWidth="1"/>
    <col min="1797" max="1797" width="17.44140625" customWidth="1"/>
    <col min="1798" max="1798" width="11.44140625" customWidth="1"/>
    <col min="2049" max="2049" width="3.109375" customWidth="1"/>
    <col min="2051" max="2051" width="34" customWidth="1"/>
    <col min="2052" max="2052" width="19.109375" customWidth="1"/>
    <col min="2053" max="2053" width="17.44140625" customWidth="1"/>
    <col min="2054" max="2054" width="11.44140625" customWidth="1"/>
    <col min="2305" max="2305" width="3.109375" customWidth="1"/>
    <col min="2307" max="2307" width="34" customWidth="1"/>
    <col min="2308" max="2308" width="19.109375" customWidth="1"/>
    <col min="2309" max="2309" width="17.44140625" customWidth="1"/>
    <col min="2310" max="2310" width="11.44140625" customWidth="1"/>
    <col min="2561" max="2561" width="3.109375" customWidth="1"/>
    <col min="2563" max="2563" width="34" customWidth="1"/>
    <col min="2564" max="2564" width="19.109375" customWidth="1"/>
    <col min="2565" max="2565" width="17.44140625" customWidth="1"/>
    <col min="2566" max="2566" width="11.44140625" customWidth="1"/>
    <col min="2817" max="2817" width="3.109375" customWidth="1"/>
    <col min="2819" max="2819" width="34" customWidth="1"/>
    <col min="2820" max="2820" width="19.109375" customWidth="1"/>
    <col min="2821" max="2821" width="17.44140625" customWidth="1"/>
    <col min="2822" max="2822" width="11.44140625" customWidth="1"/>
    <col min="3073" max="3073" width="3.109375" customWidth="1"/>
    <col min="3075" max="3075" width="34" customWidth="1"/>
    <col min="3076" max="3076" width="19.109375" customWidth="1"/>
    <col min="3077" max="3077" width="17.44140625" customWidth="1"/>
    <col min="3078" max="3078" width="11.44140625" customWidth="1"/>
    <col min="3329" max="3329" width="3.109375" customWidth="1"/>
    <col min="3331" max="3331" width="34" customWidth="1"/>
    <col min="3332" max="3332" width="19.109375" customWidth="1"/>
    <col min="3333" max="3333" width="17.44140625" customWidth="1"/>
    <col min="3334" max="3334" width="11.44140625" customWidth="1"/>
    <col min="3585" max="3585" width="3.109375" customWidth="1"/>
    <col min="3587" max="3587" width="34" customWidth="1"/>
    <col min="3588" max="3588" width="19.109375" customWidth="1"/>
    <col min="3589" max="3589" width="17.44140625" customWidth="1"/>
    <col min="3590" max="3590" width="11.44140625" customWidth="1"/>
    <col min="3841" max="3841" width="3.109375" customWidth="1"/>
    <col min="3843" max="3843" width="34" customWidth="1"/>
    <col min="3844" max="3844" width="19.109375" customWidth="1"/>
    <col min="3845" max="3845" width="17.44140625" customWidth="1"/>
    <col min="3846" max="3846" width="11.44140625" customWidth="1"/>
    <col min="4097" max="4097" width="3.109375" customWidth="1"/>
    <col min="4099" max="4099" width="34" customWidth="1"/>
    <col min="4100" max="4100" width="19.109375" customWidth="1"/>
    <col min="4101" max="4101" width="17.44140625" customWidth="1"/>
    <col min="4102" max="4102" width="11.44140625" customWidth="1"/>
    <col min="4353" max="4353" width="3.109375" customWidth="1"/>
    <col min="4355" max="4355" width="34" customWidth="1"/>
    <col min="4356" max="4356" width="19.109375" customWidth="1"/>
    <col min="4357" max="4357" width="17.44140625" customWidth="1"/>
    <col min="4358" max="4358" width="11.44140625" customWidth="1"/>
    <col min="4609" max="4609" width="3.109375" customWidth="1"/>
    <col min="4611" max="4611" width="34" customWidth="1"/>
    <col min="4612" max="4612" width="19.109375" customWidth="1"/>
    <col min="4613" max="4613" width="17.44140625" customWidth="1"/>
    <col min="4614" max="4614" width="11.44140625" customWidth="1"/>
    <col min="4865" max="4865" width="3.109375" customWidth="1"/>
    <col min="4867" max="4867" width="34" customWidth="1"/>
    <col min="4868" max="4868" width="19.109375" customWidth="1"/>
    <col min="4869" max="4869" width="17.44140625" customWidth="1"/>
    <col min="4870" max="4870" width="11.44140625" customWidth="1"/>
    <col min="5121" max="5121" width="3.109375" customWidth="1"/>
    <col min="5123" max="5123" width="34" customWidth="1"/>
    <col min="5124" max="5124" width="19.109375" customWidth="1"/>
    <col min="5125" max="5125" width="17.44140625" customWidth="1"/>
    <col min="5126" max="5126" width="11.44140625" customWidth="1"/>
    <col min="5377" max="5377" width="3.109375" customWidth="1"/>
    <col min="5379" max="5379" width="34" customWidth="1"/>
    <col min="5380" max="5380" width="19.109375" customWidth="1"/>
    <col min="5381" max="5381" width="17.44140625" customWidth="1"/>
    <col min="5382" max="5382" width="11.44140625" customWidth="1"/>
    <col min="5633" max="5633" width="3.109375" customWidth="1"/>
    <col min="5635" max="5635" width="34" customWidth="1"/>
    <col min="5636" max="5636" width="19.109375" customWidth="1"/>
    <col min="5637" max="5637" width="17.44140625" customWidth="1"/>
    <col min="5638" max="5638" width="11.44140625" customWidth="1"/>
    <col min="5889" max="5889" width="3.109375" customWidth="1"/>
    <col min="5891" max="5891" width="34" customWidth="1"/>
    <col min="5892" max="5892" width="19.109375" customWidth="1"/>
    <col min="5893" max="5893" width="17.44140625" customWidth="1"/>
    <col min="5894" max="5894" width="11.44140625" customWidth="1"/>
    <col min="6145" max="6145" width="3.109375" customWidth="1"/>
    <col min="6147" max="6147" width="34" customWidth="1"/>
    <col min="6148" max="6148" width="19.109375" customWidth="1"/>
    <col min="6149" max="6149" width="17.44140625" customWidth="1"/>
    <col min="6150" max="6150" width="11.44140625" customWidth="1"/>
    <col min="6401" max="6401" width="3.109375" customWidth="1"/>
    <col min="6403" max="6403" width="34" customWidth="1"/>
    <col min="6404" max="6404" width="19.109375" customWidth="1"/>
    <col min="6405" max="6405" width="17.44140625" customWidth="1"/>
    <col min="6406" max="6406" width="11.44140625" customWidth="1"/>
    <col min="6657" max="6657" width="3.109375" customWidth="1"/>
    <col min="6659" max="6659" width="34" customWidth="1"/>
    <col min="6660" max="6660" width="19.109375" customWidth="1"/>
    <col min="6661" max="6661" width="17.44140625" customWidth="1"/>
    <col min="6662" max="6662" width="11.44140625" customWidth="1"/>
    <col min="6913" max="6913" width="3.109375" customWidth="1"/>
    <col min="6915" max="6915" width="34" customWidth="1"/>
    <col min="6916" max="6916" width="19.109375" customWidth="1"/>
    <col min="6917" max="6917" width="17.44140625" customWidth="1"/>
    <col min="6918" max="6918" width="11.44140625" customWidth="1"/>
    <col min="7169" max="7169" width="3.109375" customWidth="1"/>
    <col min="7171" max="7171" width="34" customWidth="1"/>
    <col min="7172" max="7172" width="19.109375" customWidth="1"/>
    <col min="7173" max="7173" width="17.44140625" customWidth="1"/>
    <col min="7174" max="7174" width="11.44140625" customWidth="1"/>
    <col min="7425" max="7425" width="3.109375" customWidth="1"/>
    <col min="7427" max="7427" width="34" customWidth="1"/>
    <col min="7428" max="7428" width="19.109375" customWidth="1"/>
    <col min="7429" max="7429" width="17.44140625" customWidth="1"/>
    <col min="7430" max="7430" width="11.44140625" customWidth="1"/>
    <col min="7681" max="7681" width="3.109375" customWidth="1"/>
    <col min="7683" max="7683" width="34" customWidth="1"/>
    <col min="7684" max="7684" width="19.109375" customWidth="1"/>
    <col min="7685" max="7685" width="17.44140625" customWidth="1"/>
    <col min="7686" max="7686" width="11.44140625" customWidth="1"/>
    <col min="7937" max="7937" width="3.109375" customWidth="1"/>
    <col min="7939" max="7939" width="34" customWidth="1"/>
    <col min="7940" max="7940" width="19.109375" customWidth="1"/>
    <col min="7941" max="7941" width="17.44140625" customWidth="1"/>
    <col min="7942" max="7942" width="11.44140625" customWidth="1"/>
    <col min="8193" max="8193" width="3.109375" customWidth="1"/>
    <col min="8195" max="8195" width="34" customWidth="1"/>
    <col min="8196" max="8196" width="19.109375" customWidth="1"/>
    <col min="8197" max="8197" width="17.44140625" customWidth="1"/>
    <col min="8198" max="8198" width="11.44140625" customWidth="1"/>
    <col min="8449" max="8449" width="3.109375" customWidth="1"/>
    <col min="8451" max="8451" width="34" customWidth="1"/>
    <col min="8452" max="8452" width="19.109375" customWidth="1"/>
    <col min="8453" max="8453" width="17.44140625" customWidth="1"/>
    <col min="8454" max="8454" width="11.44140625" customWidth="1"/>
    <col min="8705" max="8705" width="3.109375" customWidth="1"/>
    <col min="8707" max="8707" width="34" customWidth="1"/>
    <col min="8708" max="8708" width="19.109375" customWidth="1"/>
    <col min="8709" max="8709" width="17.44140625" customWidth="1"/>
    <col min="8710" max="8710" width="11.44140625" customWidth="1"/>
    <col min="8961" max="8961" width="3.109375" customWidth="1"/>
    <col min="8963" max="8963" width="34" customWidth="1"/>
    <col min="8964" max="8964" width="19.109375" customWidth="1"/>
    <col min="8965" max="8965" width="17.44140625" customWidth="1"/>
    <col min="8966" max="8966" width="11.44140625" customWidth="1"/>
    <col min="9217" max="9217" width="3.109375" customWidth="1"/>
    <col min="9219" max="9219" width="34" customWidth="1"/>
    <col min="9220" max="9220" width="19.109375" customWidth="1"/>
    <col min="9221" max="9221" width="17.44140625" customWidth="1"/>
    <col min="9222" max="9222" width="11.44140625" customWidth="1"/>
    <col min="9473" max="9473" width="3.109375" customWidth="1"/>
    <col min="9475" max="9475" width="34" customWidth="1"/>
    <col min="9476" max="9476" width="19.109375" customWidth="1"/>
    <col min="9477" max="9477" width="17.44140625" customWidth="1"/>
    <col min="9478" max="9478" width="11.44140625" customWidth="1"/>
    <col min="9729" max="9729" width="3.109375" customWidth="1"/>
    <col min="9731" max="9731" width="34" customWidth="1"/>
    <col min="9732" max="9732" width="19.109375" customWidth="1"/>
    <col min="9733" max="9733" width="17.44140625" customWidth="1"/>
    <col min="9734" max="9734" width="11.44140625" customWidth="1"/>
    <col min="9985" max="9985" width="3.109375" customWidth="1"/>
    <col min="9987" max="9987" width="34" customWidth="1"/>
    <col min="9988" max="9988" width="19.109375" customWidth="1"/>
    <col min="9989" max="9989" width="17.44140625" customWidth="1"/>
    <col min="9990" max="9990" width="11.44140625" customWidth="1"/>
    <col min="10241" max="10241" width="3.109375" customWidth="1"/>
    <col min="10243" max="10243" width="34" customWidth="1"/>
    <col min="10244" max="10244" width="19.109375" customWidth="1"/>
    <col min="10245" max="10245" width="17.44140625" customWidth="1"/>
    <col min="10246" max="10246" width="11.44140625" customWidth="1"/>
    <col min="10497" max="10497" width="3.109375" customWidth="1"/>
    <col min="10499" max="10499" width="34" customWidth="1"/>
    <col min="10500" max="10500" width="19.109375" customWidth="1"/>
    <col min="10501" max="10501" width="17.44140625" customWidth="1"/>
    <col min="10502" max="10502" width="11.44140625" customWidth="1"/>
    <col min="10753" max="10753" width="3.109375" customWidth="1"/>
    <col min="10755" max="10755" width="34" customWidth="1"/>
    <col min="10756" max="10756" width="19.109375" customWidth="1"/>
    <col min="10757" max="10757" width="17.44140625" customWidth="1"/>
    <col min="10758" max="10758" width="11.44140625" customWidth="1"/>
    <col min="11009" max="11009" width="3.109375" customWidth="1"/>
    <col min="11011" max="11011" width="34" customWidth="1"/>
    <col min="11012" max="11012" width="19.109375" customWidth="1"/>
    <col min="11013" max="11013" width="17.44140625" customWidth="1"/>
    <col min="11014" max="11014" width="11.44140625" customWidth="1"/>
    <col min="11265" max="11265" width="3.109375" customWidth="1"/>
    <col min="11267" max="11267" width="34" customWidth="1"/>
    <col min="11268" max="11268" width="19.109375" customWidth="1"/>
    <col min="11269" max="11269" width="17.44140625" customWidth="1"/>
    <col min="11270" max="11270" width="11.44140625" customWidth="1"/>
    <col min="11521" max="11521" width="3.109375" customWidth="1"/>
    <col min="11523" max="11523" width="34" customWidth="1"/>
    <col min="11524" max="11524" width="19.109375" customWidth="1"/>
    <col min="11525" max="11525" width="17.44140625" customWidth="1"/>
    <col min="11526" max="11526" width="11.44140625" customWidth="1"/>
    <col min="11777" max="11777" width="3.109375" customWidth="1"/>
    <col min="11779" max="11779" width="34" customWidth="1"/>
    <col min="11780" max="11780" width="19.109375" customWidth="1"/>
    <col min="11781" max="11781" width="17.44140625" customWidth="1"/>
    <col min="11782" max="11782" width="11.44140625" customWidth="1"/>
    <col min="12033" max="12033" width="3.109375" customWidth="1"/>
    <col min="12035" max="12035" width="34" customWidth="1"/>
    <col min="12036" max="12036" width="19.109375" customWidth="1"/>
    <col min="12037" max="12037" width="17.44140625" customWidth="1"/>
    <col min="12038" max="12038" width="11.44140625" customWidth="1"/>
    <col min="12289" max="12289" width="3.109375" customWidth="1"/>
    <col min="12291" max="12291" width="34" customWidth="1"/>
    <col min="12292" max="12292" width="19.109375" customWidth="1"/>
    <col min="12293" max="12293" width="17.44140625" customWidth="1"/>
    <col min="12294" max="12294" width="11.44140625" customWidth="1"/>
    <col min="12545" max="12545" width="3.109375" customWidth="1"/>
    <col min="12547" max="12547" width="34" customWidth="1"/>
    <col min="12548" max="12548" width="19.109375" customWidth="1"/>
    <col min="12549" max="12549" width="17.44140625" customWidth="1"/>
    <col min="12550" max="12550" width="11.44140625" customWidth="1"/>
    <col min="12801" max="12801" width="3.109375" customWidth="1"/>
    <col min="12803" max="12803" width="34" customWidth="1"/>
    <col min="12804" max="12804" width="19.109375" customWidth="1"/>
    <col min="12805" max="12805" width="17.44140625" customWidth="1"/>
    <col min="12806" max="12806" width="11.44140625" customWidth="1"/>
    <col min="13057" max="13057" width="3.109375" customWidth="1"/>
    <col min="13059" max="13059" width="34" customWidth="1"/>
    <col min="13060" max="13060" width="19.109375" customWidth="1"/>
    <col min="13061" max="13061" width="17.44140625" customWidth="1"/>
    <col min="13062" max="13062" width="11.44140625" customWidth="1"/>
    <col min="13313" max="13313" width="3.109375" customWidth="1"/>
    <col min="13315" max="13315" width="34" customWidth="1"/>
    <col min="13316" max="13316" width="19.109375" customWidth="1"/>
    <col min="13317" max="13317" width="17.44140625" customWidth="1"/>
    <col min="13318" max="13318" width="11.44140625" customWidth="1"/>
    <col min="13569" max="13569" width="3.109375" customWidth="1"/>
    <col min="13571" max="13571" width="34" customWidth="1"/>
    <col min="13572" max="13572" width="19.109375" customWidth="1"/>
    <col min="13573" max="13573" width="17.44140625" customWidth="1"/>
    <col min="13574" max="13574" width="11.44140625" customWidth="1"/>
    <col min="13825" max="13825" width="3.109375" customWidth="1"/>
    <col min="13827" max="13827" width="34" customWidth="1"/>
    <col min="13828" max="13828" width="19.109375" customWidth="1"/>
    <col min="13829" max="13829" width="17.44140625" customWidth="1"/>
    <col min="13830" max="13830" width="11.44140625" customWidth="1"/>
    <col min="14081" max="14081" width="3.109375" customWidth="1"/>
    <col min="14083" max="14083" width="34" customWidth="1"/>
    <col min="14084" max="14084" width="19.109375" customWidth="1"/>
    <col min="14085" max="14085" width="17.44140625" customWidth="1"/>
    <col min="14086" max="14086" width="11.44140625" customWidth="1"/>
    <col min="14337" max="14337" width="3.109375" customWidth="1"/>
    <col min="14339" max="14339" width="34" customWidth="1"/>
    <col min="14340" max="14340" width="19.109375" customWidth="1"/>
    <col min="14341" max="14341" width="17.44140625" customWidth="1"/>
    <col min="14342" max="14342" width="11.44140625" customWidth="1"/>
    <col min="14593" max="14593" width="3.109375" customWidth="1"/>
    <col min="14595" max="14595" width="34" customWidth="1"/>
    <col min="14596" max="14596" width="19.109375" customWidth="1"/>
    <col min="14597" max="14597" width="17.44140625" customWidth="1"/>
    <col min="14598" max="14598" width="11.44140625" customWidth="1"/>
    <col min="14849" max="14849" width="3.109375" customWidth="1"/>
    <col min="14851" max="14851" width="34" customWidth="1"/>
    <col min="14852" max="14852" width="19.109375" customWidth="1"/>
    <col min="14853" max="14853" width="17.44140625" customWidth="1"/>
    <col min="14854" max="14854" width="11.44140625" customWidth="1"/>
    <col min="15105" max="15105" width="3.109375" customWidth="1"/>
    <col min="15107" max="15107" width="34" customWidth="1"/>
    <col min="15108" max="15108" width="19.109375" customWidth="1"/>
    <col min="15109" max="15109" width="17.44140625" customWidth="1"/>
    <col min="15110" max="15110" width="11.44140625" customWidth="1"/>
    <col min="15361" max="15361" width="3.109375" customWidth="1"/>
    <col min="15363" max="15363" width="34" customWidth="1"/>
    <col min="15364" max="15364" width="19.109375" customWidth="1"/>
    <col min="15365" max="15365" width="17.44140625" customWidth="1"/>
    <col min="15366" max="15366" width="11.44140625" customWidth="1"/>
    <col min="15617" max="15617" width="3.109375" customWidth="1"/>
    <col min="15619" max="15619" width="34" customWidth="1"/>
    <col min="15620" max="15620" width="19.109375" customWidth="1"/>
    <col min="15621" max="15621" width="17.44140625" customWidth="1"/>
    <col min="15622" max="15622" width="11.44140625" customWidth="1"/>
    <col min="15873" max="15873" width="3.109375" customWidth="1"/>
    <col min="15875" max="15875" width="34" customWidth="1"/>
    <col min="15876" max="15876" width="19.109375" customWidth="1"/>
    <col min="15877" max="15877" width="17.44140625" customWidth="1"/>
    <col min="15878" max="15878" width="11.44140625" customWidth="1"/>
    <col min="16129" max="16129" width="3.109375" customWidth="1"/>
    <col min="16131" max="16131" width="34" customWidth="1"/>
    <col min="16132" max="16132" width="19.109375" customWidth="1"/>
    <col min="16133" max="16133" width="17.44140625" customWidth="1"/>
    <col min="16134" max="16134" width="11.44140625" customWidth="1"/>
  </cols>
  <sheetData>
    <row r="2" spans="2:10" ht="15.6" x14ac:dyDescent="0.3">
      <c r="B2" s="58" t="s">
        <v>350</v>
      </c>
      <c r="C2" s="59"/>
      <c r="D2" s="60"/>
      <c r="E2" s="61"/>
      <c r="F2" s="61"/>
      <c r="G2" s="61"/>
      <c r="H2" s="62"/>
      <c r="I2" s="63"/>
      <c r="J2" s="63"/>
    </row>
    <row r="3" spans="2:10" x14ac:dyDescent="0.3">
      <c r="B3" s="64" t="s">
        <v>0</v>
      </c>
      <c r="C3" s="59"/>
      <c r="D3" s="60"/>
      <c r="E3" s="61"/>
      <c r="F3" s="61"/>
      <c r="G3" s="61"/>
      <c r="H3" s="62"/>
      <c r="I3" s="63"/>
      <c r="J3" s="63"/>
    </row>
    <row r="4" spans="2:10" x14ac:dyDescent="0.3">
      <c r="B4" s="64" t="s">
        <v>1</v>
      </c>
      <c r="C4" s="59"/>
      <c r="D4" s="60"/>
      <c r="E4" s="61"/>
      <c r="F4" s="61"/>
      <c r="G4" s="61"/>
      <c r="H4" s="62"/>
      <c r="I4" s="63"/>
      <c r="J4" s="63"/>
    </row>
    <row r="5" spans="2:10" x14ac:dyDescent="0.3">
      <c r="B5" s="64" t="s">
        <v>2</v>
      </c>
      <c r="C5" s="59"/>
      <c r="D5" s="60"/>
      <c r="E5" s="61"/>
      <c r="F5" s="61"/>
      <c r="G5" s="61"/>
      <c r="H5" s="62"/>
      <c r="I5" s="63"/>
      <c r="J5" s="63"/>
    </row>
    <row r="6" spans="2:10" ht="15.6" customHeight="1" x14ac:dyDescent="0.3">
      <c r="B6" s="64" t="s">
        <v>3</v>
      </c>
      <c r="C6" s="59"/>
      <c r="D6" s="60"/>
      <c r="E6" s="61"/>
      <c r="F6" s="61"/>
      <c r="G6" s="61"/>
      <c r="H6" s="62"/>
      <c r="I6" s="65"/>
      <c r="J6" s="65"/>
    </row>
    <row r="7" spans="2:10" ht="19.2" x14ac:dyDescent="0.3">
      <c r="B7" s="64"/>
      <c r="C7" s="59"/>
      <c r="D7" s="60"/>
      <c r="E7" s="61"/>
      <c r="F7" s="61"/>
      <c r="G7" s="61"/>
      <c r="H7" s="62"/>
      <c r="I7" s="66"/>
      <c r="J7" s="66"/>
    </row>
    <row r="8" spans="2:10" ht="19.2" x14ac:dyDescent="0.3">
      <c r="B8" s="64"/>
      <c r="C8" s="59"/>
      <c r="D8" s="60"/>
      <c r="E8" s="61"/>
      <c r="F8" s="61"/>
      <c r="G8" s="61"/>
      <c r="H8" s="62"/>
      <c r="I8" s="66"/>
      <c r="J8" s="66"/>
    </row>
    <row r="9" spans="2:10" ht="19.2" x14ac:dyDescent="0.3">
      <c r="B9" s="64"/>
      <c r="C9" s="59"/>
      <c r="D9" s="60"/>
      <c r="E9" s="61"/>
      <c r="F9" s="61"/>
      <c r="G9" s="61"/>
      <c r="H9" s="62"/>
      <c r="I9" s="66"/>
      <c r="J9" s="66"/>
    </row>
    <row r="10" spans="2:10" x14ac:dyDescent="0.3">
      <c r="B10" s="67"/>
      <c r="C10" s="67"/>
      <c r="D10" s="67"/>
      <c r="E10" s="68"/>
      <c r="F10" s="68"/>
      <c r="G10" s="68"/>
      <c r="H10" s="68"/>
    </row>
    <row r="11" spans="2:10" x14ac:dyDescent="0.3">
      <c r="B11" s="168" t="str">
        <f>[1]Orçamento!A11</f>
        <v>Propritário: Prefeitura Municipal de Vidal Ramos</v>
      </c>
      <c r="C11" s="3"/>
      <c r="D11" s="69"/>
      <c r="E11" s="69"/>
      <c r="F11" s="70"/>
      <c r="G11" s="71"/>
      <c r="H11" s="71"/>
    </row>
    <row r="12" spans="2:10" x14ac:dyDescent="0.3">
      <c r="B12" s="169" t="str">
        <f>Orçamento!A9</f>
        <v>Obra:CONSTRUÇÃO DO CENTRO DE CONVIVENCIA DO IDOSO</v>
      </c>
      <c r="C12" s="3"/>
      <c r="D12" s="69"/>
      <c r="E12" s="69"/>
      <c r="F12" s="70"/>
    </row>
    <row r="13" spans="2:10" x14ac:dyDescent="0.3">
      <c r="B13" s="168" t="str">
        <f>Orçamento!A10</f>
        <v>Endereço: RODOVIA SC 110 - VIDAL RAMOS/SC</v>
      </c>
      <c r="C13" s="3"/>
      <c r="D13" s="69"/>
      <c r="E13" s="69"/>
      <c r="F13" s="70"/>
      <c r="G13" s="64"/>
      <c r="H13" s="64"/>
    </row>
    <row r="14" spans="2:10" x14ac:dyDescent="0.3">
      <c r="B14" s="67" t="str">
        <f>'[2]Ponte 15,00 metros'!A13</f>
        <v>BDI:</v>
      </c>
      <c r="C14" s="170">
        <v>0.2331</v>
      </c>
      <c r="D14" s="67"/>
      <c r="E14" s="68"/>
      <c r="F14" s="67"/>
      <c r="G14" s="67"/>
      <c r="H14" s="68"/>
    </row>
    <row r="15" spans="2:10" x14ac:dyDescent="0.3">
      <c r="B15" s="171" t="str">
        <f>Orçamento!G9</f>
        <v>Data: 22/12/25</v>
      </c>
      <c r="C15" s="67"/>
      <c r="D15" s="67"/>
      <c r="E15" s="68"/>
      <c r="F15" s="67"/>
      <c r="G15" s="67"/>
      <c r="H15" s="68"/>
    </row>
    <row r="16" spans="2:10" x14ac:dyDescent="0.3">
      <c r="B16" s="67"/>
      <c r="C16" s="67"/>
      <c r="D16" s="67"/>
      <c r="E16" s="68"/>
      <c r="F16" s="67"/>
      <c r="G16" s="67"/>
      <c r="H16" s="68"/>
    </row>
    <row r="17" spans="2:9" x14ac:dyDescent="0.3">
      <c r="B17" s="67"/>
      <c r="C17" s="67"/>
      <c r="D17" s="67"/>
      <c r="E17" s="68"/>
      <c r="F17" s="67"/>
      <c r="G17" s="67"/>
      <c r="H17" s="68"/>
    </row>
    <row r="18" spans="2:9" x14ac:dyDescent="0.3">
      <c r="B18" s="72" t="s">
        <v>351</v>
      </c>
      <c r="C18" s="140">
        <v>0.15</v>
      </c>
      <c r="D18" s="140"/>
      <c r="E18" s="141" t="s">
        <v>352</v>
      </c>
      <c r="F18" s="141"/>
      <c r="G18" s="141"/>
      <c r="H18" s="73">
        <v>1.3899999999999999E-2</v>
      </c>
    </row>
    <row r="19" spans="2:9" x14ac:dyDescent="0.3">
      <c r="B19" s="72" t="s">
        <v>353</v>
      </c>
      <c r="C19" s="142">
        <v>0.05</v>
      </c>
      <c r="D19" s="142"/>
      <c r="E19" s="74"/>
      <c r="F19" s="74"/>
      <c r="G19" s="74"/>
      <c r="H19" s="75"/>
    </row>
    <row r="20" spans="2:9" x14ac:dyDescent="0.3">
      <c r="B20" s="143" t="s">
        <v>354</v>
      </c>
      <c r="C20" s="143"/>
      <c r="D20" s="143"/>
      <c r="E20" s="143"/>
      <c r="F20" s="143"/>
      <c r="G20" s="143"/>
      <c r="H20" s="143"/>
    </row>
    <row r="21" spans="2:9" x14ac:dyDescent="0.3">
      <c r="B21" s="144" t="s">
        <v>355</v>
      </c>
      <c r="C21" s="145"/>
      <c r="D21" s="145"/>
      <c r="E21" s="145"/>
      <c r="F21" s="145"/>
      <c r="G21" s="145"/>
      <c r="H21" s="146"/>
    </row>
    <row r="22" spans="2:9" x14ac:dyDescent="0.3">
      <c r="B22" s="147" t="s">
        <v>356</v>
      </c>
      <c r="C22" s="147"/>
      <c r="D22" s="147"/>
      <c r="E22" s="147"/>
      <c r="F22" s="147"/>
      <c r="G22" s="147"/>
      <c r="H22" s="76" t="s">
        <v>357</v>
      </c>
    </row>
    <row r="23" spans="2:9" x14ac:dyDescent="0.3">
      <c r="B23" s="138" t="s">
        <v>358</v>
      </c>
      <c r="C23" s="138"/>
      <c r="D23" s="139" t="s">
        <v>359</v>
      </c>
      <c r="E23" s="139"/>
      <c r="F23" s="139"/>
      <c r="G23" s="139"/>
      <c r="H23" s="77" t="s">
        <v>360</v>
      </c>
    </row>
    <row r="24" spans="2:9" x14ac:dyDescent="0.3">
      <c r="B24" s="136" t="s">
        <v>361</v>
      </c>
      <c r="C24" s="136"/>
      <c r="D24" s="135"/>
      <c r="E24" s="135"/>
      <c r="F24" s="135"/>
      <c r="G24" s="135"/>
      <c r="H24" s="78"/>
    </row>
    <row r="25" spans="2:9" x14ac:dyDescent="0.3">
      <c r="B25" s="137" t="s">
        <v>362</v>
      </c>
      <c r="C25" s="137"/>
      <c r="D25" s="132" t="s">
        <v>363</v>
      </c>
      <c r="E25" s="132"/>
      <c r="F25" s="132"/>
      <c r="G25" s="132"/>
      <c r="H25" s="79">
        <v>4.6100000000000002E-2</v>
      </c>
    </row>
    <row r="26" spans="2:9" x14ac:dyDescent="0.3">
      <c r="B26" s="137"/>
      <c r="C26" s="137"/>
      <c r="D26" s="132" t="s">
        <v>364</v>
      </c>
      <c r="E26" s="132"/>
      <c r="F26" s="132"/>
      <c r="G26" s="132"/>
      <c r="H26" s="79">
        <v>7.4000000000000003E-3</v>
      </c>
    </row>
    <row r="27" spans="2:9" x14ac:dyDescent="0.3">
      <c r="B27" s="137"/>
      <c r="C27" s="137"/>
      <c r="D27" s="132" t="s">
        <v>365</v>
      </c>
      <c r="E27" s="132"/>
      <c r="F27" s="132"/>
      <c r="G27" s="132"/>
      <c r="H27" s="79">
        <v>9.7000000000000003E-3</v>
      </c>
    </row>
    <row r="28" spans="2:9" x14ac:dyDescent="0.3">
      <c r="B28" s="137"/>
      <c r="C28" s="137"/>
      <c r="D28" s="132" t="s">
        <v>366</v>
      </c>
      <c r="E28" s="132"/>
      <c r="F28" s="132"/>
      <c r="G28" s="132"/>
      <c r="H28" s="79">
        <v>1.21E-2</v>
      </c>
    </row>
    <row r="29" spans="2:9" ht="15.75" customHeight="1" x14ac:dyDescent="0.3">
      <c r="B29" s="136" t="s">
        <v>367</v>
      </c>
      <c r="C29" s="136"/>
      <c r="D29" s="135"/>
      <c r="E29" s="135"/>
      <c r="F29" s="135"/>
      <c r="G29" s="135"/>
      <c r="H29" s="80">
        <f>SUM(H25:H28)</f>
        <v>7.5300000000000006E-2</v>
      </c>
    </row>
    <row r="30" spans="2:9" ht="15.75" customHeight="1" x14ac:dyDescent="0.3">
      <c r="B30" s="136" t="s">
        <v>368</v>
      </c>
      <c r="C30" s="136"/>
      <c r="D30" s="135"/>
      <c r="E30" s="135"/>
      <c r="F30" s="135"/>
      <c r="G30" s="135"/>
      <c r="H30" s="81"/>
      <c r="I30" s="82"/>
    </row>
    <row r="31" spans="2:9" ht="15.75" customHeight="1" x14ac:dyDescent="0.3">
      <c r="B31" s="137" t="s">
        <v>369</v>
      </c>
      <c r="C31" s="137"/>
      <c r="D31" s="132" t="s">
        <v>370</v>
      </c>
      <c r="E31" s="132"/>
      <c r="F31" s="132"/>
      <c r="G31" s="132"/>
      <c r="H31" s="79">
        <v>0.03</v>
      </c>
      <c r="I31" s="82"/>
    </row>
    <row r="32" spans="2:9" ht="15.75" customHeight="1" x14ac:dyDescent="0.3">
      <c r="B32" s="137"/>
      <c r="C32" s="137"/>
      <c r="D32" s="132" t="s">
        <v>371</v>
      </c>
      <c r="E32" s="132"/>
      <c r="F32" s="132"/>
      <c r="G32" s="132"/>
      <c r="H32" s="79">
        <v>6.4999999999999997E-3</v>
      </c>
      <c r="I32" s="82"/>
    </row>
    <row r="33" spans="2:9" ht="15.75" customHeight="1" x14ac:dyDescent="0.3">
      <c r="B33" s="137"/>
      <c r="C33" s="137"/>
      <c r="D33" s="132" t="s">
        <v>372</v>
      </c>
      <c r="E33" s="132"/>
      <c r="F33" s="132"/>
      <c r="G33" s="132"/>
      <c r="H33" s="79">
        <v>1.4999999999999999E-2</v>
      </c>
      <c r="I33" s="82"/>
    </row>
    <row r="34" spans="2:9" ht="15.75" customHeight="1" x14ac:dyDescent="0.3">
      <c r="B34" s="137"/>
      <c r="C34" s="137"/>
      <c r="D34" s="132" t="s">
        <v>373</v>
      </c>
      <c r="E34" s="132"/>
      <c r="F34" s="132"/>
      <c r="G34" s="132"/>
      <c r="H34" s="79">
        <v>0</v>
      </c>
      <c r="I34" s="82"/>
    </row>
    <row r="35" spans="2:9" ht="15" customHeight="1" x14ac:dyDescent="0.3">
      <c r="B35" s="134" t="s">
        <v>374</v>
      </c>
      <c r="C35" s="134"/>
      <c r="D35" s="135"/>
      <c r="E35" s="135"/>
      <c r="F35" s="135"/>
      <c r="G35" s="135"/>
      <c r="H35" s="80">
        <f>SUM(H31:H33)</f>
        <v>5.1499999999999997E-2</v>
      </c>
      <c r="I35" s="82"/>
    </row>
    <row r="36" spans="2:9" ht="15" customHeight="1" x14ac:dyDescent="0.3">
      <c r="B36" s="136" t="s">
        <v>375</v>
      </c>
      <c r="C36" s="136"/>
      <c r="D36" s="135"/>
      <c r="E36" s="135"/>
      <c r="F36" s="135"/>
      <c r="G36" s="135"/>
      <c r="H36" s="78"/>
      <c r="I36" s="82"/>
    </row>
    <row r="37" spans="2:9" ht="15" customHeight="1" x14ac:dyDescent="0.3">
      <c r="B37" s="131" t="s">
        <v>376</v>
      </c>
      <c r="C37" s="131"/>
      <c r="D37" s="132" t="s">
        <v>377</v>
      </c>
      <c r="E37" s="132"/>
      <c r="F37" s="132"/>
      <c r="G37" s="132"/>
      <c r="H37" s="79">
        <v>8.6900000000000005E-2</v>
      </c>
      <c r="I37" s="82"/>
    </row>
    <row r="38" spans="2:9" ht="15" customHeight="1" x14ac:dyDescent="0.3">
      <c r="B38" s="131" t="s">
        <v>378</v>
      </c>
      <c r="C38" s="131"/>
      <c r="D38" s="132"/>
      <c r="E38" s="132"/>
      <c r="F38" s="132"/>
      <c r="G38" s="132"/>
      <c r="H38" s="83">
        <f>SUM(H37)</f>
        <v>8.6900000000000005E-2</v>
      </c>
      <c r="I38" s="82"/>
    </row>
    <row r="39" spans="2:9" x14ac:dyDescent="0.3">
      <c r="B39" s="131" t="s">
        <v>379</v>
      </c>
      <c r="C39" s="131"/>
      <c r="D39" s="132"/>
      <c r="E39" s="132"/>
      <c r="F39" s="132"/>
      <c r="G39" s="132"/>
      <c r="H39" s="83">
        <f>(((1+H25+H26+H27)*(1+H28)*(1+H37))/(1-(H33+H31+H32)))-1</f>
        <v>0.23307827534844505</v>
      </c>
    </row>
    <row r="40" spans="2:9" x14ac:dyDescent="0.3">
      <c r="B40" s="84"/>
      <c r="C40" s="85"/>
      <c r="D40" s="86"/>
      <c r="E40" s="87"/>
      <c r="F40" s="88"/>
      <c r="G40" s="84"/>
      <c r="H40" s="84"/>
    </row>
    <row r="41" spans="2:9" x14ac:dyDescent="0.3">
      <c r="B41" s="133" t="s">
        <v>380</v>
      </c>
      <c r="C41" s="133"/>
      <c r="D41" s="133"/>
      <c r="E41" s="133"/>
      <c r="F41" s="89">
        <v>0.16800000000000001</v>
      </c>
      <c r="G41" s="84"/>
      <c r="H41" s="84"/>
    </row>
    <row r="42" spans="2:9" x14ac:dyDescent="0.3">
      <c r="B42" t="s">
        <v>381</v>
      </c>
      <c r="C42" s="85"/>
      <c r="D42" s="84"/>
      <c r="E42" s="84"/>
      <c r="F42" s="84"/>
      <c r="G42" s="84"/>
      <c r="H42" s="84"/>
    </row>
    <row r="43" spans="2:9" x14ac:dyDescent="0.3">
      <c r="C43" s="85"/>
      <c r="D43" s="84"/>
      <c r="E43" s="84"/>
      <c r="F43" s="84"/>
      <c r="G43" s="84"/>
      <c r="H43" s="84"/>
    </row>
    <row r="44" spans="2:9" x14ac:dyDescent="0.3">
      <c r="C44" s="85"/>
      <c r="D44" s="84"/>
      <c r="E44" s="84"/>
      <c r="F44" s="84"/>
      <c r="G44" s="84"/>
      <c r="H44" s="84"/>
    </row>
    <row r="45" spans="2:9" x14ac:dyDescent="0.3">
      <c r="C45" s="85"/>
      <c r="D45" s="84"/>
      <c r="E45" s="84"/>
      <c r="F45" s="84"/>
      <c r="G45" s="84"/>
      <c r="H45" s="84"/>
    </row>
    <row r="46" spans="2:9" x14ac:dyDescent="0.3">
      <c r="C46" s="85"/>
      <c r="D46" s="84"/>
      <c r="E46" s="84"/>
      <c r="F46" s="84"/>
      <c r="G46" s="84"/>
      <c r="H46" s="84"/>
    </row>
    <row r="47" spans="2:9" x14ac:dyDescent="0.3">
      <c r="C47" s="85"/>
      <c r="D47" s="84"/>
      <c r="E47" s="84"/>
      <c r="F47" s="84"/>
      <c r="G47" s="84"/>
      <c r="H47" s="84"/>
    </row>
    <row r="48" spans="2:9" x14ac:dyDescent="0.3">
      <c r="C48" s="85"/>
      <c r="D48" s="84"/>
      <c r="E48" s="84"/>
      <c r="F48" s="84"/>
      <c r="G48" s="84"/>
      <c r="H48" s="84"/>
    </row>
    <row r="49" spans="2:8" x14ac:dyDescent="0.3">
      <c r="B49" s="84"/>
      <c r="C49" s="84"/>
      <c r="D49" s="84"/>
      <c r="E49" s="84"/>
      <c r="F49" s="84"/>
      <c r="G49" s="84"/>
      <c r="H49" s="84"/>
    </row>
    <row r="50" spans="2:8" ht="15.6" x14ac:dyDescent="0.3">
      <c r="B50" s="84"/>
      <c r="C50" s="90"/>
      <c r="D50" s="91"/>
      <c r="E50" s="84"/>
      <c r="F50" s="84"/>
      <c r="G50" s="84"/>
      <c r="H50" s="84"/>
    </row>
    <row r="51" spans="2:8" x14ac:dyDescent="0.3">
      <c r="B51" s="84"/>
      <c r="C51" s="84"/>
      <c r="D51" s="92" t="s">
        <v>382</v>
      </c>
      <c r="E51" s="84"/>
      <c r="F51" s="84"/>
      <c r="G51" s="84"/>
      <c r="H51" s="84"/>
    </row>
    <row r="52" spans="2:8" x14ac:dyDescent="0.3">
      <c r="D52" s="93" t="s">
        <v>134</v>
      </c>
    </row>
    <row r="53" spans="2:8" x14ac:dyDescent="0.3">
      <c r="D53" s="92" t="s">
        <v>135</v>
      </c>
    </row>
    <row r="54" spans="2:8" x14ac:dyDescent="0.3">
      <c r="D54" s="94" t="s">
        <v>136</v>
      </c>
    </row>
  </sheetData>
  <mergeCells count="35">
    <mergeCell ref="B22:G22"/>
    <mergeCell ref="C18:D18"/>
    <mergeCell ref="E18:G18"/>
    <mergeCell ref="C19:D19"/>
    <mergeCell ref="B20:H20"/>
    <mergeCell ref="B21:H21"/>
    <mergeCell ref="B23:C23"/>
    <mergeCell ref="D23:G23"/>
    <mergeCell ref="B24:C24"/>
    <mergeCell ref="D24:G24"/>
    <mergeCell ref="B25:C28"/>
    <mergeCell ref="D25:G25"/>
    <mergeCell ref="D26:G26"/>
    <mergeCell ref="D27:G27"/>
    <mergeCell ref="D28:G28"/>
    <mergeCell ref="B29:C29"/>
    <mergeCell ref="D29:G29"/>
    <mergeCell ref="B30:C30"/>
    <mergeCell ref="D30:G30"/>
    <mergeCell ref="B31:C34"/>
    <mergeCell ref="D31:G31"/>
    <mergeCell ref="D32:G32"/>
    <mergeCell ref="D33:G33"/>
    <mergeCell ref="D34:G34"/>
    <mergeCell ref="B35:C35"/>
    <mergeCell ref="D35:G35"/>
    <mergeCell ref="B36:C36"/>
    <mergeCell ref="D36:G36"/>
    <mergeCell ref="B37:C37"/>
    <mergeCell ref="D37:G37"/>
    <mergeCell ref="B38:C38"/>
    <mergeCell ref="D38:G38"/>
    <mergeCell ref="B39:C39"/>
    <mergeCell ref="D39:G39"/>
    <mergeCell ref="B41:E41"/>
  </mergeCells>
  <pageMargins left="0.74" right="0.51181102362204722" top="0.78740157480314965" bottom="0.78740157480314965" header="0.31496062992125984" footer="0.31496062992125984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FBEF3-AF82-45A4-9964-1E3ECE9F8D40}">
  <dimension ref="A1:O46"/>
  <sheetViews>
    <sheetView topLeftCell="A19" workbookViewId="0">
      <selection activeCell="C41" sqref="C41"/>
    </sheetView>
  </sheetViews>
  <sheetFormatPr defaultColWidth="9.5546875" defaultRowHeight="13.2" x14ac:dyDescent="0.3"/>
  <cols>
    <col min="1" max="1" width="5.88671875" style="67" customWidth="1"/>
    <col min="2" max="2" width="43.109375" style="67" customWidth="1"/>
    <col min="3" max="3" width="17.77734375" style="67" customWidth="1"/>
    <col min="4" max="4" width="9" style="67" bestFit="1" customWidth="1"/>
    <col min="5" max="5" width="15.5546875" style="67" bestFit="1" customWidth="1"/>
    <col min="6" max="6" width="8.88671875" style="98" bestFit="1" customWidth="1"/>
    <col min="7" max="7" width="15.5546875" style="68" bestFit="1" customWidth="1"/>
    <col min="8" max="8" width="10.44140625" style="68" customWidth="1"/>
    <col min="9" max="9" width="15.5546875" style="68" bestFit="1" customWidth="1"/>
    <col min="10" max="10" width="8.88671875" style="67" bestFit="1" customWidth="1"/>
    <col min="11" max="11" width="15.5546875" style="67" bestFit="1" customWidth="1"/>
    <col min="12" max="12" width="10.109375" style="67" bestFit="1" customWidth="1"/>
    <col min="13" max="13" width="17.33203125" style="67" bestFit="1" customWidth="1"/>
    <col min="14" max="14" width="9" style="67" bestFit="1" customWidth="1"/>
    <col min="15" max="252" width="11.44140625" style="67" customWidth="1"/>
    <col min="253" max="253" width="7.44140625" style="67" customWidth="1"/>
    <col min="254" max="254" width="11.6640625" style="67" bestFit="1" customWidth="1"/>
    <col min="255" max="255" width="9.109375" style="67" bestFit="1" customWidth="1"/>
    <col min="256" max="256" width="68" style="67" customWidth="1"/>
    <col min="257" max="257" width="9.5546875" style="67"/>
    <col min="258" max="258" width="7" style="67" customWidth="1"/>
    <col min="259" max="259" width="66" style="67" bestFit="1" customWidth="1"/>
    <col min="260" max="260" width="11" style="67" bestFit="1" customWidth="1"/>
    <col min="261" max="261" width="9" style="67" bestFit="1" customWidth="1"/>
    <col min="262" max="262" width="11" style="67" bestFit="1" customWidth="1"/>
    <col min="263" max="263" width="7.88671875" style="67" bestFit="1" customWidth="1"/>
    <col min="264" max="264" width="13.5546875" style="67" bestFit="1" customWidth="1"/>
    <col min="265" max="265" width="10.44140625" style="67" customWidth="1"/>
    <col min="266" max="266" width="13.109375" style="67" bestFit="1" customWidth="1"/>
    <col min="267" max="267" width="9.6640625" style="67" customWidth="1"/>
    <col min="268" max="268" width="6.5546875" style="67" bestFit="1" customWidth="1"/>
    <col min="269" max="269" width="15.88671875" style="67" bestFit="1" customWidth="1"/>
    <col min="270" max="508" width="11.44140625" style="67" customWidth="1"/>
    <col min="509" max="509" width="7.44140625" style="67" customWidth="1"/>
    <col min="510" max="510" width="11.6640625" style="67" bestFit="1" customWidth="1"/>
    <col min="511" max="511" width="9.109375" style="67" bestFit="1" customWidth="1"/>
    <col min="512" max="512" width="68" style="67" customWidth="1"/>
    <col min="513" max="513" width="9.5546875" style="67"/>
    <col min="514" max="514" width="7" style="67" customWidth="1"/>
    <col min="515" max="515" width="66" style="67" bestFit="1" customWidth="1"/>
    <col min="516" max="516" width="11" style="67" bestFit="1" customWidth="1"/>
    <col min="517" max="517" width="9" style="67" bestFit="1" customWidth="1"/>
    <col min="518" max="518" width="11" style="67" bestFit="1" customWidth="1"/>
    <col min="519" max="519" width="7.88671875" style="67" bestFit="1" customWidth="1"/>
    <col min="520" max="520" width="13.5546875" style="67" bestFit="1" customWidth="1"/>
    <col min="521" max="521" width="10.44140625" style="67" customWidth="1"/>
    <col min="522" max="522" width="13.109375" style="67" bestFit="1" customWidth="1"/>
    <col min="523" max="523" width="9.6640625" style="67" customWidth="1"/>
    <col min="524" max="524" width="6.5546875" style="67" bestFit="1" customWidth="1"/>
    <col min="525" max="525" width="15.88671875" style="67" bestFit="1" customWidth="1"/>
    <col min="526" max="764" width="11.44140625" style="67" customWidth="1"/>
    <col min="765" max="765" width="7.44140625" style="67" customWidth="1"/>
    <col min="766" max="766" width="11.6640625" style="67" bestFit="1" customWidth="1"/>
    <col min="767" max="767" width="9.109375" style="67" bestFit="1" customWidth="1"/>
    <col min="768" max="768" width="68" style="67" customWidth="1"/>
    <col min="769" max="769" width="9.5546875" style="67"/>
    <col min="770" max="770" width="7" style="67" customWidth="1"/>
    <col min="771" max="771" width="66" style="67" bestFit="1" customWidth="1"/>
    <col min="772" max="772" width="11" style="67" bestFit="1" customWidth="1"/>
    <col min="773" max="773" width="9" style="67" bestFit="1" customWidth="1"/>
    <col min="774" max="774" width="11" style="67" bestFit="1" customWidth="1"/>
    <col min="775" max="775" width="7.88671875" style="67" bestFit="1" customWidth="1"/>
    <col min="776" max="776" width="13.5546875" style="67" bestFit="1" customWidth="1"/>
    <col min="777" max="777" width="10.44140625" style="67" customWidth="1"/>
    <col min="778" max="778" width="13.109375" style="67" bestFit="1" customWidth="1"/>
    <col min="779" max="779" width="9.6640625" style="67" customWidth="1"/>
    <col min="780" max="780" width="6.5546875" style="67" bestFit="1" customWidth="1"/>
    <col min="781" max="781" width="15.88671875" style="67" bestFit="1" customWidth="1"/>
    <col min="782" max="1020" width="11.44140625" style="67" customWidth="1"/>
    <col min="1021" max="1021" width="7.44140625" style="67" customWidth="1"/>
    <col min="1022" max="1022" width="11.6640625" style="67" bestFit="1" customWidth="1"/>
    <col min="1023" max="1023" width="9.109375" style="67" bestFit="1" customWidth="1"/>
    <col min="1024" max="1024" width="68" style="67" customWidth="1"/>
    <col min="1025" max="1025" width="9.5546875" style="67"/>
    <col min="1026" max="1026" width="7" style="67" customWidth="1"/>
    <col min="1027" max="1027" width="66" style="67" bestFit="1" customWidth="1"/>
    <col min="1028" max="1028" width="11" style="67" bestFit="1" customWidth="1"/>
    <col min="1029" max="1029" width="9" style="67" bestFit="1" customWidth="1"/>
    <col min="1030" max="1030" width="11" style="67" bestFit="1" customWidth="1"/>
    <col min="1031" max="1031" width="7.88671875" style="67" bestFit="1" customWidth="1"/>
    <col min="1032" max="1032" width="13.5546875" style="67" bestFit="1" customWidth="1"/>
    <col min="1033" max="1033" width="10.44140625" style="67" customWidth="1"/>
    <col min="1034" max="1034" width="13.109375" style="67" bestFit="1" customWidth="1"/>
    <col min="1035" max="1035" width="9.6640625" style="67" customWidth="1"/>
    <col min="1036" max="1036" width="6.5546875" style="67" bestFit="1" customWidth="1"/>
    <col min="1037" max="1037" width="15.88671875" style="67" bestFit="1" customWidth="1"/>
    <col min="1038" max="1276" width="11.44140625" style="67" customWidth="1"/>
    <col min="1277" max="1277" width="7.44140625" style="67" customWidth="1"/>
    <col min="1278" max="1278" width="11.6640625" style="67" bestFit="1" customWidth="1"/>
    <col min="1279" max="1279" width="9.109375" style="67" bestFit="1" customWidth="1"/>
    <col min="1280" max="1280" width="68" style="67" customWidth="1"/>
    <col min="1281" max="1281" width="9.5546875" style="67"/>
    <col min="1282" max="1282" width="7" style="67" customWidth="1"/>
    <col min="1283" max="1283" width="66" style="67" bestFit="1" customWidth="1"/>
    <col min="1284" max="1284" width="11" style="67" bestFit="1" customWidth="1"/>
    <col min="1285" max="1285" width="9" style="67" bestFit="1" customWidth="1"/>
    <col min="1286" max="1286" width="11" style="67" bestFit="1" customWidth="1"/>
    <col min="1287" max="1287" width="7.88671875" style="67" bestFit="1" customWidth="1"/>
    <col min="1288" max="1288" width="13.5546875" style="67" bestFit="1" customWidth="1"/>
    <col min="1289" max="1289" width="10.44140625" style="67" customWidth="1"/>
    <col min="1290" max="1290" width="13.109375" style="67" bestFit="1" customWidth="1"/>
    <col min="1291" max="1291" width="9.6640625" style="67" customWidth="1"/>
    <col min="1292" max="1292" width="6.5546875" style="67" bestFit="1" customWidth="1"/>
    <col min="1293" max="1293" width="15.88671875" style="67" bestFit="1" customWidth="1"/>
    <col min="1294" max="1532" width="11.44140625" style="67" customWidth="1"/>
    <col min="1533" max="1533" width="7.44140625" style="67" customWidth="1"/>
    <col min="1534" max="1534" width="11.6640625" style="67" bestFit="1" customWidth="1"/>
    <col min="1535" max="1535" width="9.109375" style="67" bestFit="1" customWidth="1"/>
    <col min="1536" max="1536" width="68" style="67" customWidth="1"/>
    <col min="1537" max="1537" width="9.5546875" style="67"/>
    <col min="1538" max="1538" width="7" style="67" customWidth="1"/>
    <col min="1539" max="1539" width="66" style="67" bestFit="1" customWidth="1"/>
    <col min="1540" max="1540" width="11" style="67" bestFit="1" customWidth="1"/>
    <col min="1541" max="1541" width="9" style="67" bestFit="1" customWidth="1"/>
    <col min="1542" max="1542" width="11" style="67" bestFit="1" customWidth="1"/>
    <col min="1543" max="1543" width="7.88671875" style="67" bestFit="1" customWidth="1"/>
    <col min="1544" max="1544" width="13.5546875" style="67" bestFit="1" customWidth="1"/>
    <col min="1545" max="1545" width="10.44140625" style="67" customWidth="1"/>
    <col min="1546" max="1546" width="13.109375" style="67" bestFit="1" customWidth="1"/>
    <col min="1547" max="1547" width="9.6640625" style="67" customWidth="1"/>
    <col min="1548" max="1548" width="6.5546875" style="67" bestFit="1" customWidth="1"/>
    <col min="1549" max="1549" width="15.88671875" style="67" bestFit="1" customWidth="1"/>
    <col min="1550" max="1788" width="11.44140625" style="67" customWidth="1"/>
    <col min="1789" max="1789" width="7.44140625" style="67" customWidth="1"/>
    <col min="1790" max="1790" width="11.6640625" style="67" bestFit="1" customWidth="1"/>
    <col min="1791" max="1791" width="9.109375" style="67" bestFit="1" customWidth="1"/>
    <col min="1792" max="1792" width="68" style="67" customWidth="1"/>
    <col min="1793" max="1793" width="9.5546875" style="67"/>
    <col min="1794" max="1794" width="7" style="67" customWidth="1"/>
    <col min="1795" max="1795" width="66" style="67" bestFit="1" customWidth="1"/>
    <col min="1796" max="1796" width="11" style="67" bestFit="1" customWidth="1"/>
    <col min="1797" max="1797" width="9" style="67" bestFit="1" customWidth="1"/>
    <col min="1798" max="1798" width="11" style="67" bestFit="1" customWidth="1"/>
    <col min="1799" max="1799" width="7.88671875" style="67" bestFit="1" customWidth="1"/>
    <col min="1800" max="1800" width="13.5546875" style="67" bestFit="1" customWidth="1"/>
    <col min="1801" max="1801" width="10.44140625" style="67" customWidth="1"/>
    <col min="1802" max="1802" width="13.109375" style="67" bestFit="1" customWidth="1"/>
    <col min="1803" max="1803" width="9.6640625" style="67" customWidth="1"/>
    <col min="1804" max="1804" width="6.5546875" style="67" bestFit="1" customWidth="1"/>
    <col min="1805" max="1805" width="15.88671875" style="67" bestFit="1" customWidth="1"/>
    <col min="1806" max="2044" width="11.44140625" style="67" customWidth="1"/>
    <col min="2045" max="2045" width="7.44140625" style="67" customWidth="1"/>
    <col min="2046" max="2046" width="11.6640625" style="67" bestFit="1" customWidth="1"/>
    <col min="2047" max="2047" width="9.109375" style="67" bestFit="1" customWidth="1"/>
    <col min="2048" max="2048" width="68" style="67" customWidth="1"/>
    <col min="2049" max="2049" width="9.5546875" style="67"/>
    <col min="2050" max="2050" width="7" style="67" customWidth="1"/>
    <col min="2051" max="2051" width="66" style="67" bestFit="1" customWidth="1"/>
    <col min="2052" max="2052" width="11" style="67" bestFit="1" customWidth="1"/>
    <col min="2053" max="2053" width="9" style="67" bestFit="1" customWidth="1"/>
    <col min="2054" max="2054" width="11" style="67" bestFit="1" customWidth="1"/>
    <col min="2055" max="2055" width="7.88671875" style="67" bestFit="1" customWidth="1"/>
    <col min="2056" max="2056" width="13.5546875" style="67" bestFit="1" customWidth="1"/>
    <col min="2057" max="2057" width="10.44140625" style="67" customWidth="1"/>
    <col min="2058" max="2058" width="13.109375" style="67" bestFit="1" customWidth="1"/>
    <col min="2059" max="2059" width="9.6640625" style="67" customWidth="1"/>
    <col min="2060" max="2060" width="6.5546875" style="67" bestFit="1" customWidth="1"/>
    <col min="2061" max="2061" width="15.88671875" style="67" bestFit="1" customWidth="1"/>
    <col min="2062" max="2300" width="11.44140625" style="67" customWidth="1"/>
    <col min="2301" max="2301" width="7.44140625" style="67" customWidth="1"/>
    <col min="2302" max="2302" width="11.6640625" style="67" bestFit="1" customWidth="1"/>
    <col min="2303" max="2303" width="9.109375" style="67" bestFit="1" customWidth="1"/>
    <col min="2304" max="2304" width="68" style="67" customWidth="1"/>
    <col min="2305" max="2305" width="9.5546875" style="67"/>
    <col min="2306" max="2306" width="7" style="67" customWidth="1"/>
    <col min="2307" max="2307" width="66" style="67" bestFit="1" customWidth="1"/>
    <col min="2308" max="2308" width="11" style="67" bestFit="1" customWidth="1"/>
    <col min="2309" max="2309" width="9" style="67" bestFit="1" customWidth="1"/>
    <col min="2310" max="2310" width="11" style="67" bestFit="1" customWidth="1"/>
    <col min="2311" max="2311" width="7.88671875" style="67" bestFit="1" customWidth="1"/>
    <col min="2312" max="2312" width="13.5546875" style="67" bestFit="1" customWidth="1"/>
    <col min="2313" max="2313" width="10.44140625" style="67" customWidth="1"/>
    <col min="2314" max="2314" width="13.109375" style="67" bestFit="1" customWidth="1"/>
    <col min="2315" max="2315" width="9.6640625" style="67" customWidth="1"/>
    <col min="2316" max="2316" width="6.5546875" style="67" bestFit="1" customWidth="1"/>
    <col min="2317" max="2317" width="15.88671875" style="67" bestFit="1" customWidth="1"/>
    <col min="2318" max="2556" width="11.44140625" style="67" customWidth="1"/>
    <col min="2557" max="2557" width="7.44140625" style="67" customWidth="1"/>
    <col min="2558" max="2558" width="11.6640625" style="67" bestFit="1" customWidth="1"/>
    <col min="2559" max="2559" width="9.109375" style="67" bestFit="1" customWidth="1"/>
    <col min="2560" max="2560" width="68" style="67" customWidth="1"/>
    <col min="2561" max="2561" width="9.5546875" style="67"/>
    <col min="2562" max="2562" width="7" style="67" customWidth="1"/>
    <col min="2563" max="2563" width="66" style="67" bestFit="1" customWidth="1"/>
    <col min="2564" max="2564" width="11" style="67" bestFit="1" customWidth="1"/>
    <col min="2565" max="2565" width="9" style="67" bestFit="1" customWidth="1"/>
    <col min="2566" max="2566" width="11" style="67" bestFit="1" customWidth="1"/>
    <col min="2567" max="2567" width="7.88671875" style="67" bestFit="1" customWidth="1"/>
    <col min="2568" max="2568" width="13.5546875" style="67" bestFit="1" customWidth="1"/>
    <col min="2569" max="2569" width="10.44140625" style="67" customWidth="1"/>
    <col min="2570" max="2570" width="13.109375" style="67" bestFit="1" customWidth="1"/>
    <col min="2571" max="2571" width="9.6640625" style="67" customWidth="1"/>
    <col min="2572" max="2572" width="6.5546875" style="67" bestFit="1" customWidth="1"/>
    <col min="2573" max="2573" width="15.88671875" style="67" bestFit="1" customWidth="1"/>
    <col min="2574" max="2812" width="11.44140625" style="67" customWidth="1"/>
    <col min="2813" max="2813" width="7.44140625" style="67" customWidth="1"/>
    <col min="2814" max="2814" width="11.6640625" style="67" bestFit="1" customWidth="1"/>
    <col min="2815" max="2815" width="9.109375" style="67" bestFit="1" customWidth="1"/>
    <col min="2816" max="2816" width="68" style="67" customWidth="1"/>
    <col min="2817" max="2817" width="9.5546875" style="67"/>
    <col min="2818" max="2818" width="7" style="67" customWidth="1"/>
    <col min="2819" max="2819" width="66" style="67" bestFit="1" customWidth="1"/>
    <col min="2820" max="2820" width="11" style="67" bestFit="1" customWidth="1"/>
    <col min="2821" max="2821" width="9" style="67" bestFit="1" customWidth="1"/>
    <col min="2822" max="2822" width="11" style="67" bestFit="1" customWidth="1"/>
    <col min="2823" max="2823" width="7.88671875" style="67" bestFit="1" customWidth="1"/>
    <col min="2824" max="2824" width="13.5546875" style="67" bestFit="1" customWidth="1"/>
    <col min="2825" max="2825" width="10.44140625" style="67" customWidth="1"/>
    <col min="2826" max="2826" width="13.109375" style="67" bestFit="1" customWidth="1"/>
    <col min="2827" max="2827" width="9.6640625" style="67" customWidth="1"/>
    <col min="2828" max="2828" width="6.5546875" style="67" bestFit="1" customWidth="1"/>
    <col min="2829" max="2829" width="15.88671875" style="67" bestFit="1" customWidth="1"/>
    <col min="2830" max="3068" width="11.44140625" style="67" customWidth="1"/>
    <col min="3069" max="3069" width="7.44140625" style="67" customWidth="1"/>
    <col min="3070" max="3070" width="11.6640625" style="67" bestFit="1" customWidth="1"/>
    <col min="3071" max="3071" width="9.109375" style="67" bestFit="1" customWidth="1"/>
    <col min="3072" max="3072" width="68" style="67" customWidth="1"/>
    <col min="3073" max="3073" width="9.5546875" style="67"/>
    <col min="3074" max="3074" width="7" style="67" customWidth="1"/>
    <col min="3075" max="3075" width="66" style="67" bestFit="1" customWidth="1"/>
    <col min="3076" max="3076" width="11" style="67" bestFit="1" customWidth="1"/>
    <col min="3077" max="3077" width="9" style="67" bestFit="1" customWidth="1"/>
    <col min="3078" max="3078" width="11" style="67" bestFit="1" customWidth="1"/>
    <col min="3079" max="3079" width="7.88671875" style="67" bestFit="1" customWidth="1"/>
    <col min="3080" max="3080" width="13.5546875" style="67" bestFit="1" customWidth="1"/>
    <col min="3081" max="3081" width="10.44140625" style="67" customWidth="1"/>
    <col min="3082" max="3082" width="13.109375" style="67" bestFit="1" customWidth="1"/>
    <col min="3083" max="3083" width="9.6640625" style="67" customWidth="1"/>
    <col min="3084" max="3084" width="6.5546875" style="67" bestFit="1" customWidth="1"/>
    <col min="3085" max="3085" width="15.88671875" style="67" bestFit="1" customWidth="1"/>
    <col min="3086" max="3324" width="11.44140625" style="67" customWidth="1"/>
    <col min="3325" max="3325" width="7.44140625" style="67" customWidth="1"/>
    <col min="3326" max="3326" width="11.6640625" style="67" bestFit="1" customWidth="1"/>
    <col min="3327" max="3327" width="9.109375" style="67" bestFit="1" customWidth="1"/>
    <col min="3328" max="3328" width="68" style="67" customWidth="1"/>
    <col min="3329" max="3329" width="9.5546875" style="67"/>
    <col min="3330" max="3330" width="7" style="67" customWidth="1"/>
    <col min="3331" max="3331" width="66" style="67" bestFit="1" customWidth="1"/>
    <col min="3332" max="3332" width="11" style="67" bestFit="1" customWidth="1"/>
    <col min="3333" max="3333" width="9" style="67" bestFit="1" customWidth="1"/>
    <col min="3334" max="3334" width="11" style="67" bestFit="1" customWidth="1"/>
    <col min="3335" max="3335" width="7.88671875" style="67" bestFit="1" customWidth="1"/>
    <col min="3336" max="3336" width="13.5546875" style="67" bestFit="1" customWidth="1"/>
    <col min="3337" max="3337" width="10.44140625" style="67" customWidth="1"/>
    <col min="3338" max="3338" width="13.109375" style="67" bestFit="1" customWidth="1"/>
    <col min="3339" max="3339" width="9.6640625" style="67" customWidth="1"/>
    <col min="3340" max="3340" width="6.5546875" style="67" bestFit="1" customWidth="1"/>
    <col min="3341" max="3341" width="15.88671875" style="67" bestFit="1" customWidth="1"/>
    <col min="3342" max="3580" width="11.44140625" style="67" customWidth="1"/>
    <col min="3581" max="3581" width="7.44140625" style="67" customWidth="1"/>
    <col min="3582" max="3582" width="11.6640625" style="67" bestFit="1" customWidth="1"/>
    <col min="3583" max="3583" width="9.109375" style="67" bestFit="1" customWidth="1"/>
    <col min="3584" max="3584" width="68" style="67" customWidth="1"/>
    <col min="3585" max="3585" width="9.5546875" style="67"/>
    <col min="3586" max="3586" width="7" style="67" customWidth="1"/>
    <col min="3587" max="3587" width="66" style="67" bestFit="1" customWidth="1"/>
    <col min="3588" max="3588" width="11" style="67" bestFit="1" customWidth="1"/>
    <col min="3589" max="3589" width="9" style="67" bestFit="1" customWidth="1"/>
    <col min="3590" max="3590" width="11" style="67" bestFit="1" customWidth="1"/>
    <col min="3591" max="3591" width="7.88671875" style="67" bestFit="1" customWidth="1"/>
    <col min="3592" max="3592" width="13.5546875" style="67" bestFit="1" customWidth="1"/>
    <col min="3593" max="3593" width="10.44140625" style="67" customWidth="1"/>
    <col min="3594" max="3594" width="13.109375" style="67" bestFit="1" customWidth="1"/>
    <col min="3595" max="3595" width="9.6640625" style="67" customWidth="1"/>
    <col min="3596" max="3596" width="6.5546875" style="67" bestFit="1" customWidth="1"/>
    <col min="3597" max="3597" width="15.88671875" style="67" bestFit="1" customWidth="1"/>
    <col min="3598" max="3836" width="11.44140625" style="67" customWidth="1"/>
    <col min="3837" max="3837" width="7.44140625" style="67" customWidth="1"/>
    <col min="3838" max="3838" width="11.6640625" style="67" bestFit="1" customWidth="1"/>
    <col min="3839" max="3839" width="9.109375" style="67" bestFit="1" customWidth="1"/>
    <col min="3840" max="3840" width="68" style="67" customWidth="1"/>
    <col min="3841" max="3841" width="9.5546875" style="67"/>
    <col min="3842" max="3842" width="7" style="67" customWidth="1"/>
    <col min="3843" max="3843" width="66" style="67" bestFit="1" customWidth="1"/>
    <col min="3844" max="3844" width="11" style="67" bestFit="1" customWidth="1"/>
    <col min="3845" max="3845" width="9" style="67" bestFit="1" customWidth="1"/>
    <col min="3846" max="3846" width="11" style="67" bestFit="1" customWidth="1"/>
    <col min="3847" max="3847" width="7.88671875" style="67" bestFit="1" customWidth="1"/>
    <col min="3848" max="3848" width="13.5546875" style="67" bestFit="1" customWidth="1"/>
    <col min="3849" max="3849" width="10.44140625" style="67" customWidth="1"/>
    <col min="3850" max="3850" width="13.109375" style="67" bestFit="1" customWidth="1"/>
    <col min="3851" max="3851" width="9.6640625" style="67" customWidth="1"/>
    <col min="3852" max="3852" width="6.5546875" style="67" bestFit="1" customWidth="1"/>
    <col min="3853" max="3853" width="15.88671875" style="67" bestFit="1" customWidth="1"/>
    <col min="3854" max="4092" width="11.44140625" style="67" customWidth="1"/>
    <col min="4093" max="4093" width="7.44140625" style="67" customWidth="1"/>
    <col min="4094" max="4094" width="11.6640625" style="67" bestFit="1" customWidth="1"/>
    <col min="4095" max="4095" width="9.109375" style="67" bestFit="1" customWidth="1"/>
    <col min="4096" max="4096" width="68" style="67" customWidth="1"/>
    <col min="4097" max="4097" width="9.5546875" style="67"/>
    <col min="4098" max="4098" width="7" style="67" customWidth="1"/>
    <col min="4099" max="4099" width="66" style="67" bestFit="1" customWidth="1"/>
    <col min="4100" max="4100" width="11" style="67" bestFit="1" customWidth="1"/>
    <col min="4101" max="4101" width="9" style="67" bestFit="1" customWidth="1"/>
    <col min="4102" max="4102" width="11" style="67" bestFit="1" customWidth="1"/>
    <col min="4103" max="4103" width="7.88671875" style="67" bestFit="1" customWidth="1"/>
    <col min="4104" max="4104" width="13.5546875" style="67" bestFit="1" customWidth="1"/>
    <col min="4105" max="4105" width="10.44140625" style="67" customWidth="1"/>
    <col min="4106" max="4106" width="13.109375" style="67" bestFit="1" customWidth="1"/>
    <col min="4107" max="4107" width="9.6640625" style="67" customWidth="1"/>
    <col min="4108" max="4108" width="6.5546875" style="67" bestFit="1" customWidth="1"/>
    <col min="4109" max="4109" width="15.88671875" style="67" bestFit="1" customWidth="1"/>
    <col min="4110" max="4348" width="11.44140625" style="67" customWidth="1"/>
    <col min="4349" max="4349" width="7.44140625" style="67" customWidth="1"/>
    <col min="4350" max="4350" width="11.6640625" style="67" bestFit="1" customWidth="1"/>
    <col min="4351" max="4351" width="9.109375" style="67" bestFit="1" customWidth="1"/>
    <col min="4352" max="4352" width="68" style="67" customWidth="1"/>
    <col min="4353" max="4353" width="9.5546875" style="67"/>
    <col min="4354" max="4354" width="7" style="67" customWidth="1"/>
    <col min="4355" max="4355" width="66" style="67" bestFit="1" customWidth="1"/>
    <col min="4356" max="4356" width="11" style="67" bestFit="1" customWidth="1"/>
    <col min="4357" max="4357" width="9" style="67" bestFit="1" customWidth="1"/>
    <col min="4358" max="4358" width="11" style="67" bestFit="1" customWidth="1"/>
    <col min="4359" max="4359" width="7.88671875" style="67" bestFit="1" customWidth="1"/>
    <col min="4360" max="4360" width="13.5546875" style="67" bestFit="1" customWidth="1"/>
    <col min="4361" max="4361" width="10.44140625" style="67" customWidth="1"/>
    <col min="4362" max="4362" width="13.109375" style="67" bestFit="1" customWidth="1"/>
    <col min="4363" max="4363" width="9.6640625" style="67" customWidth="1"/>
    <col min="4364" max="4364" width="6.5546875" style="67" bestFit="1" customWidth="1"/>
    <col min="4365" max="4365" width="15.88671875" style="67" bestFit="1" customWidth="1"/>
    <col min="4366" max="4604" width="11.44140625" style="67" customWidth="1"/>
    <col min="4605" max="4605" width="7.44140625" style="67" customWidth="1"/>
    <col min="4606" max="4606" width="11.6640625" style="67" bestFit="1" customWidth="1"/>
    <col min="4607" max="4607" width="9.109375" style="67" bestFit="1" customWidth="1"/>
    <col min="4608" max="4608" width="68" style="67" customWidth="1"/>
    <col min="4609" max="4609" width="9.5546875" style="67"/>
    <col min="4610" max="4610" width="7" style="67" customWidth="1"/>
    <col min="4611" max="4611" width="66" style="67" bestFit="1" customWidth="1"/>
    <col min="4612" max="4612" width="11" style="67" bestFit="1" customWidth="1"/>
    <col min="4613" max="4613" width="9" style="67" bestFit="1" customWidth="1"/>
    <col min="4614" max="4614" width="11" style="67" bestFit="1" customWidth="1"/>
    <col min="4615" max="4615" width="7.88671875" style="67" bestFit="1" customWidth="1"/>
    <col min="4616" max="4616" width="13.5546875" style="67" bestFit="1" customWidth="1"/>
    <col min="4617" max="4617" width="10.44140625" style="67" customWidth="1"/>
    <col min="4618" max="4618" width="13.109375" style="67" bestFit="1" customWidth="1"/>
    <col min="4619" max="4619" width="9.6640625" style="67" customWidth="1"/>
    <col min="4620" max="4620" width="6.5546875" style="67" bestFit="1" customWidth="1"/>
    <col min="4621" max="4621" width="15.88671875" style="67" bestFit="1" customWidth="1"/>
    <col min="4622" max="4860" width="11.44140625" style="67" customWidth="1"/>
    <col min="4861" max="4861" width="7.44140625" style="67" customWidth="1"/>
    <col min="4862" max="4862" width="11.6640625" style="67" bestFit="1" customWidth="1"/>
    <col min="4863" max="4863" width="9.109375" style="67" bestFit="1" customWidth="1"/>
    <col min="4864" max="4864" width="68" style="67" customWidth="1"/>
    <col min="4865" max="4865" width="9.5546875" style="67"/>
    <col min="4866" max="4866" width="7" style="67" customWidth="1"/>
    <col min="4867" max="4867" width="66" style="67" bestFit="1" customWidth="1"/>
    <col min="4868" max="4868" width="11" style="67" bestFit="1" customWidth="1"/>
    <col min="4869" max="4869" width="9" style="67" bestFit="1" customWidth="1"/>
    <col min="4870" max="4870" width="11" style="67" bestFit="1" customWidth="1"/>
    <col min="4871" max="4871" width="7.88671875" style="67" bestFit="1" customWidth="1"/>
    <col min="4872" max="4872" width="13.5546875" style="67" bestFit="1" customWidth="1"/>
    <col min="4873" max="4873" width="10.44140625" style="67" customWidth="1"/>
    <col min="4874" max="4874" width="13.109375" style="67" bestFit="1" customWidth="1"/>
    <col min="4875" max="4875" width="9.6640625" style="67" customWidth="1"/>
    <col min="4876" max="4876" width="6.5546875" style="67" bestFit="1" customWidth="1"/>
    <col min="4877" max="4877" width="15.88671875" style="67" bestFit="1" customWidth="1"/>
    <col min="4878" max="5116" width="11.44140625" style="67" customWidth="1"/>
    <col min="5117" max="5117" width="7.44140625" style="67" customWidth="1"/>
    <col min="5118" max="5118" width="11.6640625" style="67" bestFit="1" customWidth="1"/>
    <col min="5119" max="5119" width="9.109375" style="67" bestFit="1" customWidth="1"/>
    <col min="5120" max="5120" width="68" style="67" customWidth="1"/>
    <col min="5121" max="5121" width="9.5546875" style="67"/>
    <col min="5122" max="5122" width="7" style="67" customWidth="1"/>
    <col min="5123" max="5123" width="66" style="67" bestFit="1" customWidth="1"/>
    <col min="5124" max="5124" width="11" style="67" bestFit="1" customWidth="1"/>
    <col min="5125" max="5125" width="9" style="67" bestFit="1" customWidth="1"/>
    <col min="5126" max="5126" width="11" style="67" bestFit="1" customWidth="1"/>
    <col min="5127" max="5127" width="7.88671875" style="67" bestFit="1" customWidth="1"/>
    <col min="5128" max="5128" width="13.5546875" style="67" bestFit="1" customWidth="1"/>
    <col min="5129" max="5129" width="10.44140625" style="67" customWidth="1"/>
    <col min="5130" max="5130" width="13.109375" style="67" bestFit="1" customWidth="1"/>
    <col min="5131" max="5131" width="9.6640625" style="67" customWidth="1"/>
    <col min="5132" max="5132" width="6.5546875" style="67" bestFit="1" customWidth="1"/>
    <col min="5133" max="5133" width="15.88671875" style="67" bestFit="1" customWidth="1"/>
    <col min="5134" max="5372" width="11.44140625" style="67" customWidth="1"/>
    <col min="5373" max="5373" width="7.44140625" style="67" customWidth="1"/>
    <col min="5374" max="5374" width="11.6640625" style="67" bestFit="1" customWidth="1"/>
    <col min="5375" max="5375" width="9.109375" style="67" bestFit="1" customWidth="1"/>
    <col min="5376" max="5376" width="68" style="67" customWidth="1"/>
    <col min="5377" max="5377" width="9.5546875" style="67"/>
    <col min="5378" max="5378" width="7" style="67" customWidth="1"/>
    <col min="5379" max="5379" width="66" style="67" bestFit="1" customWidth="1"/>
    <col min="5380" max="5380" width="11" style="67" bestFit="1" customWidth="1"/>
    <col min="5381" max="5381" width="9" style="67" bestFit="1" customWidth="1"/>
    <col min="5382" max="5382" width="11" style="67" bestFit="1" customWidth="1"/>
    <col min="5383" max="5383" width="7.88671875" style="67" bestFit="1" customWidth="1"/>
    <col min="5384" max="5384" width="13.5546875" style="67" bestFit="1" customWidth="1"/>
    <col min="5385" max="5385" width="10.44140625" style="67" customWidth="1"/>
    <col min="5386" max="5386" width="13.109375" style="67" bestFit="1" customWidth="1"/>
    <col min="5387" max="5387" width="9.6640625" style="67" customWidth="1"/>
    <col min="5388" max="5388" width="6.5546875" style="67" bestFit="1" customWidth="1"/>
    <col min="5389" max="5389" width="15.88671875" style="67" bestFit="1" customWidth="1"/>
    <col min="5390" max="5628" width="11.44140625" style="67" customWidth="1"/>
    <col min="5629" max="5629" width="7.44140625" style="67" customWidth="1"/>
    <col min="5630" max="5630" width="11.6640625" style="67" bestFit="1" customWidth="1"/>
    <col min="5631" max="5631" width="9.109375" style="67" bestFit="1" customWidth="1"/>
    <col min="5632" max="5632" width="68" style="67" customWidth="1"/>
    <col min="5633" max="5633" width="9.5546875" style="67"/>
    <col min="5634" max="5634" width="7" style="67" customWidth="1"/>
    <col min="5635" max="5635" width="66" style="67" bestFit="1" customWidth="1"/>
    <col min="5636" max="5636" width="11" style="67" bestFit="1" customWidth="1"/>
    <col min="5637" max="5637" width="9" style="67" bestFit="1" customWidth="1"/>
    <col min="5638" max="5638" width="11" style="67" bestFit="1" customWidth="1"/>
    <col min="5639" max="5639" width="7.88671875" style="67" bestFit="1" customWidth="1"/>
    <col min="5640" max="5640" width="13.5546875" style="67" bestFit="1" customWidth="1"/>
    <col min="5641" max="5641" width="10.44140625" style="67" customWidth="1"/>
    <col min="5642" max="5642" width="13.109375" style="67" bestFit="1" customWidth="1"/>
    <col min="5643" max="5643" width="9.6640625" style="67" customWidth="1"/>
    <col min="5644" max="5644" width="6.5546875" style="67" bestFit="1" customWidth="1"/>
    <col min="5645" max="5645" width="15.88671875" style="67" bestFit="1" customWidth="1"/>
    <col min="5646" max="5884" width="11.44140625" style="67" customWidth="1"/>
    <col min="5885" max="5885" width="7.44140625" style="67" customWidth="1"/>
    <col min="5886" max="5886" width="11.6640625" style="67" bestFit="1" customWidth="1"/>
    <col min="5887" max="5887" width="9.109375" style="67" bestFit="1" customWidth="1"/>
    <col min="5888" max="5888" width="68" style="67" customWidth="1"/>
    <col min="5889" max="5889" width="9.5546875" style="67"/>
    <col min="5890" max="5890" width="7" style="67" customWidth="1"/>
    <col min="5891" max="5891" width="66" style="67" bestFit="1" customWidth="1"/>
    <col min="5892" max="5892" width="11" style="67" bestFit="1" customWidth="1"/>
    <col min="5893" max="5893" width="9" style="67" bestFit="1" customWidth="1"/>
    <col min="5894" max="5894" width="11" style="67" bestFit="1" customWidth="1"/>
    <col min="5895" max="5895" width="7.88671875" style="67" bestFit="1" customWidth="1"/>
    <col min="5896" max="5896" width="13.5546875" style="67" bestFit="1" customWidth="1"/>
    <col min="5897" max="5897" width="10.44140625" style="67" customWidth="1"/>
    <col min="5898" max="5898" width="13.109375" style="67" bestFit="1" customWidth="1"/>
    <col min="5899" max="5899" width="9.6640625" style="67" customWidth="1"/>
    <col min="5900" max="5900" width="6.5546875" style="67" bestFit="1" customWidth="1"/>
    <col min="5901" max="5901" width="15.88671875" style="67" bestFit="1" customWidth="1"/>
    <col min="5902" max="6140" width="11.44140625" style="67" customWidth="1"/>
    <col min="6141" max="6141" width="7.44140625" style="67" customWidth="1"/>
    <col min="6142" max="6142" width="11.6640625" style="67" bestFit="1" customWidth="1"/>
    <col min="6143" max="6143" width="9.109375" style="67" bestFit="1" customWidth="1"/>
    <col min="6144" max="6144" width="68" style="67" customWidth="1"/>
    <col min="6145" max="6145" width="9.5546875" style="67"/>
    <col min="6146" max="6146" width="7" style="67" customWidth="1"/>
    <col min="6147" max="6147" width="66" style="67" bestFit="1" customWidth="1"/>
    <col min="6148" max="6148" width="11" style="67" bestFit="1" customWidth="1"/>
    <col min="6149" max="6149" width="9" style="67" bestFit="1" customWidth="1"/>
    <col min="6150" max="6150" width="11" style="67" bestFit="1" customWidth="1"/>
    <col min="6151" max="6151" width="7.88671875" style="67" bestFit="1" customWidth="1"/>
    <col min="6152" max="6152" width="13.5546875" style="67" bestFit="1" customWidth="1"/>
    <col min="6153" max="6153" width="10.44140625" style="67" customWidth="1"/>
    <col min="6154" max="6154" width="13.109375" style="67" bestFit="1" customWidth="1"/>
    <col min="6155" max="6155" width="9.6640625" style="67" customWidth="1"/>
    <col min="6156" max="6156" width="6.5546875" style="67" bestFit="1" customWidth="1"/>
    <col min="6157" max="6157" width="15.88671875" style="67" bestFit="1" customWidth="1"/>
    <col min="6158" max="6396" width="11.44140625" style="67" customWidth="1"/>
    <col min="6397" max="6397" width="7.44140625" style="67" customWidth="1"/>
    <col min="6398" max="6398" width="11.6640625" style="67" bestFit="1" customWidth="1"/>
    <col min="6399" max="6399" width="9.109375" style="67" bestFit="1" customWidth="1"/>
    <col min="6400" max="6400" width="68" style="67" customWidth="1"/>
    <col min="6401" max="6401" width="9.5546875" style="67"/>
    <col min="6402" max="6402" width="7" style="67" customWidth="1"/>
    <col min="6403" max="6403" width="66" style="67" bestFit="1" customWidth="1"/>
    <col min="6404" max="6404" width="11" style="67" bestFit="1" customWidth="1"/>
    <col min="6405" max="6405" width="9" style="67" bestFit="1" customWidth="1"/>
    <col min="6406" max="6406" width="11" style="67" bestFit="1" customWidth="1"/>
    <col min="6407" max="6407" width="7.88671875" style="67" bestFit="1" customWidth="1"/>
    <col min="6408" max="6408" width="13.5546875" style="67" bestFit="1" customWidth="1"/>
    <col min="6409" max="6409" width="10.44140625" style="67" customWidth="1"/>
    <col min="6410" max="6410" width="13.109375" style="67" bestFit="1" customWidth="1"/>
    <col min="6411" max="6411" width="9.6640625" style="67" customWidth="1"/>
    <col min="6412" max="6412" width="6.5546875" style="67" bestFit="1" customWidth="1"/>
    <col min="6413" max="6413" width="15.88671875" style="67" bestFit="1" customWidth="1"/>
    <col min="6414" max="6652" width="11.44140625" style="67" customWidth="1"/>
    <col min="6653" max="6653" width="7.44140625" style="67" customWidth="1"/>
    <col min="6654" max="6654" width="11.6640625" style="67" bestFit="1" customWidth="1"/>
    <col min="6655" max="6655" width="9.109375" style="67" bestFit="1" customWidth="1"/>
    <col min="6656" max="6656" width="68" style="67" customWidth="1"/>
    <col min="6657" max="6657" width="9.5546875" style="67"/>
    <col min="6658" max="6658" width="7" style="67" customWidth="1"/>
    <col min="6659" max="6659" width="66" style="67" bestFit="1" customWidth="1"/>
    <col min="6660" max="6660" width="11" style="67" bestFit="1" customWidth="1"/>
    <col min="6661" max="6661" width="9" style="67" bestFit="1" customWidth="1"/>
    <col min="6662" max="6662" width="11" style="67" bestFit="1" customWidth="1"/>
    <col min="6663" max="6663" width="7.88671875" style="67" bestFit="1" customWidth="1"/>
    <col min="6664" max="6664" width="13.5546875" style="67" bestFit="1" customWidth="1"/>
    <col min="6665" max="6665" width="10.44140625" style="67" customWidth="1"/>
    <col min="6666" max="6666" width="13.109375" style="67" bestFit="1" customWidth="1"/>
    <col min="6667" max="6667" width="9.6640625" style="67" customWidth="1"/>
    <col min="6668" max="6668" width="6.5546875" style="67" bestFit="1" customWidth="1"/>
    <col min="6669" max="6669" width="15.88671875" style="67" bestFit="1" customWidth="1"/>
    <col min="6670" max="6908" width="11.44140625" style="67" customWidth="1"/>
    <col min="6909" max="6909" width="7.44140625" style="67" customWidth="1"/>
    <col min="6910" max="6910" width="11.6640625" style="67" bestFit="1" customWidth="1"/>
    <col min="6911" max="6911" width="9.109375" style="67" bestFit="1" customWidth="1"/>
    <col min="6912" max="6912" width="68" style="67" customWidth="1"/>
    <col min="6913" max="6913" width="9.5546875" style="67"/>
    <col min="6914" max="6914" width="7" style="67" customWidth="1"/>
    <col min="6915" max="6915" width="66" style="67" bestFit="1" customWidth="1"/>
    <col min="6916" max="6916" width="11" style="67" bestFit="1" customWidth="1"/>
    <col min="6917" max="6917" width="9" style="67" bestFit="1" customWidth="1"/>
    <col min="6918" max="6918" width="11" style="67" bestFit="1" customWidth="1"/>
    <col min="6919" max="6919" width="7.88671875" style="67" bestFit="1" customWidth="1"/>
    <col min="6920" max="6920" width="13.5546875" style="67" bestFit="1" customWidth="1"/>
    <col min="6921" max="6921" width="10.44140625" style="67" customWidth="1"/>
    <col min="6922" max="6922" width="13.109375" style="67" bestFit="1" customWidth="1"/>
    <col min="6923" max="6923" width="9.6640625" style="67" customWidth="1"/>
    <col min="6924" max="6924" width="6.5546875" style="67" bestFit="1" customWidth="1"/>
    <col min="6925" max="6925" width="15.88671875" style="67" bestFit="1" customWidth="1"/>
    <col min="6926" max="7164" width="11.44140625" style="67" customWidth="1"/>
    <col min="7165" max="7165" width="7.44140625" style="67" customWidth="1"/>
    <col min="7166" max="7166" width="11.6640625" style="67" bestFit="1" customWidth="1"/>
    <col min="7167" max="7167" width="9.109375" style="67" bestFit="1" customWidth="1"/>
    <col min="7168" max="7168" width="68" style="67" customWidth="1"/>
    <col min="7169" max="7169" width="9.5546875" style="67"/>
    <col min="7170" max="7170" width="7" style="67" customWidth="1"/>
    <col min="7171" max="7171" width="66" style="67" bestFit="1" customWidth="1"/>
    <col min="7172" max="7172" width="11" style="67" bestFit="1" customWidth="1"/>
    <col min="7173" max="7173" width="9" style="67" bestFit="1" customWidth="1"/>
    <col min="7174" max="7174" width="11" style="67" bestFit="1" customWidth="1"/>
    <col min="7175" max="7175" width="7.88671875" style="67" bestFit="1" customWidth="1"/>
    <col min="7176" max="7176" width="13.5546875" style="67" bestFit="1" customWidth="1"/>
    <col min="7177" max="7177" width="10.44140625" style="67" customWidth="1"/>
    <col min="7178" max="7178" width="13.109375" style="67" bestFit="1" customWidth="1"/>
    <col min="7179" max="7179" width="9.6640625" style="67" customWidth="1"/>
    <col min="7180" max="7180" width="6.5546875" style="67" bestFit="1" customWidth="1"/>
    <col min="7181" max="7181" width="15.88671875" style="67" bestFit="1" customWidth="1"/>
    <col min="7182" max="7420" width="11.44140625" style="67" customWidth="1"/>
    <col min="7421" max="7421" width="7.44140625" style="67" customWidth="1"/>
    <col min="7422" max="7422" width="11.6640625" style="67" bestFit="1" customWidth="1"/>
    <col min="7423" max="7423" width="9.109375" style="67" bestFit="1" customWidth="1"/>
    <col min="7424" max="7424" width="68" style="67" customWidth="1"/>
    <col min="7425" max="7425" width="9.5546875" style="67"/>
    <col min="7426" max="7426" width="7" style="67" customWidth="1"/>
    <col min="7427" max="7427" width="66" style="67" bestFit="1" customWidth="1"/>
    <col min="7428" max="7428" width="11" style="67" bestFit="1" customWidth="1"/>
    <col min="7429" max="7429" width="9" style="67" bestFit="1" customWidth="1"/>
    <col min="7430" max="7430" width="11" style="67" bestFit="1" customWidth="1"/>
    <col min="7431" max="7431" width="7.88671875" style="67" bestFit="1" customWidth="1"/>
    <col min="7432" max="7432" width="13.5546875" style="67" bestFit="1" customWidth="1"/>
    <col min="7433" max="7433" width="10.44140625" style="67" customWidth="1"/>
    <col min="7434" max="7434" width="13.109375" style="67" bestFit="1" customWidth="1"/>
    <col min="7435" max="7435" width="9.6640625" style="67" customWidth="1"/>
    <col min="7436" max="7436" width="6.5546875" style="67" bestFit="1" customWidth="1"/>
    <col min="7437" max="7437" width="15.88671875" style="67" bestFit="1" customWidth="1"/>
    <col min="7438" max="7676" width="11.44140625" style="67" customWidth="1"/>
    <col min="7677" max="7677" width="7.44140625" style="67" customWidth="1"/>
    <col min="7678" max="7678" width="11.6640625" style="67" bestFit="1" customWidth="1"/>
    <col min="7679" max="7679" width="9.109375" style="67" bestFit="1" customWidth="1"/>
    <col min="7680" max="7680" width="68" style="67" customWidth="1"/>
    <col min="7681" max="7681" width="9.5546875" style="67"/>
    <col min="7682" max="7682" width="7" style="67" customWidth="1"/>
    <col min="7683" max="7683" width="66" style="67" bestFit="1" customWidth="1"/>
    <col min="7684" max="7684" width="11" style="67" bestFit="1" customWidth="1"/>
    <col min="7685" max="7685" width="9" style="67" bestFit="1" customWidth="1"/>
    <col min="7686" max="7686" width="11" style="67" bestFit="1" customWidth="1"/>
    <col min="7687" max="7687" width="7.88671875" style="67" bestFit="1" customWidth="1"/>
    <col min="7688" max="7688" width="13.5546875" style="67" bestFit="1" customWidth="1"/>
    <col min="7689" max="7689" width="10.44140625" style="67" customWidth="1"/>
    <col min="7690" max="7690" width="13.109375" style="67" bestFit="1" customWidth="1"/>
    <col min="7691" max="7691" width="9.6640625" style="67" customWidth="1"/>
    <col min="7692" max="7692" width="6.5546875" style="67" bestFit="1" customWidth="1"/>
    <col min="7693" max="7693" width="15.88671875" style="67" bestFit="1" customWidth="1"/>
    <col min="7694" max="7932" width="11.44140625" style="67" customWidth="1"/>
    <col min="7933" max="7933" width="7.44140625" style="67" customWidth="1"/>
    <col min="7934" max="7934" width="11.6640625" style="67" bestFit="1" customWidth="1"/>
    <col min="7935" max="7935" width="9.109375" style="67" bestFit="1" customWidth="1"/>
    <col min="7936" max="7936" width="68" style="67" customWidth="1"/>
    <col min="7937" max="7937" width="9.5546875" style="67"/>
    <col min="7938" max="7938" width="7" style="67" customWidth="1"/>
    <col min="7939" max="7939" width="66" style="67" bestFit="1" customWidth="1"/>
    <col min="7940" max="7940" width="11" style="67" bestFit="1" customWidth="1"/>
    <col min="7941" max="7941" width="9" style="67" bestFit="1" customWidth="1"/>
    <col min="7942" max="7942" width="11" style="67" bestFit="1" customWidth="1"/>
    <col min="7943" max="7943" width="7.88671875" style="67" bestFit="1" customWidth="1"/>
    <col min="7944" max="7944" width="13.5546875" style="67" bestFit="1" customWidth="1"/>
    <col min="7945" max="7945" width="10.44140625" style="67" customWidth="1"/>
    <col min="7946" max="7946" width="13.109375" style="67" bestFit="1" customWidth="1"/>
    <col min="7947" max="7947" width="9.6640625" style="67" customWidth="1"/>
    <col min="7948" max="7948" width="6.5546875" style="67" bestFit="1" customWidth="1"/>
    <col min="7949" max="7949" width="15.88671875" style="67" bestFit="1" customWidth="1"/>
    <col min="7950" max="8188" width="11.44140625" style="67" customWidth="1"/>
    <col min="8189" max="8189" width="7.44140625" style="67" customWidth="1"/>
    <col min="8190" max="8190" width="11.6640625" style="67" bestFit="1" customWidth="1"/>
    <col min="8191" max="8191" width="9.109375" style="67" bestFit="1" customWidth="1"/>
    <col min="8192" max="8192" width="68" style="67" customWidth="1"/>
    <col min="8193" max="8193" width="9.5546875" style="67"/>
    <col min="8194" max="8194" width="7" style="67" customWidth="1"/>
    <col min="8195" max="8195" width="66" style="67" bestFit="1" customWidth="1"/>
    <col min="8196" max="8196" width="11" style="67" bestFit="1" customWidth="1"/>
    <col min="8197" max="8197" width="9" style="67" bestFit="1" customWidth="1"/>
    <col min="8198" max="8198" width="11" style="67" bestFit="1" customWidth="1"/>
    <col min="8199" max="8199" width="7.88671875" style="67" bestFit="1" customWidth="1"/>
    <col min="8200" max="8200" width="13.5546875" style="67" bestFit="1" customWidth="1"/>
    <col min="8201" max="8201" width="10.44140625" style="67" customWidth="1"/>
    <col min="8202" max="8202" width="13.109375" style="67" bestFit="1" customWidth="1"/>
    <col min="8203" max="8203" width="9.6640625" style="67" customWidth="1"/>
    <col min="8204" max="8204" width="6.5546875" style="67" bestFit="1" customWidth="1"/>
    <col min="8205" max="8205" width="15.88671875" style="67" bestFit="1" customWidth="1"/>
    <col min="8206" max="8444" width="11.44140625" style="67" customWidth="1"/>
    <col min="8445" max="8445" width="7.44140625" style="67" customWidth="1"/>
    <col min="8446" max="8446" width="11.6640625" style="67" bestFit="1" customWidth="1"/>
    <col min="8447" max="8447" width="9.109375" style="67" bestFit="1" customWidth="1"/>
    <col min="8448" max="8448" width="68" style="67" customWidth="1"/>
    <col min="8449" max="8449" width="9.5546875" style="67"/>
    <col min="8450" max="8450" width="7" style="67" customWidth="1"/>
    <col min="8451" max="8451" width="66" style="67" bestFit="1" customWidth="1"/>
    <col min="8452" max="8452" width="11" style="67" bestFit="1" customWidth="1"/>
    <col min="8453" max="8453" width="9" style="67" bestFit="1" customWidth="1"/>
    <col min="8454" max="8454" width="11" style="67" bestFit="1" customWidth="1"/>
    <col min="8455" max="8455" width="7.88671875" style="67" bestFit="1" customWidth="1"/>
    <col min="8456" max="8456" width="13.5546875" style="67" bestFit="1" customWidth="1"/>
    <col min="8457" max="8457" width="10.44140625" style="67" customWidth="1"/>
    <col min="8458" max="8458" width="13.109375" style="67" bestFit="1" customWidth="1"/>
    <col min="8459" max="8459" width="9.6640625" style="67" customWidth="1"/>
    <col min="8460" max="8460" width="6.5546875" style="67" bestFit="1" customWidth="1"/>
    <col min="8461" max="8461" width="15.88671875" style="67" bestFit="1" customWidth="1"/>
    <col min="8462" max="8700" width="11.44140625" style="67" customWidth="1"/>
    <col min="8701" max="8701" width="7.44140625" style="67" customWidth="1"/>
    <col min="8702" max="8702" width="11.6640625" style="67" bestFit="1" customWidth="1"/>
    <col min="8703" max="8703" width="9.109375" style="67" bestFit="1" customWidth="1"/>
    <col min="8704" max="8704" width="68" style="67" customWidth="1"/>
    <col min="8705" max="8705" width="9.5546875" style="67"/>
    <col min="8706" max="8706" width="7" style="67" customWidth="1"/>
    <col min="8707" max="8707" width="66" style="67" bestFit="1" customWidth="1"/>
    <col min="8708" max="8708" width="11" style="67" bestFit="1" customWidth="1"/>
    <col min="8709" max="8709" width="9" style="67" bestFit="1" customWidth="1"/>
    <col min="8710" max="8710" width="11" style="67" bestFit="1" customWidth="1"/>
    <col min="8711" max="8711" width="7.88671875" style="67" bestFit="1" customWidth="1"/>
    <col min="8712" max="8712" width="13.5546875" style="67" bestFit="1" customWidth="1"/>
    <col min="8713" max="8713" width="10.44140625" style="67" customWidth="1"/>
    <col min="8714" max="8714" width="13.109375" style="67" bestFit="1" customWidth="1"/>
    <col min="8715" max="8715" width="9.6640625" style="67" customWidth="1"/>
    <col min="8716" max="8716" width="6.5546875" style="67" bestFit="1" customWidth="1"/>
    <col min="8717" max="8717" width="15.88671875" style="67" bestFit="1" customWidth="1"/>
    <col min="8718" max="8956" width="11.44140625" style="67" customWidth="1"/>
    <col min="8957" max="8957" width="7.44140625" style="67" customWidth="1"/>
    <col min="8958" max="8958" width="11.6640625" style="67" bestFit="1" customWidth="1"/>
    <col min="8959" max="8959" width="9.109375" style="67" bestFit="1" customWidth="1"/>
    <col min="8960" max="8960" width="68" style="67" customWidth="1"/>
    <col min="8961" max="8961" width="9.5546875" style="67"/>
    <col min="8962" max="8962" width="7" style="67" customWidth="1"/>
    <col min="8963" max="8963" width="66" style="67" bestFit="1" customWidth="1"/>
    <col min="8964" max="8964" width="11" style="67" bestFit="1" customWidth="1"/>
    <col min="8965" max="8965" width="9" style="67" bestFit="1" customWidth="1"/>
    <col min="8966" max="8966" width="11" style="67" bestFit="1" customWidth="1"/>
    <col min="8967" max="8967" width="7.88671875" style="67" bestFit="1" customWidth="1"/>
    <col min="8968" max="8968" width="13.5546875" style="67" bestFit="1" customWidth="1"/>
    <col min="8969" max="8969" width="10.44140625" style="67" customWidth="1"/>
    <col min="8970" max="8970" width="13.109375" style="67" bestFit="1" customWidth="1"/>
    <col min="8971" max="8971" width="9.6640625" style="67" customWidth="1"/>
    <col min="8972" max="8972" width="6.5546875" style="67" bestFit="1" customWidth="1"/>
    <col min="8973" max="8973" width="15.88671875" style="67" bestFit="1" customWidth="1"/>
    <col min="8974" max="9212" width="11.44140625" style="67" customWidth="1"/>
    <col min="9213" max="9213" width="7.44140625" style="67" customWidth="1"/>
    <col min="9214" max="9214" width="11.6640625" style="67" bestFit="1" customWidth="1"/>
    <col min="9215" max="9215" width="9.109375" style="67" bestFit="1" customWidth="1"/>
    <col min="9216" max="9216" width="68" style="67" customWidth="1"/>
    <col min="9217" max="9217" width="9.5546875" style="67"/>
    <col min="9218" max="9218" width="7" style="67" customWidth="1"/>
    <col min="9219" max="9219" width="66" style="67" bestFit="1" customWidth="1"/>
    <col min="9220" max="9220" width="11" style="67" bestFit="1" customWidth="1"/>
    <col min="9221" max="9221" width="9" style="67" bestFit="1" customWidth="1"/>
    <col min="9222" max="9222" width="11" style="67" bestFit="1" customWidth="1"/>
    <col min="9223" max="9223" width="7.88671875" style="67" bestFit="1" customWidth="1"/>
    <col min="9224" max="9224" width="13.5546875" style="67" bestFit="1" customWidth="1"/>
    <col min="9225" max="9225" width="10.44140625" style="67" customWidth="1"/>
    <col min="9226" max="9226" width="13.109375" style="67" bestFit="1" customWidth="1"/>
    <col min="9227" max="9227" width="9.6640625" style="67" customWidth="1"/>
    <col min="9228" max="9228" width="6.5546875" style="67" bestFit="1" customWidth="1"/>
    <col min="9229" max="9229" width="15.88671875" style="67" bestFit="1" customWidth="1"/>
    <col min="9230" max="9468" width="11.44140625" style="67" customWidth="1"/>
    <col min="9469" max="9469" width="7.44140625" style="67" customWidth="1"/>
    <col min="9470" max="9470" width="11.6640625" style="67" bestFit="1" customWidth="1"/>
    <col min="9471" max="9471" width="9.109375" style="67" bestFit="1" customWidth="1"/>
    <col min="9472" max="9472" width="68" style="67" customWidth="1"/>
    <col min="9473" max="9473" width="9.5546875" style="67"/>
    <col min="9474" max="9474" width="7" style="67" customWidth="1"/>
    <col min="9475" max="9475" width="66" style="67" bestFit="1" customWidth="1"/>
    <col min="9476" max="9476" width="11" style="67" bestFit="1" customWidth="1"/>
    <col min="9477" max="9477" width="9" style="67" bestFit="1" customWidth="1"/>
    <col min="9478" max="9478" width="11" style="67" bestFit="1" customWidth="1"/>
    <col min="9479" max="9479" width="7.88671875" style="67" bestFit="1" customWidth="1"/>
    <col min="9480" max="9480" width="13.5546875" style="67" bestFit="1" customWidth="1"/>
    <col min="9481" max="9481" width="10.44140625" style="67" customWidth="1"/>
    <col min="9482" max="9482" width="13.109375" style="67" bestFit="1" customWidth="1"/>
    <col min="9483" max="9483" width="9.6640625" style="67" customWidth="1"/>
    <col min="9484" max="9484" width="6.5546875" style="67" bestFit="1" customWidth="1"/>
    <col min="9485" max="9485" width="15.88671875" style="67" bestFit="1" customWidth="1"/>
    <col min="9486" max="9724" width="11.44140625" style="67" customWidth="1"/>
    <col min="9725" max="9725" width="7.44140625" style="67" customWidth="1"/>
    <col min="9726" max="9726" width="11.6640625" style="67" bestFit="1" customWidth="1"/>
    <col min="9727" max="9727" width="9.109375" style="67" bestFit="1" customWidth="1"/>
    <col min="9728" max="9728" width="68" style="67" customWidth="1"/>
    <col min="9729" max="9729" width="9.5546875" style="67"/>
    <col min="9730" max="9730" width="7" style="67" customWidth="1"/>
    <col min="9731" max="9731" width="66" style="67" bestFit="1" customWidth="1"/>
    <col min="9732" max="9732" width="11" style="67" bestFit="1" customWidth="1"/>
    <col min="9733" max="9733" width="9" style="67" bestFit="1" customWidth="1"/>
    <col min="9734" max="9734" width="11" style="67" bestFit="1" customWidth="1"/>
    <col min="9735" max="9735" width="7.88671875" style="67" bestFit="1" customWidth="1"/>
    <col min="9736" max="9736" width="13.5546875" style="67" bestFit="1" customWidth="1"/>
    <col min="9737" max="9737" width="10.44140625" style="67" customWidth="1"/>
    <col min="9738" max="9738" width="13.109375" style="67" bestFit="1" customWidth="1"/>
    <col min="9739" max="9739" width="9.6640625" style="67" customWidth="1"/>
    <col min="9740" max="9740" width="6.5546875" style="67" bestFit="1" customWidth="1"/>
    <col min="9741" max="9741" width="15.88671875" style="67" bestFit="1" customWidth="1"/>
    <col min="9742" max="9980" width="11.44140625" style="67" customWidth="1"/>
    <col min="9981" max="9981" width="7.44140625" style="67" customWidth="1"/>
    <col min="9982" max="9982" width="11.6640625" style="67" bestFit="1" customWidth="1"/>
    <col min="9983" max="9983" width="9.109375" style="67" bestFit="1" customWidth="1"/>
    <col min="9984" max="9984" width="68" style="67" customWidth="1"/>
    <col min="9985" max="9985" width="9.5546875" style="67"/>
    <col min="9986" max="9986" width="7" style="67" customWidth="1"/>
    <col min="9987" max="9987" width="66" style="67" bestFit="1" customWidth="1"/>
    <col min="9988" max="9988" width="11" style="67" bestFit="1" customWidth="1"/>
    <col min="9989" max="9989" width="9" style="67" bestFit="1" customWidth="1"/>
    <col min="9990" max="9990" width="11" style="67" bestFit="1" customWidth="1"/>
    <col min="9991" max="9991" width="7.88671875" style="67" bestFit="1" customWidth="1"/>
    <col min="9992" max="9992" width="13.5546875" style="67" bestFit="1" customWidth="1"/>
    <col min="9993" max="9993" width="10.44140625" style="67" customWidth="1"/>
    <col min="9994" max="9994" width="13.109375" style="67" bestFit="1" customWidth="1"/>
    <col min="9995" max="9995" width="9.6640625" style="67" customWidth="1"/>
    <col min="9996" max="9996" width="6.5546875" style="67" bestFit="1" customWidth="1"/>
    <col min="9997" max="9997" width="15.88671875" style="67" bestFit="1" customWidth="1"/>
    <col min="9998" max="10236" width="11.44140625" style="67" customWidth="1"/>
    <col min="10237" max="10237" width="7.44140625" style="67" customWidth="1"/>
    <col min="10238" max="10238" width="11.6640625" style="67" bestFit="1" customWidth="1"/>
    <col min="10239" max="10239" width="9.109375" style="67" bestFit="1" customWidth="1"/>
    <col min="10240" max="10240" width="68" style="67" customWidth="1"/>
    <col min="10241" max="10241" width="9.5546875" style="67"/>
    <col min="10242" max="10242" width="7" style="67" customWidth="1"/>
    <col min="10243" max="10243" width="66" style="67" bestFit="1" customWidth="1"/>
    <col min="10244" max="10244" width="11" style="67" bestFit="1" customWidth="1"/>
    <col min="10245" max="10245" width="9" style="67" bestFit="1" customWidth="1"/>
    <col min="10246" max="10246" width="11" style="67" bestFit="1" customWidth="1"/>
    <col min="10247" max="10247" width="7.88671875" style="67" bestFit="1" customWidth="1"/>
    <col min="10248" max="10248" width="13.5546875" style="67" bestFit="1" customWidth="1"/>
    <col min="10249" max="10249" width="10.44140625" style="67" customWidth="1"/>
    <col min="10250" max="10250" width="13.109375" style="67" bestFit="1" customWidth="1"/>
    <col min="10251" max="10251" width="9.6640625" style="67" customWidth="1"/>
    <col min="10252" max="10252" width="6.5546875" style="67" bestFit="1" customWidth="1"/>
    <col min="10253" max="10253" width="15.88671875" style="67" bestFit="1" customWidth="1"/>
    <col min="10254" max="10492" width="11.44140625" style="67" customWidth="1"/>
    <col min="10493" max="10493" width="7.44140625" style="67" customWidth="1"/>
    <col min="10494" max="10494" width="11.6640625" style="67" bestFit="1" customWidth="1"/>
    <col min="10495" max="10495" width="9.109375" style="67" bestFit="1" customWidth="1"/>
    <col min="10496" max="10496" width="68" style="67" customWidth="1"/>
    <col min="10497" max="10497" width="9.5546875" style="67"/>
    <col min="10498" max="10498" width="7" style="67" customWidth="1"/>
    <col min="10499" max="10499" width="66" style="67" bestFit="1" customWidth="1"/>
    <col min="10500" max="10500" width="11" style="67" bestFit="1" customWidth="1"/>
    <col min="10501" max="10501" width="9" style="67" bestFit="1" customWidth="1"/>
    <col min="10502" max="10502" width="11" style="67" bestFit="1" customWidth="1"/>
    <col min="10503" max="10503" width="7.88671875" style="67" bestFit="1" customWidth="1"/>
    <col min="10504" max="10504" width="13.5546875" style="67" bestFit="1" customWidth="1"/>
    <col min="10505" max="10505" width="10.44140625" style="67" customWidth="1"/>
    <col min="10506" max="10506" width="13.109375" style="67" bestFit="1" customWidth="1"/>
    <col min="10507" max="10507" width="9.6640625" style="67" customWidth="1"/>
    <col min="10508" max="10508" width="6.5546875" style="67" bestFit="1" customWidth="1"/>
    <col min="10509" max="10509" width="15.88671875" style="67" bestFit="1" customWidth="1"/>
    <col min="10510" max="10748" width="11.44140625" style="67" customWidth="1"/>
    <col min="10749" max="10749" width="7.44140625" style="67" customWidth="1"/>
    <col min="10750" max="10750" width="11.6640625" style="67" bestFit="1" customWidth="1"/>
    <col min="10751" max="10751" width="9.109375" style="67" bestFit="1" customWidth="1"/>
    <col min="10752" max="10752" width="68" style="67" customWidth="1"/>
    <col min="10753" max="10753" width="9.5546875" style="67"/>
    <col min="10754" max="10754" width="7" style="67" customWidth="1"/>
    <col min="10755" max="10755" width="66" style="67" bestFit="1" customWidth="1"/>
    <col min="10756" max="10756" width="11" style="67" bestFit="1" customWidth="1"/>
    <col min="10757" max="10757" width="9" style="67" bestFit="1" customWidth="1"/>
    <col min="10758" max="10758" width="11" style="67" bestFit="1" customWidth="1"/>
    <col min="10759" max="10759" width="7.88671875" style="67" bestFit="1" customWidth="1"/>
    <col min="10760" max="10760" width="13.5546875" style="67" bestFit="1" customWidth="1"/>
    <col min="10761" max="10761" width="10.44140625" style="67" customWidth="1"/>
    <col min="10762" max="10762" width="13.109375" style="67" bestFit="1" customWidth="1"/>
    <col min="10763" max="10763" width="9.6640625" style="67" customWidth="1"/>
    <col min="10764" max="10764" width="6.5546875" style="67" bestFit="1" customWidth="1"/>
    <col min="10765" max="10765" width="15.88671875" style="67" bestFit="1" customWidth="1"/>
    <col min="10766" max="11004" width="11.44140625" style="67" customWidth="1"/>
    <col min="11005" max="11005" width="7.44140625" style="67" customWidth="1"/>
    <col min="11006" max="11006" width="11.6640625" style="67" bestFit="1" customWidth="1"/>
    <col min="11007" max="11007" width="9.109375" style="67" bestFit="1" customWidth="1"/>
    <col min="11008" max="11008" width="68" style="67" customWidth="1"/>
    <col min="11009" max="11009" width="9.5546875" style="67"/>
    <col min="11010" max="11010" width="7" style="67" customWidth="1"/>
    <col min="11011" max="11011" width="66" style="67" bestFit="1" customWidth="1"/>
    <col min="11012" max="11012" width="11" style="67" bestFit="1" customWidth="1"/>
    <col min="11013" max="11013" width="9" style="67" bestFit="1" customWidth="1"/>
    <col min="11014" max="11014" width="11" style="67" bestFit="1" customWidth="1"/>
    <col min="11015" max="11015" width="7.88671875" style="67" bestFit="1" customWidth="1"/>
    <col min="11016" max="11016" width="13.5546875" style="67" bestFit="1" customWidth="1"/>
    <col min="11017" max="11017" width="10.44140625" style="67" customWidth="1"/>
    <col min="11018" max="11018" width="13.109375" style="67" bestFit="1" customWidth="1"/>
    <col min="11019" max="11019" width="9.6640625" style="67" customWidth="1"/>
    <col min="11020" max="11020" width="6.5546875" style="67" bestFit="1" customWidth="1"/>
    <col min="11021" max="11021" width="15.88671875" style="67" bestFit="1" customWidth="1"/>
    <col min="11022" max="11260" width="11.44140625" style="67" customWidth="1"/>
    <col min="11261" max="11261" width="7.44140625" style="67" customWidth="1"/>
    <col min="11262" max="11262" width="11.6640625" style="67" bestFit="1" customWidth="1"/>
    <col min="11263" max="11263" width="9.109375" style="67" bestFit="1" customWidth="1"/>
    <col min="11264" max="11264" width="68" style="67" customWidth="1"/>
    <col min="11265" max="11265" width="9.5546875" style="67"/>
    <col min="11266" max="11266" width="7" style="67" customWidth="1"/>
    <col min="11267" max="11267" width="66" style="67" bestFit="1" customWidth="1"/>
    <col min="11268" max="11268" width="11" style="67" bestFit="1" customWidth="1"/>
    <col min="11269" max="11269" width="9" style="67" bestFit="1" customWidth="1"/>
    <col min="11270" max="11270" width="11" style="67" bestFit="1" customWidth="1"/>
    <col min="11271" max="11271" width="7.88671875" style="67" bestFit="1" customWidth="1"/>
    <col min="11272" max="11272" width="13.5546875" style="67" bestFit="1" customWidth="1"/>
    <col min="11273" max="11273" width="10.44140625" style="67" customWidth="1"/>
    <col min="11274" max="11274" width="13.109375" style="67" bestFit="1" customWidth="1"/>
    <col min="11275" max="11275" width="9.6640625" style="67" customWidth="1"/>
    <col min="11276" max="11276" width="6.5546875" style="67" bestFit="1" customWidth="1"/>
    <col min="11277" max="11277" width="15.88671875" style="67" bestFit="1" customWidth="1"/>
    <col min="11278" max="11516" width="11.44140625" style="67" customWidth="1"/>
    <col min="11517" max="11517" width="7.44140625" style="67" customWidth="1"/>
    <col min="11518" max="11518" width="11.6640625" style="67" bestFit="1" customWidth="1"/>
    <col min="11519" max="11519" width="9.109375" style="67" bestFit="1" customWidth="1"/>
    <col min="11520" max="11520" width="68" style="67" customWidth="1"/>
    <col min="11521" max="11521" width="9.5546875" style="67"/>
    <col min="11522" max="11522" width="7" style="67" customWidth="1"/>
    <col min="11523" max="11523" width="66" style="67" bestFit="1" customWidth="1"/>
    <col min="11524" max="11524" width="11" style="67" bestFit="1" customWidth="1"/>
    <col min="11525" max="11525" width="9" style="67" bestFit="1" customWidth="1"/>
    <col min="11526" max="11526" width="11" style="67" bestFit="1" customWidth="1"/>
    <col min="11527" max="11527" width="7.88671875" style="67" bestFit="1" customWidth="1"/>
    <col min="11528" max="11528" width="13.5546875" style="67" bestFit="1" customWidth="1"/>
    <col min="11529" max="11529" width="10.44140625" style="67" customWidth="1"/>
    <col min="11530" max="11530" width="13.109375" style="67" bestFit="1" customWidth="1"/>
    <col min="11531" max="11531" width="9.6640625" style="67" customWidth="1"/>
    <col min="11532" max="11532" width="6.5546875" style="67" bestFit="1" customWidth="1"/>
    <col min="11533" max="11533" width="15.88671875" style="67" bestFit="1" customWidth="1"/>
    <col min="11534" max="11772" width="11.44140625" style="67" customWidth="1"/>
    <col min="11773" max="11773" width="7.44140625" style="67" customWidth="1"/>
    <col min="11774" max="11774" width="11.6640625" style="67" bestFit="1" customWidth="1"/>
    <col min="11775" max="11775" width="9.109375" style="67" bestFit="1" customWidth="1"/>
    <col min="11776" max="11776" width="68" style="67" customWidth="1"/>
    <col min="11777" max="11777" width="9.5546875" style="67"/>
    <col min="11778" max="11778" width="7" style="67" customWidth="1"/>
    <col min="11779" max="11779" width="66" style="67" bestFit="1" customWidth="1"/>
    <col min="11780" max="11780" width="11" style="67" bestFit="1" customWidth="1"/>
    <col min="11781" max="11781" width="9" style="67" bestFit="1" customWidth="1"/>
    <col min="11782" max="11782" width="11" style="67" bestFit="1" customWidth="1"/>
    <col min="11783" max="11783" width="7.88671875" style="67" bestFit="1" customWidth="1"/>
    <col min="11784" max="11784" width="13.5546875" style="67" bestFit="1" customWidth="1"/>
    <col min="11785" max="11785" width="10.44140625" style="67" customWidth="1"/>
    <col min="11786" max="11786" width="13.109375" style="67" bestFit="1" customWidth="1"/>
    <col min="11787" max="11787" width="9.6640625" style="67" customWidth="1"/>
    <col min="11788" max="11788" width="6.5546875" style="67" bestFit="1" customWidth="1"/>
    <col min="11789" max="11789" width="15.88671875" style="67" bestFit="1" customWidth="1"/>
    <col min="11790" max="12028" width="11.44140625" style="67" customWidth="1"/>
    <col min="12029" max="12029" width="7.44140625" style="67" customWidth="1"/>
    <col min="12030" max="12030" width="11.6640625" style="67" bestFit="1" customWidth="1"/>
    <col min="12031" max="12031" width="9.109375" style="67" bestFit="1" customWidth="1"/>
    <col min="12032" max="12032" width="68" style="67" customWidth="1"/>
    <col min="12033" max="12033" width="9.5546875" style="67"/>
    <col min="12034" max="12034" width="7" style="67" customWidth="1"/>
    <col min="12035" max="12035" width="66" style="67" bestFit="1" customWidth="1"/>
    <col min="12036" max="12036" width="11" style="67" bestFit="1" customWidth="1"/>
    <col min="12037" max="12037" width="9" style="67" bestFit="1" customWidth="1"/>
    <col min="12038" max="12038" width="11" style="67" bestFit="1" customWidth="1"/>
    <col min="12039" max="12039" width="7.88671875" style="67" bestFit="1" customWidth="1"/>
    <col min="12040" max="12040" width="13.5546875" style="67" bestFit="1" customWidth="1"/>
    <col min="12041" max="12041" width="10.44140625" style="67" customWidth="1"/>
    <col min="12042" max="12042" width="13.109375" style="67" bestFit="1" customWidth="1"/>
    <col min="12043" max="12043" width="9.6640625" style="67" customWidth="1"/>
    <col min="12044" max="12044" width="6.5546875" style="67" bestFit="1" customWidth="1"/>
    <col min="12045" max="12045" width="15.88671875" style="67" bestFit="1" customWidth="1"/>
    <col min="12046" max="12284" width="11.44140625" style="67" customWidth="1"/>
    <col min="12285" max="12285" width="7.44140625" style="67" customWidth="1"/>
    <col min="12286" max="12286" width="11.6640625" style="67" bestFit="1" customWidth="1"/>
    <col min="12287" max="12287" width="9.109375" style="67" bestFit="1" customWidth="1"/>
    <col min="12288" max="12288" width="68" style="67" customWidth="1"/>
    <col min="12289" max="12289" width="9.5546875" style="67"/>
    <col min="12290" max="12290" width="7" style="67" customWidth="1"/>
    <col min="12291" max="12291" width="66" style="67" bestFit="1" customWidth="1"/>
    <col min="12292" max="12292" width="11" style="67" bestFit="1" customWidth="1"/>
    <col min="12293" max="12293" width="9" style="67" bestFit="1" customWidth="1"/>
    <col min="12294" max="12294" width="11" style="67" bestFit="1" customWidth="1"/>
    <col min="12295" max="12295" width="7.88671875" style="67" bestFit="1" customWidth="1"/>
    <col min="12296" max="12296" width="13.5546875" style="67" bestFit="1" customWidth="1"/>
    <col min="12297" max="12297" width="10.44140625" style="67" customWidth="1"/>
    <col min="12298" max="12298" width="13.109375" style="67" bestFit="1" customWidth="1"/>
    <col min="12299" max="12299" width="9.6640625" style="67" customWidth="1"/>
    <col min="12300" max="12300" width="6.5546875" style="67" bestFit="1" customWidth="1"/>
    <col min="12301" max="12301" width="15.88671875" style="67" bestFit="1" customWidth="1"/>
    <col min="12302" max="12540" width="11.44140625" style="67" customWidth="1"/>
    <col min="12541" max="12541" width="7.44140625" style="67" customWidth="1"/>
    <col min="12542" max="12542" width="11.6640625" style="67" bestFit="1" customWidth="1"/>
    <col min="12543" max="12543" width="9.109375" style="67" bestFit="1" customWidth="1"/>
    <col min="12544" max="12544" width="68" style="67" customWidth="1"/>
    <col min="12545" max="12545" width="9.5546875" style="67"/>
    <col min="12546" max="12546" width="7" style="67" customWidth="1"/>
    <col min="12547" max="12547" width="66" style="67" bestFit="1" customWidth="1"/>
    <col min="12548" max="12548" width="11" style="67" bestFit="1" customWidth="1"/>
    <col min="12549" max="12549" width="9" style="67" bestFit="1" customWidth="1"/>
    <col min="12550" max="12550" width="11" style="67" bestFit="1" customWidth="1"/>
    <col min="12551" max="12551" width="7.88671875" style="67" bestFit="1" customWidth="1"/>
    <col min="12552" max="12552" width="13.5546875" style="67" bestFit="1" customWidth="1"/>
    <col min="12553" max="12553" width="10.44140625" style="67" customWidth="1"/>
    <col min="12554" max="12554" width="13.109375" style="67" bestFit="1" customWidth="1"/>
    <col min="12555" max="12555" width="9.6640625" style="67" customWidth="1"/>
    <col min="12556" max="12556" width="6.5546875" style="67" bestFit="1" customWidth="1"/>
    <col min="12557" max="12557" width="15.88671875" style="67" bestFit="1" customWidth="1"/>
    <col min="12558" max="12796" width="11.44140625" style="67" customWidth="1"/>
    <col min="12797" max="12797" width="7.44140625" style="67" customWidth="1"/>
    <col min="12798" max="12798" width="11.6640625" style="67" bestFit="1" customWidth="1"/>
    <col min="12799" max="12799" width="9.109375" style="67" bestFit="1" customWidth="1"/>
    <col min="12800" max="12800" width="68" style="67" customWidth="1"/>
    <col min="12801" max="12801" width="9.5546875" style="67"/>
    <col min="12802" max="12802" width="7" style="67" customWidth="1"/>
    <col min="12803" max="12803" width="66" style="67" bestFit="1" customWidth="1"/>
    <col min="12804" max="12804" width="11" style="67" bestFit="1" customWidth="1"/>
    <col min="12805" max="12805" width="9" style="67" bestFit="1" customWidth="1"/>
    <col min="12806" max="12806" width="11" style="67" bestFit="1" customWidth="1"/>
    <col min="12807" max="12807" width="7.88671875" style="67" bestFit="1" customWidth="1"/>
    <col min="12808" max="12808" width="13.5546875" style="67" bestFit="1" customWidth="1"/>
    <col min="12809" max="12809" width="10.44140625" style="67" customWidth="1"/>
    <col min="12810" max="12810" width="13.109375" style="67" bestFit="1" customWidth="1"/>
    <col min="12811" max="12811" width="9.6640625" style="67" customWidth="1"/>
    <col min="12812" max="12812" width="6.5546875" style="67" bestFit="1" customWidth="1"/>
    <col min="12813" max="12813" width="15.88671875" style="67" bestFit="1" customWidth="1"/>
    <col min="12814" max="13052" width="11.44140625" style="67" customWidth="1"/>
    <col min="13053" max="13053" width="7.44140625" style="67" customWidth="1"/>
    <col min="13054" max="13054" width="11.6640625" style="67" bestFit="1" customWidth="1"/>
    <col min="13055" max="13055" width="9.109375" style="67" bestFit="1" customWidth="1"/>
    <col min="13056" max="13056" width="68" style="67" customWidth="1"/>
    <col min="13057" max="13057" width="9.5546875" style="67"/>
    <col min="13058" max="13058" width="7" style="67" customWidth="1"/>
    <col min="13059" max="13059" width="66" style="67" bestFit="1" customWidth="1"/>
    <col min="13060" max="13060" width="11" style="67" bestFit="1" customWidth="1"/>
    <col min="13061" max="13061" width="9" style="67" bestFit="1" customWidth="1"/>
    <col min="13062" max="13062" width="11" style="67" bestFit="1" customWidth="1"/>
    <col min="13063" max="13063" width="7.88671875" style="67" bestFit="1" customWidth="1"/>
    <col min="13064" max="13064" width="13.5546875" style="67" bestFit="1" customWidth="1"/>
    <col min="13065" max="13065" width="10.44140625" style="67" customWidth="1"/>
    <col min="13066" max="13066" width="13.109375" style="67" bestFit="1" customWidth="1"/>
    <col min="13067" max="13067" width="9.6640625" style="67" customWidth="1"/>
    <col min="13068" max="13068" width="6.5546875" style="67" bestFit="1" customWidth="1"/>
    <col min="13069" max="13069" width="15.88671875" style="67" bestFit="1" customWidth="1"/>
    <col min="13070" max="13308" width="11.44140625" style="67" customWidth="1"/>
    <col min="13309" max="13309" width="7.44140625" style="67" customWidth="1"/>
    <col min="13310" max="13310" width="11.6640625" style="67" bestFit="1" customWidth="1"/>
    <col min="13311" max="13311" width="9.109375" style="67" bestFit="1" customWidth="1"/>
    <col min="13312" max="13312" width="68" style="67" customWidth="1"/>
    <col min="13313" max="13313" width="9.5546875" style="67"/>
    <col min="13314" max="13314" width="7" style="67" customWidth="1"/>
    <col min="13315" max="13315" width="66" style="67" bestFit="1" customWidth="1"/>
    <col min="13316" max="13316" width="11" style="67" bestFit="1" customWidth="1"/>
    <col min="13317" max="13317" width="9" style="67" bestFit="1" customWidth="1"/>
    <col min="13318" max="13318" width="11" style="67" bestFit="1" customWidth="1"/>
    <col min="13319" max="13319" width="7.88671875" style="67" bestFit="1" customWidth="1"/>
    <col min="13320" max="13320" width="13.5546875" style="67" bestFit="1" customWidth="1"/>
    <col min="13321" max="13321" width="10.44140625" style="67" customWidth="1"/>
    <col min="13322" max="13322" width="13.109375" style="67" bestFit="1" customWidth="1"/>
    <col min="13323" max="13323" width="9.6640625" style="67" customWidth="1"/>
    <col min="13324" max="13324" width="6.5546875" style="67" bestFit="1" customWidth="1"/>
    <col min="13325" max="13325" width="15.88671875" style="67" bestFit="1" customWidth="1"/>
    <col min="13326" max="13564" width="11.44140625" style="67" customWidth="1"/>
    <col min="13565" max="13565" width="7.44140625" style="67" customWidth="1"/>
    <col min="13566" max="13566" width="11.6640625" style="67" bestFit="1" customWidth="1"/>
    <col min="13567" max="13567" width="9.109375" style="67" bestFit="1" customWidth="1"/>
    <col min="13568" max="13568" width="68" style="67" customWidth="1"/>
    <col min="13569" max="13569" width="9.5546875" style="67"/>
    <col min="13570" max="13570" width="7" style="67" customWidth="1"/>
    <col min="13571" max="13571" width="66" style="67" bestFit="1" customWidth="1"/>
    <col min="13572" max="13572" width="11" style="67" bestFit="1" customWidth="1"/>
    <col min="13573" max="13573" width="9" style="67" bestFit="1" customWidth="1"/>
    <col min="13574" max="13574" width="11" style="67" bestFit="1" customWidth="1"/>
    <col min="13575" max="13575" width="7.88671875" style="67" bestFit="1" customWidth="1"/>
    <col min="13576" max="13576" width="13.5546875" style="67" bestFit="1" customWidth="1"/>
    <col min="13577" max="13577" width="10.44140625" style="67" customWidth="1"/>
    <col min="13578" max="13578" width="13.109375" style="67" bestFit="1" customWidth="1"/>
    <col min="13579" max="13579" width="9.6640625" style="67" customWidth="1"/>
    <col min="13580" max="13580" width="6.5546875" style="67" bestFit="1" customWidth="1"/>
    <col min="13581" max="13581" width="15.88671875" style="67" bestFit="1" customWidth="1"/>
    <col min="13582" max="13820" width="11.44140625" style="67" customWidth="1"/>
    <col min="13821" max="13821" width="7.44140625" style="67" customWidth="1"/>
    <col min="13822" max="13822" width="11.6640625" style="67" bestFit="1" customWidth="1"/>
    <col min="13823" max="13823" width="9.109375" style="67" bestFit="1" customWidth="1"/>
    <col min="13824" max="13824" width="68" style="67" customWidth="1"/>
    <col min="13825" max="13825" width="9.5546875" style="67"/>
    <col min="13826" max="13826" width="7" style="67" customWidth="1"/>
    <col min="13827" max="13827" width="66" style="67" bestFit="1" customWidth="1"/>
    <col min="13828" max="13828" width="11" style="67" bestFit="1" customWidth="1"/>
    <col min="13829" max="13829" width="9" style="67" bestFit="1" customWidth="1"/>
    <col min="13830" max="13830" width="11" style="67" bestFit="1" customWidth="1"/>
    <col min="13831" max="13831" width="7.88671875" style="67" bestFit="1" customWidth="1"/>
    <col min="13832" max="13832" width="13.5546875" style="67" bestFit="1" customWidth="1"/>
    <col min="13833" max="13833" width="10.44140625" style="67" customWidth="1"/>
    <col min="13834" max="13834" width="13.109375" style="67" bestFit="1" customWidth="1"/>
    <col min="13835" max="13835" width="9.6640625" style="67" customWidth="1"/>
    <col min="13836" max="13836" width="6.5546875" style="67" bestFit="1" customWidth="1"/>
    <col min="13837" max="13837" width="15.88671875" style="67" bestFit="1" customWidth="1"/>
    <col min="13838" max="14076" width="11.44140625" style="67" customWidth="1"/>
    <col min="14077" max="14077" width="7.44140625" style="67" customWidth="1"/>
    <col min="14078" max="14078" width="11.6640625" style="67" bestFit="1" customWidth="1"/>
    <col min="14079" max="14079" width="9.109375" style="67" bestFit="1" customWidth="1"/>
    <col min="14080" max="14080" width="68" style="67" customWidth="1"/>
    <col min="14081" max="14081" width="9.5546875" style="67"/>
    <col min="14082" max="14082" width="7" style="67" customWidth="1"/>
    <col min="14083" max="14083" width="66" style="67" bestFit="1" customWidth="1"/>
    <col min="14084" max="14084" width="11" style="67" bestFit="1" customWidth="1"/>
    <col min="14085" max="14085" width="9" style="67" bestFit="1" customWidth="1"/>
    <col min="14086" max="14086" width="11" style="67" bestFit="1" customWidth="1"/>
    <col min="14087" max="14087" width="7.88671875" style="67" bestFit="1" customWidth="1"/>
    <col min="14088" max="14088" width="13.5546875" style="67" bestFit="1" customWidth="1"/>
    <col min="14089" max="14089" width="10.44140625" style="67" customWidth="1"/>
    <col min="14090" max="14090" width="13.109375" style="67" bestFit="1" customWidth="1"/>
    <col min="14091" max="14091" width="9.6640625" style="67" customWidth="1"/>
    <col min="14092" max="14092" width="6.5546875" style="67" bestFit="1" customWidth="1"/>
    <col min="14093" max="14093" width="15.88671875" style="67" bestFit="1" customWidth="1"/>
    <col min="14094" max="14332" width="11.44140625" style="67" customWidth="1"/>
    <col min="14333" max="14333" width="7.44140625" style="67" customWidth="1"/>
    <col min="14334" max="14334" width="11.6640625" style="67" bestFit="1" customWidth="1"/>
    <col min="14335" max="14335" width="9.109375" style="67" bestFit="1" customWidth="1"/>
    <col min="14336" max="14336" width="68" style="67" customWidth="1"/>
    <col min="14337" max="14337" width="9.5546875" style="67"/>
    <col min="14338" max="14338" width="7" style="67" customWidth="1"/>
    <col min="14339" max="14339" width="66" style="67" bestFit="1" customWidth="1"/>
    <col min="14340" max="14340" width="11" style="67" bestFit="1" customWidth="1"/>
    <col min="14341" max="14341" width="9" style="67" bestFit="1" customWidth="1"/>
    <col min="14342" max="14342" width="11" style="67" bestFit="1" customWidth="1"/>
    <col min="14343" max="14343" width="7.88671875" style="67" bestFit="1" customWidth="1"/>
    <col min="14344" max="14344" width="13.5546875" style="67" bestFit="1" customWidth="1"/>
    <col min="14345" max="14345" width="10.44140625" style="67" customWidth="1"/>
    <col min="14346" max="14346" width="13.109375" style="67" bestFit="1" customWidth="1"/>
    <col min="14347" max="14347" width="9.6640625" style="67" customWidth="1"/>
    <col min="14348" max="14348" width="6.5546875" style="67" bestFit="1" customWidth="1"/>
    <col min="14349" max="14349" width="15.88671875" style="67" bestFit="1" customWidth="1"/>
    <col min="14350" max="14588" width="11.44140625" style="67" customWidth="1"/>
    <col min="14589" max="14589" width="7.44140625" style="67" customWidth="1"/>
    <col min="14590" max="14590" width="11.6640625" style="67" bestFit="1" customWidth="1"/>
    <col min="14591" max="14591" width="9.109375" style="67" bestFit="1" customWidth="1"/>
    <col min="14592" max="14592" width="68" style="67" customWidth="1"/>
    <col min="14593" max="14593" width="9.5546875" style="67"/>
    <col min="14594" max="14594" width="7" style="67" customWidth="1"/>
    <col min="14595" max="14595" width="66" style="67" bestFit="1" customWidth="1"/>
    <col min="14596" max="14596" width="11" style="67" bestFit="1" customWidth="1"/>
    <col min="14597" max="14597" width="9" style="67" bestFit="1" customWidth="1"/>
    <col min="14598" max="14598" width="11" style="67" bestFit="1" customWidth="1"/>
    <col min="14599" max="14599" width="7.88671875" style="67" bestFit="1" customWidth="1"/>
    <col min="14600" max="14600" width="13.5546875" style="67" bestFit="1" customWidth="1"/>
    <col min="14601" max="14601" width="10.44140625" style="67" customWidth="1"/>
    <col min="14602" max="14602" width="13.109375" style="67" bestFit="1" customWidth="1"/>
    <col min="14603" max="14603" width="9.6640625" style="67" customWidth="1"/>
    <col min="14604" max="14604" width="6.5546875" style="67" bestFit="1" customWidth="1"/>
    <col min="14605" max="14605" width="15.88671875" style="67" bestFit="1" customWidth="1"/>
    <col min="14606" max="14844" width="11.44140625" style="67" customWidth="1"/>
    <col min="14845" max="14845" width="7.44140625" style="67" customWidth="1"/>
    <col min="14846" max="14846" width="11.6640625" style="67" bestFit="1" customWidth="1"/>
    <col min="14847" max="14847" width="9.109375" style="67" bestFit="1" customWidth="1"/>
    <col min="14848" max="14848" width="68" style="67" customWidth="1"/>
    <col min="14849" max="14849" width="9.5546875" style="67"/>
    <col min="14850" max="14850" width="7" style="67" customWidth="1"/>
    <col min="14851" max="14851" width="66" style="67" bestFit="1" customWidth="1"/>
    <col min="14852" max="14852" width="11" style="67" bestFit="1" customWidth="1"/>
    <col min="14853" max="14853" width="9" style="67" bestFit="1" customWidth="1"/>
    <col min="14854" max="14854" width="11" style="67" bestFit="1" customWidth="1"/>
    <col min="14855" max="14855" width="7.88671875" style="67" bestFit="1" customWidth="1"/>
    <col min="14856" max="14856" width="13.5546875" style="67" bestFit="1" customWidth="1"/>
    <col min="14857" max="14857" width="10.44140625" style="67" customWidth="1"/>
    <col min="14858" max="14858" width="13.109375" style="67" bestFit="1" customWidth="1"/>
    <col min="14859" max="14859" width="9.6640625" style="67" customWidth="1"/>
    <col min="14860" max="14860" width="6.5546875" style="67" bestFit="1" customWidth="1"/>
    <col min="14861" max="14861" width="15.88671875" style="67" bestFit="1" customWidth="1"/>
    <col min="14862" max="15100" width="11.44140625" style="67" customWidth="1"/>
    <col min="15101" max="15101" width="7.44140625" style="67" customWidth="1"/>
    <col min="15102" max="15102" width="11.6640625" style="67" bestFit="1" customWidth="1"/>
    <col min="15103" max="15103" width="9.109375" style="67" bestFit="1" customWidth="1"/>
    <col min="15104" max="15104" width="68" style="67" customWidth="1"/>
    <col min="15105" max="15105" width="9.5546875" style="67"/>
    <col min="15106" max="15106" width="7" style="67" customWidth="1"/>
    <col min="15107" max="15107" width="66" style="67" bestFit="1" customWidth="1"/>
    <col min="15108" max="15108" width="11" style="67" bestFit="1" customWidth="1"/>
    <col min="15109" max="15109" width="9" style="67" bestFit="1" customWidth="1"/>
    <col min="15110" max="15110" width="11" style="67" bestFit="1" customWidth="1"/>
    <col min="15111" max="15111" width="7.88671875" style="67" bestFit="1" customWidth="1"/>
    <col min="15112" max="15112" width="13.5546875" style="67" bestFit="1" customWidth="1"/>
    <col min="15113" max="15113" width="10.44140625" style="67" customWidth="1"/>
    <col min="15114" max="15114" width="13.109375" style="67" bestFit="1" customWidth="1"/>
    <col min="15115" max="15115" width="9.6640625" style="67" customWidth="1"/>
    <col min="15116" max="15116" width="6.5546875" style="67" bestFit="1" customWidth="1"/>
    <col min="15117" max="15117" width="15.88671875" style="67" bestFit="1" customWidth="1"/>
    <col min="15118" max="15356" width="11.44140625" style="67" customWidth="1"/>
    <col min="15357" max="15357" width="7.44140625" style="67" customWidth="1"/>
    <col min="15358" max="15358" width="11.6640625" style="67" bestFit="1" customWidth="1"/>
    <col min="15359" max="15359" width="9.109375" style="67" bestFit="1" customWidth="1"/>
    <col min="15360" max="15360" width="68" style="67" customWidth="1"/>
    <col min="15361" max="15361" width="9.5546875" style="67"/>
    <col min="15362" max="15362" width="7" style="67" customWidth="1"/>
    <col min="15363" max="15363" width="66" style="67" bestFit="1" customWidth="1"/>
    <col min="15364" max="15364" width="11" style="67" bestFit="1" customWidth="1"/>
    <col min="15365" max="15365" width="9" style="67" bestFit="1" customWidth="1"/>
    <col min="15366" max="15366" width="11" style="67" bestFit="1" customWidth="1"/>
    <col min="15367" max="15367" width="7.88671875" style="67" bestFit="1" customWidth="1"/>
    <col min="15368" max="15368" width="13.5546875" style="67" bestFit="1" customWidth="1"/>
    <col min="15369" max="15369" width="10.44140625" style="67" customWidth="1"/>
    <col min="15370" max="15370" width="13.109375" style="67" bestFit="1" customWidth="1"/>
    <col min="15371" max="15371" width="9.6640625" style="67" customWidth="1"/>
    <col min="15372" max="15372" width="6.5546875" style="67" bestFit="1" customWidth="1"/>
    <col min="15373" max="15373" width="15.88671875" style="67" bestFit="1" customWidth="1"/>
    <col min="15374" max="15612" width="11.44140625" style="67" customWidth="1"/>
    <col min="15613" max="15613" width="7.44140625" style="67" customWidth="1"/>
    <col min="15614" max="15614" width="11.6640625" style="67" bestFit="1" customWidth="1"/>
    <col min="15615" max="15615" width="9.109375" style="67" bestFit="1" customWidth="1"/>
    <col min="15616" max="15616" width="68" style="67" customWidth="1"/>
    <col min="15617" max="15617" width="9.5546875" style="67"/>
    <col min="15618" max="15618" width="7" style="67" customWidth="1"/>
    <col min="15619" max="15619" width="66" style="67" bestFit="1" customWidth="1"/>
    <col min="15620" max="15620" width="11" style="67" bestFit="1" customWidth="1"/>
    <col min="15621" max="15621" width="9" style="67" bestFit="1" customWidth="1"/>
    <col min="15622" max="15622" width="11" style="67" bestFit="1" customWidth="1"/>
    <col min="15623" max="15623" width="7.88671875" style="67" bestFit="1" customWidth="1"/>
    <col min="15624" max="15624" width="13.5546875" style="67" bestFit="1" customWidth="1"/>
    <col min="15625" max="15625" width="10.44140625" style="67" customWidth="1"/>
    <col min="15626" max="15626" width="13.109375" style="67" bestFit="1" customWidth="1"/>
    <col min="15627" max="15627" width="9.6640625" style="67" customWidth="1"/>
    <col min="15628" max="15628" width="6.5546875" style="67" bestFit="1" customWidth="1"/>
    <col min="15629" max="15629" width="15.88671875" style="67" bestFit="1" customWidth="1"/>
    <col min="15630" max="15868" width="11.44140625" style="67" customWidth="1"/>
    <col min="15869" max="15869" width="7.44140625" style="67" customWidth="1"/>
    <col min="15870" max="15870" width="11.6640625" style="67" bestFit="1" customWidth="1"/>
    <col min="15871" max="15871" width="9.109375" style="67" bestFit="1" customWidth="1"/>
    <col min="15872" max="15872" width="68" style="67" customWidth="1"/>
    <col min="15873" max="15873" width="9.5546875" style="67"/>
    <col min="15874" max="15874" width="7" style="67" customWidth="1"/>
    <col min="15875" max="15875" width="66" style="67" bestFit="1" customWidth="1"/>
    <col min="15876" max="15876" width="11" style="67" bestFit="1" customWidth="1"/>
    <col min="15877" max="15877" width="9" style="67" bestFit="1" customWidth="1"/>
    <col min="15878" max="15878" width="11" style="67" bestFit="1" customWidth="1"/>
    <col min="15879" max="15879" width="7.88671875" style="67" bestFit="1" customWidth="1"/>
    <col min="15880" max="15880" width="13.5546875" style="67" bestFit="1" customWidth="1"/>
    <col min="15881" max="15881" width="10.44140625" style="67" customWidth="1"/>
    <col min="15882" max="15882" width="13.109375" style="67" bestFit="1" customWidth="1"/>
    <col min="15883" max="15883" width="9.6640625" style="67" customWidth="1"/>
    <col min="15884" max="15884" width="6.5546875" style="67" bestFit="1" customWidth="1"/>
    <col min="15885" max="15885" width="15.88671875" style="67" bestFit="1" customWidth="1"/>
    <col min="15886" max="16124" width="11.44140625" style="67" customWidth="1"/>
    <col min="16125" max="16125" width="7.44140625" style="67" customWidth="1"/>
    <col min="16126" max="16126" width="11.6640625" style="67" bestFit="1" customWidth="1"/>
    <col min="16127" max="16127" width="9.109375" style="67" bestFit="1" customWidth="1"/>
    <col min="16128" max="16128" width="68" style="67" customWidth="1"/>
    <col min="16129" max="16129" width="9.5546875" style="67"/>
    <col min="16130" max="16130" width="7" style="67" customWidth="1"/>
    <col min="16131" max="16131" width="66" style="67" bestFit="1" customWidth="1"/>
    <col min="16132" max="16132" width="11" style="67" bestFit="1" customWidth="1"/>
    <col min="16133" max="16133" width="9" style="67" bestFit="1" customWidth="1"/>
    <col min="16134" max="16134" width="11" style="67" bestFit="1" customWidth="1"/>
    <col min="16135" max="16135" width="7.88671875" style="67" bestFit="1" customWidth="1"/>
    <col min="16136" max="16136" width="13.5546875" style="67" bestFit="1" customWidth="1"/>
    <col min="16137" max="16137" width="10.44140625" style="67" customWidth="1"/>
    <col min="16138" max="16138" width="13.109375" style="67" bestFit="1" customWidth="1"/>
    <col min="16139" max="16139" width="9.6640625" style="67" customWidth="1"/>
    <col min="16140" max="16140" width="6.5546875" style="67" bestFit="1" customWidth="1"/>
    <col min="16141" max="16141" width="15.88671875" style="67" bestFit="1" customWidth="1"/>
    <col min="16142" max="16380" width="11.44140625" style="67" customWidth="1"/>
    <col min="16381" max="16381" width="7.44140625" style="67" customWidth="1"/>
    <col min="16382" max="16382" width="11.6640625" style="67" bestFit="1" customWidth="1"/>
    <col min="16383" max="16383" width="9.109375" style="67" bestFit="1" customWidth="1"/>
    <col min="16384" max="16384" width="68" style="67" customWidth="1"/>
  </cols>
  <sheetData>
    <row r="1" spans="1:15" ht="15.6" x14ac:dyDescent="0.3">
      <c r="A1" s="58" t="s">
        <v>350</v>
      </c>
      <c r="B1" s="1"/>
      <c r="C1" s="95"/>
      <c r="D1" s="95"/>
      <c r="E1" s="95"/>
      <c r="F1" s="95"/>
      <c r="G1" s="71"/>
      <c r="H1" s="71"/>
      <c r="I1" s="67"/>
    </row>
    <row r="2" spans="1:15" ht="14.4" x14ac:dyDescent="0.25">
      <c r="A2" s="64" t="s">
        <v>0</v>
      </c>
      <c r="B2" s="2"/>
      <c r="C2" s="95"/>
      <c r="D2" s="95"/>
      <c r="E2" s="95"/>
      <c r="F2" s="95"/>
      <c r="G2" s="71"/>
      <c r="H2" s="71"/>
      <c r="I2" s="67"/>
    </row>
    <row r="3" spans="1:15" ht="14.4" x14ac:dyDescent="0.25">
      <c r="A3" s="64" t="s">
        <v>1</v>
      </c>
      <c r="B3" s="2"/>
      <c r="C3" s="95"/>
      <c r="D3" s="95"/>
      <c r="E3" s="95"/>
      <c r="F3" s="95"/>
      <c r="G3" s="71"/>
      <c r="H3" s="71"/>
      <c r="I3" s="67"/>
    </row>
    <row r="4" spans="1:15" ht="14.4" x14ac:dyDescent="0.25">
      <c r="A4" s="64" t="s">
        <v>2</v>
      </c>
      <c r="B4" s="2"/>
      <c r="C4" s="95"/>
      <c r="D4" s="95"/>
      <c r="E4" s="95"/>
      <c r="F4" s="95"/>
      <c r="G4" s="71"/>
      <c r="H4" s="71"/>
      <c r="I4" s="67"/>
    </row>
    <row r="5" spans="1:15" ht="14.4" x14ac:dyDescent="0.25">
      <c r="A5" s="64" t="s">
        <v>3</v>
      </c>
      <c r="B5" s="2"/>
      <c r="C5" s="95"/>
      <c r="D5" s="95"/>
      <c r="E5" s="95"/>
      <c r="F5" s="95"/>
      <c r="G5" s="71"/>
      <c r="H5" s="71"/>
      <c r="I5" s="67"/>
    </row>
    <row r="6" spans="1:15" ht="14.4" x14ac:dyDescent="0.25">
      <c r="A6" s="64"/>
      <c r="B6" s="2"/>
      <c r="C6" s="95"/>
      <c r="D6" s="95"/>
      <c r="E6" s="95"/>
      <c r="F6" s="95"/>
      <c r="G6" s="71"/>
      <c r="H6" s="71"/>
      <c r="I6" s="67"/>
      <c r="K6" s="96"/>
    </row>
    <row r="7" spans="1:15" ht="14.4" x14ac:dyDescent="0.25">
      <c r="A7" s="64"/>
      <c r="B7" s="2"/>
      <c r="C7" s="95"/>
      <c r="D7" s="95"/>
      <c r="E7" s="95"/>
      <c r="F7" s="95"/>
      <c r="G7" s="71"/>
      <c r="H7" s="71"/>
      <c r="I7" s="67"/>
      <c r="K7" s="96"/>
    </row>
    <row r="8" spans="1:15" ht="14.4" x14ac:dyDescent="0.25">
      <c r="A8" s="64"/>
      <c r="B8" s="2"/>
      <c r="C8" s="95"/>
      <c r="D8" s="95"/>
      <c r="E8" s="95"/>
      <c r="F8" s="95"/>
      <c r="G8" s="71"/>
      <c r="H8" s="71"/>
      <c r="I8" s="67"/>
      <c r="K8" s="96"/>
    </row>
    <row r="9" spans="1:15" ht="14.4" x14ac:dyDescent="0.25">
      <c r="A9" s="64"/>
      <c r="B9" s="2"/>
      <c r="C9" s="95"/>
      <c r="D9" s="95"/>
      <c r="E9" s="95"/>
      <c r="F9" s="95"/>
      <c r="G9" s="71"/>
      <c r="H9" s="71"/>
      <c r="I9" s="67"/>
      <c r="K9" s="96"/>
    </row>
    <row r="10" spans="1:15" ht="15" customHeight="1" x14ac:dyDescent="0.25">
      <c r="A10" s="64"/>
      <c r="B10" s="2"/>
      <c r="C10" s="95"/>
      <c r="D10" s="95"/>
      <c r="E10" s="95"/>
      <c r="F10" s="95"/>
      <c r="G10" s="71"/>
      <c r="H10" s="71"/>
      <c r="I10" s="67"/>
      <c r="J10" s="97"/>
    </row>
    <row r="11" spans="1:15" ht="14.4" x14ac:dyDescent="0.25">
      <c r="A11" s="168" t="str">
        <f>Orçamento!A8</f>
        <v>Propritário: PREFEITURA MUNICIPAL DE VIDAL RAMOS</v>
      </c>
      <c r="B11" s="3"/>
      <c r="C11" s="69"/>
      <c r="D11" s="69"/>
      <c r="E11" s="70"/>
      <c r="F11" s="71"/>
      <c r="G11" s="71"/>
      <c r="H11" s="71"/>
      <c r="I11" s="67"/>
      <c r="L11" s="96"/>
      <c r="M11" s="96"/>
      <c r="N11" s="96"/>
      <c r="O11" s="96"/>
    </row>
    <row r="12" spans="1:15" ht="15.9" customHeight="1" x14ac:dyDescent="0.3">
      <c r="A12" s="169" t="str">
        <f>Orçamento!A9</f>
        <v>Obra:CONSTRUÇÃO DO CENTRO DE CONVIVENCIA DO IDOSO</v>
      </c>
      <c r="B12" s="3"/>
      <c r="C12" s="69"/>
      <c r="D12" s="69"/>
      <c r="E12" s="70"/>
      <c r="F12"/>
      <c r="G12" t="str">
        <f>Orçamento!G9</f>
        <v>Data: 22/12/25</v>
      </c>
      <c r="H12" s="71"/>
      <c r="I12" s="67"/>
    </row>
    <row r="13" spans="1:15" ht="14.4" x14ac:dyDescent="0.25">
      <c r="A13" s="168" t="str">
        <f>Orçamento!A10</f>
        <v>Endereço: RODOVIA SC 110 - VIDAL RAMOS/SC</v>
      </c>
      <c r="B13" s="3"/>
      <c r="C13" s="69"/>
      <c r="D13" s="69"/>
      <c r="E13" s="70"/>
      <c r="F13" s="64"/>
      <c r="G13" s="64" t="s">
        <v>383</v>
      </c>
      <c r="H13" s="71"/>
      <c r="I13" s="67"/>
    </row>
    <row r="14" spans="1:15" ht="14.4" x14ac:dyDescent="0.25">
      <c r="A14" s="64"/>
      <c r="B14" s="3"/>
      <c r="C14" s="69"/>
      <c r="D14" s="69"/>
      <c r="E14" s="70"/>
      <c r="F14" s="64"/>
      <c r="G14" s="64"/>
      <c r="H14" s="71"/>
      <c r="I14" s="67"/>
    </row>
    <row r="15" spans="1:15" ht="14.4" x14ac:dyDescent="0.25">
      <c r="A15" s="64"/>
      <c r="B15" s="3"/>
      <c r="C15" s="69"/>
      <c r="D15" s="69"/>
      <c r="E15" s="70"/>
      <c r="F15" s="64"/>
      <c r="G15" s="64"/>
      <c r="H15" s="71"/>
      <c r="I15" s="67"/>
    </row>
    <row r="16" spans="1:15" ht="13.8" thickBot="1" x14ac:dyDescent="0.35">
      <c r="E16" s="68"/>
      <c r="I16" s="67"/>
    </row>
    <row r="17" spans="1:15" ht="16.2" thickBot="1" x14ac:dyDescent="0.35">
      <c r="A17" s="184" t="s">
        <v>384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6"/>
    </row>
    <row r="18" spans="1:15" ht="14.4" thickBot="1" x14ac:dyDescent="0.35">
      <c r="A18" s="172" t="s">
        <v>7</v>
      </c>
      <c r="B18" s="173" t="s">
        <v>385</v>
      </c>
      <c r="C18" s="173" t="s">
        <v>131</v>
      </c>
      <c r="D18" s="173" t="s">
        <v>386</v>
      </c>
      <c r="E18" s="173" t="s">
        <v>387</v>
      </c>
      <c r="F18" s="173" t="s">
        <v>386</v>
      </c>
      <c r="G18" s="173" t="s">
        <v>388</v>
      </c>
      <c r="H18" s="173" t="s">
        <v>386</v>
      </c>
      <c r="I18" s="173" t="s">
        <v>389</v>
      </c>
      <c r="J18" s="173" t="s">
        <v>386</v>
      </c>
      <c r="K18" s="173" t="s">
        <v>450</v>
      </c>
      <c r="L18" s="174" t="s">
        <v>386</v>
      </c>
      <c r="M18" s="173" t="s">
        <v>451</v>
      </c>
      <c r="N18" s="174" t="s">
        <v>386</v>
      </c>
    </row>
    <row r="19" spans="1:15" ht="13.8" x14ac:dyDescent="0.3">
      <c r="A19" s="99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</row>
    <row r="20" spans="1:15" ht="13.8" x14ac:dyDescent="0.3">
      <c r="A20" s="101">
        <v>1</v>
      </c>
      <c r="B20" s="102" t="str">
        <f>[1]Orçamento!C21</f>
        <v>SERVIÇOS INICIAIS</v>
      </c>
      <c r="C20" s="103">
        <f>Orçamento!H15</f>
        <v>32357.65</v>
      </c>
      <c r="D20" s="104">
        <f>C20/C33</f>
        <v>3.1960621417682342E-2</v>
      </c>
      <c r="E20" s="105">
        <f>C20*F20</f>
        <v>32357.65</v>
      </c>
      <c r="F20" s="106">
        <v>1</v>
      </c>
      <c r="G20" s="105">
        <f>C20*H20</f>
        <v>0</v>
      </c>
      <c r="H20" s="104"/>
      <c r="I20" s="105">
        <f>C20*J20</f>
        <v>0</v>
      </c>
      <c r="J20" s="104"/>
      <c r="K20" s="105">
        <f>C20*L20</f>
        <v>0</v>
      </c>
      <c r="L20" s="104"/>
      <c r="M20" s="105">
        <f>C20*N20</f>
        <v>0</v>
      </c>
      <c r="N20" s="104"/>
      <c r="O20" s="107">
        <f>L20+J20+H20+F20+N20</f>
        <v>1</v>
      </c>
    </row>
    <row r="21" spans="1:15" ht="13.8" x14ac:dyDescent="0.3">
      <c r="A21" s="101">
        <v>2</v>
      </c>
      <c r="B21" s="102" t="str">
        <f>Orçamento!C22</f>
        <v>INFRAESTRUTURA</v>
      </c>
      <c r="C21" s="103">
        <f>Orçamento!H22</f>
        <v>38903.759999999995</v>
      </c>
      <c r="D21" s="104">
        <f>C21/C33</f>
        <v>3.8426410604119068E-2</v>
      </c>
      <c r="E21" s="105">
        <f>C21*F21</f>
        <v>38903.759999999995</v>
      </c>
      <c r="F21" s="106">
        <v>1</v>
      </c>
      <c r="G21" s="105">
        <f>C21*H21</f>
        <v>0</v>
      </c>
      <c r="H21" s="104"/>
      <c r="I21" s="105">
        <f>C21*J21</f>
        <v>0</v>
      </c>
      <c r="J21" s="104"/>
      <c r="K21" s="105">
        <f t="shared" ref="K21:K31" si="0">C21*L21</f>
        <v>0</v>
      </c>
      <c r="L21" s="104"/>
      <c r="M21" s="105">
        <f t="shared" ref="M21:M31" si="1">C21*N21</f>
        <v>0</v>
      </c>
      <c r="N21" s="104"/>
      <c r="O21" s="107">
        <f t="shared" ref="O21:O31" si="2">L21+J21+H21+F21+N21</f>
        <v>1</v>
      </c>
    </row>
    <row r="22" spans="1:15" ht="13.8" x14ac:dyDescent="0.3">
      <c r="A22" s="101">
        <v>3</v>
      </c>
      <c r="B22" s="102" t="str">
        <f>Orçamento!C29</f>
        <v>SUPERESTRUTURA</v>
      </c>
      <c r="C22" s="103">
        <f>Orçamento!H29</f>
        <v>117303.22</v>
      </c>
      <c r="D22" s="104">
        <f>C22/C33</f>
        <v>0.11586390870459083</v>
      </c>
      <c r="E22" s="105">
        <f>C22*F22</f>
        <v>41056.127</v>
      </c>
      <c r="F22" s="106">
        <v>0.35</v>
      </c>
      <c r="G22" s="105">
        <f>C22*H22</f>
        <v>58651.61</v>
      </c>
      <c r="H22" s="104">
        <v>0.5</v>
      </c>
      <c r="I22" s="105">
        <f>C22*J22</f>
        <v>17595.483</v>
      </c>
      <c r="J22" s="104">
        <v>0.15</v>
      </c>
      <c r="K22" s="105">
        <f t="shared" si="0"/>
        <v>0</v>
      </c>
      <c r="L22" s="104"/>
      <c r="M22" s="105">
        <f t="shared" si="1"/>
        <v>0</v>
      </c>
      <c r="N22" s="104"/>
      <c r="O22" s="107">
        <f t="shared" si="2"/>
        <v>1</v>
      </c>
    </row>
    <row r="23" spans="1:15" ht="13.8" x14ac:dyDescent="0.3">
      <c r="A23" s="101">
        <v>4</v>
      </c>
      <c r="B23" s="102" t="str">
        <f>Orçamento!C41</f>
        <v>ALVENARIA/REVESTIMENTOS VERTICAIS</v>
      </c>
      <c r="C23" s="103">
        <f>Orçamento!H41</f>
        <v>132024.95999999999</v>
      </c>
      <c r="D23" s="104">
        <f>C23/C33</f>
        <v>0.13040501285614542</v>
      </c>
      <c r="E23" s="105">
        <f t="shared" ref="E23:E31" si="3">C23*F23</f>
        <v>0</v>
      </c>
      <c r="F23" s="106"/>
      <c r="G23" s="105">
        <f>C23*H23</f>
        <v>92417.471999999994</v>
      </c>
      <c r="H23" s="104">
        <v>0.7</v>
      </c>
      <c r="I23" s="105">
        <f>C23*J23</f>
        <v>39607.487999999998</v>
      </c>
      <c r="J23" s="104">
        <v>0.3</v>
      </c>
      <c r="K23" s="105">
        <f t="shared" si="0"/>
        <v>0</v>
      </c>
      <c r="L23" s="104"/>
      <c r="M23" s="105">
        <f t="shared" si="1"/>
        <v>0</v>
      </c>
      <c r="N23" s="104"/>
      <c r="O23" s="107">
        <f t="shared" si="2"/>
        <v>1</v>
      </c>
    </row>
    <row r="24" spans="1:15" ht="13.8" x14ac:dyDescent="0.3">
      <c r="A24" s="101">
        <v>5</v>
      </c>
      <c r="B24" s="102" t="str">
        <f>Orçamento!C51</f>
        <v>PISOS/ REVESTIMENTOS HORIZONTAIS</v>
      </c>
      <c r="C24" s="103">
        <f>Orçamento!H51</f>
        <v>94425</v>
      </c>
      <c r="D24" s="104">
        <f>C24/C33</f>
        <v>9.3266404617290036E-2</v>
      </c>
      <c r="E24" s="105">
        <f t="shared" si="3"/>
        <v>0</v>
      </c>
      <c r="F24" s="106"/>
      <c r="G24" s="105">
        <f t="shared" ref="G24:G31" si="4">C24*H24</f>
        <v>0</v>
      </c>
      <c r="H24" s="104"/>
      <c r="I24" s="105">
        <f>C24*J24</f>
        <v>47212.5</v>
      </c>
      <c r="J24" s="104">
        <v>0.5</v>
      </c>
      <c r="K24" s="105">
        <f t="shared" si="0"/>
        <v>37770</v>
      </c>
      <c r="L24" s="104">
        <v>0.4</v>
      </c>
      <c r="M24" s="105">
        <f t="shared" si="1"/>
        <v>9442.5</v>
      </c>
      <c r="N24" s="104">
        <v>0.1</v>
      </c>
      <c r="O24" s="107">
        <f t="shared" si="2"/>
        <v>1</v>
      </c>
    </row>
    <row r="25" spans="1:15" ht="13.8" x14ac:dyDescent="0.3">
      <c r="A25" s="101">
        <v>6</v>
      </c>
      <c r="B25" s="102" t="str">
        <f>Orçamento!C65</f>
        <v>ESQUADRIAS</v>
      </c>
      <c r="C25" s="103">
        <f>Orçamento!H65</f>
        <v>67366.710000000006</v>
      </c>
      <c r="D25" s="104">
        <f>C25/C33</f>
        <v>6.6540120016898477E-2</v>
      </c>
      <c r="E25" s="105">
        <f t="shared" si="3"/>
        <v>0</v>
      </c>
      <c r="F25" s="106"/>
      <c r="G25" s="105">
        <f t="shared" si="4"/>
        <v>0</v>
      </c>
      <c r="H25" s="104"/>
      <c r="I25" s="105">
        <f t="shared" ref="I25:I31" si="5">C25*J25</f>
        <v>0</v>
      </c>
      <c r="J25" s="104"/>
      <c r="K25" s="105">
        <f t="shared" si="0"/>
        <v>26946.684000000005</v>
      </c>
      <c r="L25" s="104">
        <v>0.4</v>
      </c>
      <c r="M25" s="105">
        <f t="shared" si="1"/>
        <v>40420.026000000005</v>
      </c>
      <c r="N25" s="104">
        <v>0.6</v>
      </c>
      <c r="O25" s="107">
        <f t="shared" si="2"/>
        <v>1</v>
      </c>
    </row>
    <row r="26" spans="1:15" ht="13.8" x14ac:dyDescent="0.3">
      <c r="A26" s="101">
        <v>7</v>
      </c>
      <c r="B26" s="102" t="str">
        <f>Orçamento!C73</f>
        <v>COBERTURA/FORRO</v>
      </c>
      <c r="C26" s="103">
        <f>Orçamento!H73</f>
        <v>381776.06000000011</v>
      </c>
      <c r="D26" s="104">
        <f>C26/C33</f>
        <v>0.37709166518564796</v>
      </c>
      <c r="E26" s="105">
        <f t="shared" si="3"/>
        <v>0</v>
      </c>
      <c r="F26" s="106"/>
      <c r="G26" s="105">
        <f t="shared" si="4"/>
        <v>0</v>
      </c>
      <c r="H26" s="104"/>
      <c r="I26" s="105">
        <f t="shared" si="5"/>
        <v>152710.42400000006</v>
      </c>
      <c r="J26" s="104">
        <v>0.4</v>
      </c>
      <c r="K26" s="105">
        <f t="shared" si="0"/>
        <v>152710.42400000006</v>
      </c>
      <c r="L26" s="104">
        <v>0.4</v>
      </c>
      <c r="M26" s="105">
        <f t="shared" si="1"/>
        <v>76355.212000000029</v>
      </c>
      <c r="N26" s="104">
        <v>0.2</v>
      </c>
      <c r="O26" s="107">
        <f t="shared" si="2"/>
        <v>1</v>
      </c>
    </row>
    <row r="27" spans="1:15" ht="13.8" x14ac:dyDescent="0.3">
      <c r="A27" s="101">
        <v>8</v>
      </c>
      <c r="B27" s="102" t="str">
        <f>Orçamento!C85</f>
        <v>INSTALAÇÕES ELÉTRICAS</v>
      </c>
      <c r="C27" s="103">
        <f>Orçamento!H85</f>
        <v>35500.19</v>
      </c>
      <c r="D27" s="104">
        <f>C27/C33</f>
        <v>3.5064602430825244E-2</v>
      </c>
      <c r="E27" s="105">
        <f t="shared" si="3"/>
        <v>7100.0380000000005</v>
      </c>
      <c r="F27" s="106">
        <v>0.2</v>
      </c>
      <c r="G27" s="105">
        <f t="shared" si="4"/>
        <v>7100.0380000000005</v>
      </c>
      <c r="H27" s="104">
        <v>0.2</v>
      </c>
      <c r="I27" s="105">
        <f t="shared" si="5"/>
        <v>7100.0380000000005</v>
      </c>
      <c r="J27" s="104">
        <v>0.2</v>
      </c>
      <c r="K27" s="105">
        <f t="shared" si="0"/>
        <v>7100.0380000000005</v>
      </c>
      <c r="L27" s="104">
        <v>0.2</v>
      </c>
      <c r="M27" s="105">
        <f t="shared" si="1"/>
        <v>7100.0380000000005</v>
      </c>
      <c r="N27" s="104">
        <v>0.2</v>
      </c>
      <c r="O27" s="107">
        <f t="shared" si="2"/>
        <v>1</v>
      </c>
    </row>
    <row r="28" spans="1:15" ht="13.8" x14ac:dyDescent="0.3">
      <c r="A28" s="101">
        <v>9</v>
      </c>
      <c r="B28" s="102" t="str">
        <f>Orçamento!C121</f>
        <v>INSTALAÇÕES HIDROSSANITÁRIAS</v>
      </c>
      <c r="C28" s="103">
        <f>Orçamento!H121</f>
        <v>80757.14</v>
      </c>
      <c r="D28" s="104">
        <f>C28/C33</f>
        <v>7.9766249351073737E-2</v>
      </c>
      <c r="E28" s="105">
        <f t="shared" si="3"/>
        <v>16151.428</v>
      </c>
      <c r="F28" s="106">
        <v>0.2</v>
      </c>
      <c r="G28" s="105">
        <f t="shared" si="4"/>
        <v>16151.428</v>
      </c>
      <c r="H28" s="104">
        <v>0.2</v>
      </c>
      <c r="I28" s="105">
        <f t="shared" si="5"/>
        <v>16151.428</v>
      </c>
      <c r="J28" s="104">
        <v>0.2</v>
      </c>
      <c r="K28" s="105">
        <f t="shared" si="0"/>
        <v>16151.428</v>
      </c>
      <c r="L28" s="104">
        <v>0.2</v>
      </c>
      <c r="M28" s="105">
        <f t="shared" si="1"/>
        <v>16151.428</v>
      </c>
      <c r="N28" s="104">
        <v>0.2</v>
      </c>
      <c r="O28" s="107">
        <f t="shared" si="2"/>
        <v>1</v>
      </c>
    </row>
    <row r="29" spans="1:15" ht="13.8" x14ac:dyDescent="0.3">
      <c r="A29" s="101">
        <v>10</v>
      </c>
      <c r="B29" s="102" t="str">
        <f>Orçamento!C181</f>
        <v>PREVENTIVO / INSTALAÇÃO GÁS</v>
      </c>
      <c r="C29" s="103">
        <f>Orçamento!H181</f>
        <v>5758.0300000000007</v>
      </c>
      <c r="D29" s="104">
        <f>C29/C33</f>
        <v>5.6873789333173903E-3</v>
      </c>
      <c r="E29" s="105">
        <f t="shared" si="3"/>
        <v>0</v>
      </c>
      <c r="F29" s="106"/>
      <c r="G29" s="105">
        <f t="shared" si="4"/>
        <v>0</v>
      </c>
      <c r="H29" s="104"/>
      <c r="I29" s="105">
        <f t="shared" si="5"/>
        <v>0</v>
      </c>
      <c r="J29" s="104"/>
      <c r="K29" s="105">
        <f t="shared" si="0"/>
        <v>0</v>
      </c>
      <c r="L29" s="104"/>
      <c r="M29" s="105">
        <f t="shared" si="1"/>
        <v>5758.0300000000007</v>
      </c>
      <c r="N29" s="104">
        <v>1</v>
      </c>
      <c r="O29" s="107">
        <f t="shared" si="2"/>
        <v>1</v>
      </c>
    </row>
    <row r="30" spans="1:15" ht="13.8" x14ac:dyDescent="0.3">
      <c r="A30" s="101">
        <v>11</v>
      </c>
      <c r="B30" s="108" t="str">
        <f>Orçamento!C192</f>
        <v>PINTURA</v>
      </c>
      <c r="C30" s="103">
        <f>Orçamento!H192</f>
        <v>24834.35</v>
      </c>
      <c r="D30" s="104">
        <f>C30/C33</f>
        <v>2.4529632359093424E-2</v>
      </c>
      <c r="E30" s="105">
        <f t="shared" si="3"/>
        <v>0</v>
      </c>
      <c r="F30" s="106"/>
      <c r="G30" s="105">
        <f t="shared" si="4"/>
        <v>0</v>
      </c>
      <c r="H30" s="104"/>
      <c r="I30" s="105">
        <f t="shared" si="5"/>
        <v>0</v>
      </c>
      <c r="J30" s="104"/>
      <c r="K30" s="105">
        <f t="shared" si="0"/>
        <v>4966.87</v>
      </c>
      <c r="L30" s="104">
        <v>0.2</v>
      </c>
      <c r="M30" s="105">
        <f t="shared" si="1"/>
        <v>19867.48</v>
      </c>
      <c r="N30" s="104">
        <v>0.8</v>
      </c>
      <c r="O30" s="107">
        <f t="shared" si="2"/>
        <v>1</v>
      </c>
    </row>
    <row r="31" spans="1:15" ht="13.8" x14ac:dyDescent="0.3">
      <c r="A31" s="101">
        <v>12</v>
      </c>
      <c r="B31" s="108" t="str">
        <f>Orçamento!C196</f>
        <v>LIMPEZA</v>
      </c>
      <c r="C31" s="103">
        <f>Orçamento!H196</f>
        <v>1415.36</v>
      </c>
      <c r="D31" s="104">
        <f>C31/C33</f>
        <v>1.3979935233161516E-3</v>
      </c>
      <c r="E31" s="105">
        <f t="shared" si="3"/>
        <v>0</v>
      </c>
      <c r="F31" s="106"/>
      <c r="G31" s="105">
        <f t="shared" si="4"/>
        <v>0</v>
      </c>
      <c r="H31" s="104"/>
      <c r="I31" s="105">
        <f t="shared" si="5"/>
        <v>1415.36</v>
      </c>
      <c r="J31" s="104">
        <v>1</v>
      </c>
      <c r="K31" s="105">
        <f t="shared" si="0"/>
        <v>0</v>
      </c>
      <c r="L31" s="104"/>
      <c r="M31" s="105">
        <f t="shared" si="1"/>
        <v>0</v>
      </c>
      <c r="N31" s="104"/>
      <c r="O31" s="107">
        <f t="shared" si="2"/>
        <v>1</v>
      </c>
    </row>
    <row r="32" spans="1:15" ht="14.4" thickBot="1" x14ac:dyDescent="0.35">
      <c r="A32" s="109"/>
      <c r="B32" s="110"/>
      <c r="C32" s="111"/>
      <c r="D32" s="112"/>
      <c r="E32" s="113"/>
      <c r="F32" s="114"/>
      <c r="G32" s="113"/>
      <c r="H32" s="112"/>
      <c r="I32" s="113"/>
      <c r="J32" s="112"/>
      <c r="K32" s="113"/>
      <c r="L32" s="112"/>
      <c r="M32" s="113"/>
      <c r="N32" s="112"/>
    </row>
    <row r="33" spans="1:14" ht="13.8" x14ac:dyDescent="0.3">
      <c r="A33" s="148" t="s">
        <v>390</v>
      </c>
      <c r="B33" s="149"/>
      <c r="C33" s="150">
        <f>SUM(C20:C31)</f>
        <v>1012422.43</v>
      </c>
      <c r="D33" s="152">
        <f>SUM(D20:D31)</f>
        <v>1</v>
      </c>
      <c r="E33" s="115">
        <f>SUM(E20:E31)</f>
        <v>135569.00300000003</v>
      </c>
      <c r="F33" s="116">
        <f>E33/C33</f>
        <v>0.13390557042478801</v>
      </c>
      <c r="G33" s="115">
        <f>SUM(G20:G31)</f>
        <v>174320.54800000001</v>
      </c>
      <c r="H33" s="116">
        <f>G33/C33</f>
        <v>0.17218163370797701</v>
      </c>
      <c r="I33" s="115">
        <f>SUM(I20:I31)</f>
        <v>281792.72100000008</v>
      </c>
      <c r="J33" s="116">
        <f>I33/C33</f>
        <v>0.27833512242513242</v>
      </c>
      <c r="K33" s="115">
        <f>SUM(K20:K31)</f>
        <v>245645.44400000008</v>
      </c>
      <c r="L33" s="116">
        <f>K33/C33</f>
        <v>0.24263137275613308</v>
      </c>
      <c r="M33" s="115">
        <f>SUM(M20:M31)</f>
        <v>175094.71400000004</v>
      </c>
      <c r="N33" s="116">
        <f>M33/C33</f>
        <v>0.17294630068596961</v>
      </c>
    </row>
    <row r="34" spans="1:14" ht="14.4" thickBot="1" x14ac:dyDescent="0.35">
      <c r="A34" s="154" t="s">
        <v>391</v>
      </c>
      <c r="B34" s="155"/>
      <c r="C34" s="151"/>
      <c r="D34" s="153"/>
      <c r="E34" s="117">
        <f>E33</f>
        <v>135569.00300000003</v>
      </c>
      <c r="F34" s="118">
        <f>E34/C33</f>
        <v>0.13390557042478801</v>
      </c>
      <c r="G34" s="117">
        <f>G33+E34</f>
        <v>309889.55100000004</v>
      </c>
      <c r="H34" s="118">
        <f>G34/C33</f>
        <v>0.30608720413276502</v>
      </c>
      <c r="I34" s="117">
        <f>I33+G34</f>
        <v>591682.27200000011</v>
      </c>
      <c r="J34" s="118">
        <f>I34/C33</f>
        <v>0.5844223265578975</v>
      </c>
      <c r="K34" s="117">
        <f>K33+I34</f>
        <v>837327.71600000025</v>
      </c>
      <c r="L34" s="118">
        <f>K34/C33</f>
        <v>0.82705369931403061</v>
      </c>
      <c r="M34" s="117">
        <f>M33+K34</f>
        <v>1012422.4300000003</v>
      </c>
      <c r="N34" s="118">
        <f>M34/C33</f>
        <v>1.0000000000000002</v>
      </c>
    </row>
    <row r="35" spans="1:14" x14ac:dyDescent="0.3">
      <c r="A35" s="119"/>
      <c r="B35" s="119"/>
      <c r="C35" s="120"/>
      <c r="D35" s="121"/>
      <c r="E35" s="122"/>
      <c r="F35" s="123"/>
      <c r="G35" s="123"/>
      <c r="H35" s="123"/>
      <c r="I35" s="123"/>
    </row>
    <row r="36" spans="1:14" x14ac:dyDescent="0.25">
      <c r="A36" s="156"/>
      <c r="B36" s="156"/>
      <c r="C36" s="156"/>
      <c r="D36" s="156"/>
      <c r="E36" s="156"/>
      <c r="F36" s="156"/>
      <c r="G36" s="156"/>
      <c r="H36" s="156"/>
      <c r="I36" s="156"/>
    </row>
    <row r="37" spans="1:14" x14ac:dyDescent="0.25">
      <c r="A37" s="124"/>
      <c r="B37" s="124"/>
      <c r="C37" s="124"/>
      <c r="D37" s="124"/>
      <c r="E37" s="124"/>
      <c r="F37" s="124"/>
      <c r="G37" s="124"/>
      <c r="H37" s="124"/>
      <c r="I37" s="124"/>
    </row>
    <row r="38" spans="1:14" x14ac:dyDescent="0.25">
      <c r="A38" s="124"/>
      <c r="B38" s="124"/>
      <c r="C38" s="124"/>
      <c r="D38" s="124"/>
      <c r="E38" s="124"/>
      <c r="F38" s="124"/>
      <c r="G38" s="124"/>
      <c r="H38" s="124"/>
      <c r="I38" s="124"/>
    </row>
    <row r="39" spans="1:14" x14ac:dyDescent="0.25">
      <c r="A39" s="124"/>
      <c r="B39" s="124"/>
      <c r="C39" s="124"/>
      <c r="D39" s="124"/>
      <c r="E39" s="124"/>
      <c r="F39" s="124"/>
      <c r="G39" s="124"/>
      <c r="H39" s="124"/>
      <c r="I39" s="124"/>
    </row>
    <row r="40" spans="1:14" x14ac:dyDescent="0.3">
      <c r="D40" s="125"/>
    </row>
    <row r="43" spans="1:14" ht="14.4" x14ac:dyDescent="0.3">
      <c r="C43" s="69" t="s">
        <v>133</v>
      </c>
    </row>
    <row r="44" spans="1:14" ht="14.4" x14ac:dyDescent="0.3">
      <c r="C44" s="69" t="s">
        <v>134</v>
      </c>
    </row>
    <row r="45" spans="1:14" ht="14.4" x14ac:dyDescent="0.3">
      <c r="C45" s="69" t="s">
        <v>135</v>
      </c>
    </row>
    <row r="46" spans="1:14" x14ac:dyDescent="0.3">
      <c r="C46" s="126" t="s">
        <v>136</v>
      </c>
    </row>
  </sheetData>
  <mergeCells count="6">
    <mergeCell ref="A36:I36"/>
    <mergeCell ref="A17:N17"/>
    <mergeCell ref="A33:B33"/>
    <mergeCell ref="C33:C34"/>
    <mergeCell ref="D33:D34"/>
    <mergeCell ref="A34:B34"/>
  </mergeCells>
  <pageMargins left="0.51181102362204722" right="0.51181102362204722" top="0.78740157480314965" bottom="0.78740157480314965" header="0.31496062992125984" footer="0.31496062992125984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Orçamento</vt:lpstr>
      <vt:lpstr>BDI</vt:lpstr>
      <vt:lpstr>Cronogrma</vt:lpstr>
      <vt:lpstr>BDI!Area_de_impressao</vt:lpstr>
      <vt:lpstr>Cronogrma!Area_de_impressao</vt:lpstr>
      <vt:lpstr>Orçamento!Area_de_impressao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2025-12-23T14:02:59Z</cp:lastPrinted>
  <dcterms:created xsi:type="dcterms:W3CDTF">2025-12-01T21:17:16Z</dcterms:created>
  <dcterms:modified xsi:type="dcterms:W3CDTF">2025-12-23T14:20:41Z</dcterms:modified>
</cp:coreProperties>
</file>