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Z:\COMPRAS\DPTO COMPRAS\ComprasAdministracao\Marco\Licitações-2025\Edital nr. xxx.2025 - PE - MO\Planilha final\"/>
    </mc:Choice>
  </mc:AlternateContent>
  <xr:revisionPtr revIDLastSave="0" documentId="13_ncr:1_{7FDED578-5168-487C-91F6-4CA13395347E}" xr6:coauthVersionLast="47" xr6:coauthVersionMax="47" xr10:uidLastSave="{00000000-0000-0000-0000-000000000000}"/>
  <bookViews>
    <workbookView xWindow="-120" yWindow="-120" windowWidth="29040" windowHeight="15840" activeTab="1" xr2:uid="{8BA1D4A0-F227-46FA-ADB1-7D15F58E5FA4}"/>
  </bookViews>
  <sheets>
    <sheet name="Limpeza 12x36 diurno" sheetId="4" r:id="rId1"/>
    <sheet name="Uniformes e EPI" sheetId="13" r:id="rId2"/>
    <sheet name="Memória de Cálculo Salarial" sheetId="12" state="hidden" r:id="rId3"/>
  </sheets>
  <externalReferences>
    <externalReference r:id="rId4"/>
  </externalReferences>
  <definedNames>
    <definedName name="asdf">#REF!</definedName>
    <definedName name="asdff">#REF!</definedName>
    <definedName name="asdfff">#REF!</definedName>
    <definedName name="ISS">#REF!</definedName>
    <definedName name="Serviços">'[1]Dados - Não mexer'!$A:$A</definedName>
    <definedName name="UniformeMensageiro">#REF!</definedName>
    <definedName name="UniformeMensageiros">#REF!</definedName>
    <definedName name="UniformeRecepcionist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13" l="1"/>
  <c r="D8" i="13"/>
  <c r="D7" i="13"/>
  <c r="D6" i="13"/>
  <c r="D5" i="13"/>
  <c r="D4" i="13"/>
  <c r="D3" i="13"/>
  <c r="D2" i="13"/>
  <c r="E50" i="4" l="1"/>
  <c r="E52" i="4"/>
  <c r="E53" i="4" s="1"/>
  <c r="E55" i="4"/>
  <c r="D38" i="4"/>
  <c r="E19" i="4"/>
  <c r="D89" i="4"/>
  <c r="D76" i="4" l="1"/>
  <c r="D74" i="4"/>
  <c r="D73" i="4"/>
  <c r="D71" i="4"/>
  <c r="D72" i="4" s="1"/>
  <c r="D29" i="4"/>
  <c r="D28" i="4"/>
  <c r="D88" i="4"/>
  <c r="D87" i="4"/>
  <c r="E21" i="12"/>
  <c r="D91" i="4" l="1"/>
  <c r="E110" i="4" l="1"/>
  <c r="E134" i="4" l="1"/>
  <c r="D44" i="4"/>
  <c r="D75" i="4" s="1"/>
  <c r="D123" i="4"/>
  <c r="D117" i="4"/>
  <c r="D116" i="4"/>
  <c r="D90" i="4"/>
  <c r="D86" i="4"/>
  <c r="D92" i="4" s="1"/>
  <c r="D30" i="4"/>
  <c r="E51" i="4"/>
  <c r="E18" i="4" l="1"/>
  <c r="D93" i="4"/>
  <c r="D118" i="4"/>
  <c r="E57" i="4" l="1"/>
  <c r="E66" i="4" s="1"/>
  <c r="D94" i="4"/>
  <c r="D77" i="4"/>
  <c r="E23" i="4" l="1"/>
  <c r="E75" i="4" s="1"/>
  <c r="E93" i="4" l="1"/>
  <c r="E89" i="4"/>
  <c r="E90" i="4"/>
  <c r="E86" i="4"/>
  <c r="E130" i="4"/>
  <c r="E72" i="4"/>
  <c r="E71" i="4"/>
  <c r="E28" i="4"/>
  <c r="E87" i="4"/>
  <c r="E73" i="4"/>
  <c r="E91" i="4"/>
  <c r="E74" i="4"/>
  <c r="E88" i="4"/>
  <c r="E29" i="4"/>
  <c r="E76" i="4"/>
  <c r="E30" i="4" l="1"/>
  <c r="E32" i="4" s="1"/>
  <c r="E92" i="4"/>
  <c r="E94" i="4" s="1"/>
  <c r="E133" i="4" s="1"/>
  <c r="E77" i="4"/>
  <c r="E132" i="4" s="1"/>
  <c r="E64" i="4" l="1"/>
  <c r="E36" i="4"/>
  <c r="E37" i="4"/>
  <c r="E43" i="4"/>
  <c r="E42" i="4"/>
  <c r="E40" i="4"/>
  <c r="E39" i="4"/>
  <c r="E38" i="4"/>
  <c r="E41" i="4"/>
  <c r="E44" i="4" l="1"/>
  <c r="E65" i="4" s="1"/>
  <c r="E67" i="4" s="1"/>
  <c r="E112" i="4" s="1"/>
  <c r="E116" i="4" l="1"/>
  <c r="E117" i="4" s="1"/>
  <c r="E118" i="4" s="1"/>
  <c r="E119" i="4" s="1"/>
  <c r="E123" i="4" s="1"/>
  <c r="E131" i="4"/>
  <c r="E124" i="4" l="1"/>
  <c r="E135" i="4" s="1"/>
  <c r="E136" i="4" s="1"/>
  <c r="E138" i="4" s="1"/>
  <c r="E139" i="4" s="1"/>
</calcChain>
</file>

<file path=xl/sharedStrings.xml><?xml version="1.0" encoding="utf-8"?>
<sst xmlns="http://schemas.openxmlformats.org/spreadsheetml/2006/main" count="239" uniqueCount="158">
  <si>
    <t xml:space="preserve">Total </t>
  </si>
  <si>
    <t>Lucro</t>
  </si>
  <si>
    <t>PLANILHA ANALÍTICA DE CUSTOS E FORMAÇÃO DE PREÇOS</t>
  </si>
  <si>
    <t>Unidade de Medida:</t>
  </si>
  <si>
    <t>Quantidade da unidade de medida:</t>
  </si>
  <si>
    <t>Quantidade de empregados por unidade de medida:</t>
  </si>
  <si>
    <t>Nº de meses da execução contratual:</t>
  </si>
  <si>
    <t>Piso da Categoria Profissional:</t>
  </si>
  <si>
    <t>Classificação Brasileira de Ocupações (CBO):</t>
  </si>
  <si>
    <t>Norma coletiva de Trabalho ou Sentença Normativa em Dissídio Coletivo:</t>
  </si>
  <si>
    <t>Nº do Registro da norma coletiva no MTE</t>
  </si>
  <si>
    <t>Data Base da Categoria:</t>
  </si>
  <si>
    <t>Turno:</t>
  </si>
  <si>
    <t>Salário Mínimo:</t>
  </si>
  <si>
    <t>Módulo 1 - Composição da Remuneração</t>
  </si>
  <si>
    <t>Composição da Remuneração</t>
  </si>
  <si>
    <t>Percentual (%)</t>
  </si>
  <si>
    <t>Valor (R$)</t>
  </si>
  <si>
    <t>A</t>
  </si>
  <si>
    <t>B</t>
  </si>
  <si>
    <t>Adicional de Periculosidade</t>
  </si>
  <si>
    <t>C</t>
  </si>
  <si>
    <t>Adicional de Insalubridade</t>
  </si>
  <si>
    <t>D</t>
  </si>
  <si>
    <t>Adicional Noturno</t>
  </si>
  <si>
    <t>E</t>
  </si>
  <si>
    <t>Adicional de Hora Noturna Reduzida</t>
  </si>
  <si>
    <t>F</t>
  </si>
  <si>
    <t>Total</t>
  </si>
  <si>
    <t>Módulo 2 - Encargos e Benefícios Anuais, Mensais e Diários</t>
  </si>
  <si>
    <t>Submódulo 2.1 - 13º (décimo terceiro) Salário, Um Terço Constitucional</t>
  </si>
  <si>
    <t>2.1</t>
  </si>
  <si>
    <t>13º (décimo terceiro) Salário e Um Terço Constitucional</t>
  </si>
  <si>
    <t>13º (décimo terceiro) Salário</t>
  </si>
  <si>
    <t>Um Terço Constitucional</t>
  </si>
  <si>
    <t>Total do Módulo I + Submódulo 2.1</t>
  </si>
  <si>
    <t>Submódulo 2.2 - Encargos Previdenciários (GPS), Fundo de Garantia por Tempo de Serviço (FGTS) e outras contribuições.</t>
  </si>
  <si>
    <t>2.2</t>
  </si>
  <si>
    <r>
      <t xml:space="preserve">GPS, FGTS e outras contribuições </t>
    </r>
    <r>
      <rPr>
        <b/>
        <vertAlign val="superscript"/>
        <sz val="10"/>
        <color rgb="FF000000"/>
        <rFont val="Times New Roman"/>
        <family val="1"/>
      </rPr>
      <t>1</t>
    </r>
  </si>
  <si>
    <t>INSS</t>
  </si>
  <si>
    <t>Salário Educação</t>
  </si>
  <si>
    <t>SESC ou SESI</t>
  </si>
  <si>
    <t>SENAI - SENAC</t>
  </si>
  <si>
    <t>SEBRAE</t>
  </si>
  <si>
    <t>G</t>
  </si>
  <si>
    <t>INCRA</t>
  </si>
  <si>
    <t>H</t>
  </si>
  <si>
    <t>FGTS</t>
  </si>
  <si>
    <t>Nota:</t>
  </si>
  <si>
    <t>Base de cálculo: Módulo 1 + Submódulo 2.1</t>
  </si>
  <si>
    <t>Submódulo 2.3 - Benefícios Mensais e Diários.</t>
  </si>
  <si>
    <t>2.3</t>
  </si>
  <si>
    <t>Benefícios Mensais e Diários</t>
  </si>
  <si>
    <r>
      <t xml:space="preserve">Transporte </t>
    </r>
    <r>
      <rPr>
        <vertAlign val="superscript"/>
        <sz val="10"/>
        <color rgb="FF000000"/>
        <rFont val="Times New Roman"/>
        <family val="1"/>
      </rPr>
      <t>1</t>
    </r>
  </si>
  <si>
    <t>A.1</t>
  </si>
  <si>
    <t>Desconto Legal do Vale-Transporte</t>
  </si>
  <si>
    <r>
      <t xml:space="preserve">Auxílio-Refeição/Alimentação </t>
    </r>
    <r>
      <rPr>
        <vertAlign val="superscript"/>
        <sz val="10"/>
        <color rgb="FF000000"/>
        <rFont val="Times New Roman"/>
        <family val="1"/>
      </rPr>
      <t>2</t>
    </r>
  </si>
  <si>
    <t>B.1</t>
  </si>
  <si>
    <t>Desconto sobre o Auxílio Alimentação (CCT)</t>
  </si>
  <si>
    <t>1 e 2</t>
  </si>
  <si>
    <t>Quadro-Resumo do Módulo 2 - Encargos e Benefícios anuais, mensais e diários</t>
  </si>
  <si>
    <t>Encargos e Benefícios Anuais, Mensais e Diários</t>
  </si>
  <si>
    <t>13º (décimo terceiro) Salário, Um terço constitucional</t>
  </si>
  <si>
    <t>GPS, FGTS e outras contribuições</t>
  </si>
  <si>
    <t>Módulo 3 - Provisão para Rescisão</t>
  </si>
  <si>
    <t>Provisão para Rescisão</t>
  </si>
  <si>
    <r>
      <t xml:space="preserve">Aviso Prévio Indenizado </t>
    </r>
    <r>
      <rPr>
        <vertAlign val="superscript"/>
        <sz val="10"/>
        <color rgb="FF000000"/>
        <rFont val="Times New Roman"/>
        <family val="1"/>
      </rPr>
      <t>1</t>
    </r>
  </si>
  <si>
    <r>
      <t xml:space="preserve">Incidência do FGTS sobre o Aviso Prévio Indenizado </t>
    </r>
    <r>
      <rPr>
        <vertAlign val="superscript"/>
        <sz val="10"/>
        <color rgb="FF000000"/>
        <rFont val="Times New Roman"/>
        <family val="1"/>
      </rPr>
      <t>2</t>
    </r>
  </si>
  <si>
    <t>Incidência dos encargos do submódulo 2.2 sobre o Aviso Prévio Trabalhado</t>
  </si>
  <si>
    <t>Multa do FGTS referente à demissão sem justa causa</t>
  </si>
  <si>
    <t>Cálculo do Percentual: ((1+(1/12)+(1/12)+(1/12/3))/12)*0,05*. Onde 1 corresponde ao valor da remuneração; 1/12, ao valor do 13º; 1/12, ao valor das férias do titular e 1/12/3, ao terço constitucional de férias do titular do posto; 0,05, estimativa que 5% dos empregados poderão ser demitidos dessa forma. Base de cálculo: Valor da Remuneração.</t>
  </si>
  <si>
    <t>No Aviso Prévio Indenizado não há provisão de encargo previdenciário, mas incide FGTS. Base de Cálculo: Valor da remuneração</t>
  </si>
  <si>
    <t>Estima-se que 100% dos empregados serão demitidos por aviso prévio trabalhado ao final da contratação. Para fins de precificação, pressupõe-se que haverá a redução de 7 dias de trabalho. Base de cálculo: Valor da Remuneração</t>
  </si>
  <si>
    <t>Módulo 4 - Custo de Reposição do Profissional ausente</t>
  </si>
  <si>
    <t>Submódulo 4.1 - Ausências Legais com incidência de encargos previstos no submódulo 2.2</t>
  </si>
  <si>
    <t>4.1</t>
  </si>
  <si>
    <t>Ausências Legais com incidência de encargos</t>
  </si>
  <si>
    <r>
      <t xml:space="preserve">Cobertura de Férias </t>
    </r>
    <r>
      <rPr>
        <vertAlign val="superscript"/>
        <sz val="10"/>
        <color rgb="FF202124"/>
        <rFont val="Times New Roman"/>
        <family val="1"/>
      </rPr>
      <t>1</t>
    </r>
  </si>
  <si>
    <r>
      <t xml:space="preserve">Ausências Legais </t>
    </r>
    <r>
      <rPr>
        <vertAlign val="superscript"/>
        <sz val="10"/>
        <color rgb="FF202124"/>
        <rFont val="Times New Roman"/>
        <family val="1"/>
      </rPr>
      <t>2</t>
    </r>
  </si>
  <si>
    <r>
      <t xml:space="preserve">Licença-Paternidade </t>
    </r>
    <r>
      <rPr>
        <vertAlign val="superscript"/>
        <sz val="10"/>
        <color rgb="FF202124"/>
        <rFont val="Times New Roman"/>
        <family val="1"/>
      </rPr>
      <t>3</t>
    </r>
  </si>
  <si>
    <r>
      <t xml:space="preserve">Afastamento por licença-maternidade </t>
    </r>
    <r>
      <rPr>
        <vertAlign val="superscript"/>
        <sz val="10"/>
        <color theme="1"/>
        <rFont val="Times New Roman"/>
        <family val="1"/>
      </rPr>
      <t>4</t>
    </r>
  </si>
  <si>
    <t>Subtotal</t>
  </si>
  <si>
    <t>Total  </t>
  </si>
  <si>
    <t>Infere-se que o folguista terá direito: à remuneração, ao 13º salário, às férias e ao terço constitucional de férias proporcionais. Base de cálculo: valor da remuneração.</t>
  </si>
  <si>
    <t>Este item previsto nos arts. 473 e 82 da CLT é composto por um conjunto de casos em que o funcionário pode faltar por determinadas razões com amparo legal e a contratada deve repor essa mão-de-obra.Estima-se que cada empregado poderá usufruir de 1 (um) dia de licença por ano (Acórdão-TCU nº 1.904-P, de 2007). Base de cálculo: valor da remuneração.</t>
  </si>
  <si>
    <t>Durante a licença, o salário maternidade e a parcela do décimo terceiro salário é custeado pelo INSS (Art. 59 da IN RFB 2110/2022). Cabe à contratada a provisão relativa às férias (1/12) e adicional de férias (1/12/3). Considerando taxa de natalidade de 1,62% ao ano (IBGE 2023), a força de trabalho feminina de 50% e 120 dias de licença por ano.</t>
  </si>
  <si>
    <t>Conforme disposto na Solução de Consulta nº 25, de 14 de junho de 2022 (DOU de 14.07.2022, Seção 1, pág. 12) da Receita Federal do Brasil (RFB), não incide contribuição previdenciária sobre as importâncias pagas relativas aos 15 primeiros dias que antecedem o auxílio-doença e a título de auxílio-acidente.</t>
  </si>
  <si>
    <t>Dados estatísticos extraídos do Acórdão-TCU nº 1.904/2007-P</t>
  </si>
  <si>
    <t>Considerando 1 licença de 15 dias por ano para 1,22% dos empregados (Anuário Estatístico da Previdência Social – AEPS/2013).</t>
  </si>
  <si>
    <t>Módulo 5 - Insumos Diversos</t>
  </si>
  <si>
    <t>Insumos Diversos</t>
  </si>
  <si>
    <t xml:space="preserve">Total do Módulo 1 + Módulo 2 + Módulo 3 + Módulo 4 + Módulo 5 </t>
  </si>
  <si>
    <t>Módulo 6 - Custos Indiretos, Tributos e Lucro</t>
  </si>
  <si>
    <t>Custos Indiretos, Tributos e Lucro</t>
  </si>
  <si>
    <t>Custos Indiretos</t>
  </si>
  <si>
    <t>Subtotal (Custos Indiretos + Lucro)</t>
  </si>
  <si>
    <r>
      <t xml:space="preserve">Tributos </t>
    </r>
    <r>
      <rPr>
        <vertAlign val="superscript"/>
        <sz val="10"/>
        <color rgb="FF000000"/>
        <rFont val="Times New Roman"/>
        <family val="1"/>
      </rPr>
      <t>1</t>
    </r>
  </si>
  <si>
    <t>C.1. ISS</t>
  </si>
  <si>
    <t>C.2. COFINS</t>
  </si>
  <si>
    <t>C.3. PIS</t>
  </si>
  <si>
    <t>Subtotal (Tributos)</t>
  </si>
  <si>
    <r>
      <t>O valor de cada Tributo é igual ao % do Tributo vezes o Total do Faturamento. F</t>
    </r>
    <r>
      <rPr>
        <vertAlign val="subscript"/>
        <sz val="8"/>
        <color rgb="FF202124"/>
        <rFont val="Times New Roman"/>
        <family val="1"/>
      </rPr>
      <t xml:space="preserve">t </t>
    </r>
    <r>
      <rPr>
        <sz val="8"/>
        <color rgb="FF202124"/>
        <rFont val="Times New Roman"/>
        <family val="1"/>
      </rPr>
      <t>= (S</t>
    </r>
    <r>
      <rPr>
        <vertAlign val="subscript"/>
        <sz val="8"/>
        <color rgb="FF202124"/>
        <rFont val="Times New Roman"/>
        <family val="1"/>
      </rPr>
      <t xml:space="preserve">m </t>
    </r>
    <r>
      <rPr>
        <sz val="8"/>
        <color rgb="FF202124"/>
        <rFont val="Times New Roman"/>
        <family val="1"/>
      </rPr>
      <t>+ K) / (1-(T/100)). Onde FT é igual Total do Faturamento e T é igual a soma dos percentuais dos Tributos)</t>
    </r>
  </si>
  <si>
    <t>QUADRO-RESUMO DO CUSTO POR EMPREGADO</t>
  </si>
  <si>
    <t>Mão de obra vinculada à execução contratual (valor por empregado)</t>
  </si>
  <si>
    <t>Módulo 4 - Custo de Reposição do Profissional Ausente</t>
  </si>
  <si>
    <t>Módulo 6 – Custos Indiretos, Tributos e Lucro</t>
  </si>
  <si>
    <t xml:space="preserve">Valor Total Mensal por Empregado </t>
  </si>
  <si>
    <t xml:space="preserve">Nº do contrato </t>
  </si>
  <si>
    <t>Órgão</t>
  </si>
  <si>
    <t>Cargo</t>
  </si>
  <si>
    <t>Salário Contratual</t>
  </si>
  <si>
    <t>074/2024</t>
  </si>
  <si>
    <t>INSTITUTO DE SAÚDE DOS SERVIDORES DO ESTADO DO CEARÁ - ISSEC</t>
  </si>
  <si>
    <t>Assistente Administrativo II</t>
  </si>
  <si>
    <t>33/2024</t>
  </si>
  <si>
    <t>SECRETARIA DO PLANEJAMENTO E GESTÃO</t>
  </si>
  <si>
    <t>PREGÃO 90003/2024</t>
  </si>
  <si>
    <t>TRIBUNAL REGIONAL FEDERAL DA 6ª REGIÃO</t>
  </si>
  <si>
    <t xml:space="preserve">Auxiliar Administrativo </t>
  </si>
  <si>
    <t>011/2022</t>
  </si>
  <si>
    <t>AGÊNCIA NACIONAL DE TRANSPORTES TERRESTRES</t>
  </si>
  <si>
    <t>Assistente Técnico Júnior</t>
  </si>
  <si>
    <t>Valor Médio</t>
  </si>
  <si>
    <t>Multa do FGTS sobre demissões com API</t>
  </si>
  <si>
    <t>Considerando a taxa de natalidade de 1,62% (IBGE 2023) a força de trabalhao masculina de 50% e 5 dias de licença por ano. Onde: 5 = nº dias de licença; 30 = nº dias no mês; 12 = nº meses no ano; Cabe à contratada a provisão relativa a férias
(1/12) e adicional de férias (1/3 x 1/12).</t>
  </si>
  <si>
    <t>SAT (RAT X FAP)</t>
  </si>
  <si>
    <t xml:space="preserve">Salário-Base </t>
  </si>
  <si>
    <t>Incidência do submódulo 2.2 sobre as alíneas A, B, C, D, E e F do submódulo 4.1</t>
  </si>
  <si>
    <t>Indenização do intervalo Intrajornada (1 hora de intervalo por jornada)</t>
  </si>
  <si>
    <t>Saúde e Qualificação Profissional</t>
  </si>
  <si>
    <t>Prêmio Assiduidade</t>
  </si>
  <si>
    <t>EMPREGADO</t>
  </si>
  <si>
    <t>UNIDADE</t>
  </si>
  <si>
    <t>5143-20</t>
  </si>
  <si>
    <t>2025/2025</t>
  </si>
  <si>
    <t xml:space="preserve">SC000132/2025 </t>
  </si>
  <si>
    <t>01 de janeiro</t>
  </si>
  <si>
    <t>Diurno</t>
  </si>
  <si>
    <t>Considerando 15 dias por mês</t>
  </si>
  <si>
    <t>Aviso Prévio Trabalhado ³</t>
  </si>
  <si>
    <t>Ausência por doença ⁵</t>
  </si>
  <si>
    <t>Ausência por acidente de trabalho ⁶</t>
  </si>
  <si>
    <t>Quantidade de empregados</t>
  </si>
  <si>
    <t>Valor Total Mensal</t>
  </si>
  <si>
    <t xml:space="preserve">Valor Total Anual </t>
  </si>
  <si>
    <t xml:space="preserve">Serviços de Auxiliar de Serviços Gerais </t>
  </si>
  <si>
    <t>ESPECIFICAÇÃO</t>
  </si>
  <si>
    <t>QUANTIDADE SEMESTRAL</t>
  </si>
  <si>
    <t>VALOR UNITÁRIO</t>
  </si>
  <si>
    <t>CUSTO MENSAL</t>
  </si>
  <si>
    <t>Camiseta de mangas curtas com a logomarca da empresa</t>
  </si>
  <si>
    <t>Calça comprida com cós elástico em brim</t>
  </si>
  <si>
    <t>Par de botas com solado antiderrapante apropriado à atividade - emborrachada, cano médio</t>
  </si>
  <si>
    <t>Jaqueta em poliamida com a logomarca da empresa</t>
  </si>
  <si>
    <t>Par de meia cano médio unissex em algodão</t>
  </si>
  <si>
    <t>Crachá de identificação em PVC personalizado, contendo o nome do empregado, cargo e logotipo da empresa</t>
  </si>
  <si>
    <t>Luva de borracha nitrílica forrada</t>
  </si>
  <si>
    <t>Uniformes e EPI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</si>
</sst>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0.000%"/>
    <numFmt numFmtId="167" formatCode="_-&quot;R$&quot;\ * #,##0.00_-;\-&quot;R$&quot;\ * #,##0.00_-;_-&quot;R$&quot;\ * &quot;-&quot;???_-;_-@_-"/>
    <numFmt numFmtId="168" formatCode="&quot;R$&quot;\ #,##0.00"/>
  </numFmts>
  <fonts count="32" x14ac:knownFonts="1">
    <font>
      <sz val="11"/>
      <color theme="1"/>
      <name val="Calibri"/>
      <family val="2"/>
      <scheme val="minor"/>
    </font>
    <font>
      <b/>
      <sz val="10"/>
      <color rgb="FF000000"/>
      <name val="Times New Roman"/>
      <family val="1"/>
    </font>
    <font>
      <sz val="10"/>
      <color rgb="FF000000"/>
      <name val="Times New Roman"/>
      <family val="1"/>
    </font>
    <font>
      <sz val="11"/>
      <color theme="1"/>
      <name val="Calibri"/>
      <family val="2"/>
      <scheme val="minor"/>
    </font>
    <font>
      <b/>
      <sz val="10"/>
      <color rgb="FF202124"/>
      <name val="Times New Roman"/>
      <family val="1"/>
    </font>
    <font>
      <sz val="10"/>
      <color rgb="FF202124"/>
      <name val="Times New Roman"/>
      <family val="1"/>
    </font>
    <font>
      <sz val="10"/>
      <color theme="1"/>
      <name val="Times New Roman"/>
      <family val="1"/>
    </font>
    <font>
      <b/>
      <sz val="10"/>
      <color theme="1"/>
      <name val="Times New Roman"/>
      <family val="1"/>
    </font>
    <font>
      <sz val="10"/>
      <name val="Arial"/>
      <family val="2"/>
    </font>
    <font>
      <sz val="10"/>
      <name val="Times New Roman"/>
      <family val="1"/>
    </font>
    <font>
      <vertAlign val="superscript"/>
      <sz val="10"/>
      <color rgb="FF202124"/>
      <name val="Times New Roman"/>
      <family val="1"/>
    </font>
    <font>
      <sz val="8"/>
      <color theme="1"/>
      <name val="Times New Roman"/>
      <family val="1"/>
    </font>
    <font>
      <vertAlign val="superscript"/>
      <sz val="10"/>
      <color rgb="FF000000"/>
      <name val="Times New Roman"/>
      <family val="1"/>
    </font>
    <font>
      <b/>
      <sz val="8"/>
      <color rgb="FF000000"/>
      <name val="Times New Roman"/>
      <family val="1"/>
    </font>
    <font>
      <sz val="8"/>
      <color rgb="FF000000"/>
      <name val="Times New Roman"/>
      <family val="1"/>
    </font>
    <font>
      <b/>
      <sz val="8"/>
      <color theme="1"/>
      <name val="Times New Roman"/>
      <family val="1"/>
    </font>
    <font>
      <sz val="8"/>
      <color theme="1"/>
      <name val="Calibri"/>
      <family val="2"/>
      <scheme val="minor"/>
    </font>
    <font>
      <b/>
      <sz val="10"/>
      <color theme="0"/>
      <name val="Times New Roman"/>
      <family val="1"/>
    </font>
    <font>
      <vertAlign val="superscript"/>
      <sz val="10"/>
      <color theme="1"/>
      <name val="Times New Roman"/>
      <family val="1"/>
    </font>
    <font>
      <sz val="10"/>
      <color theme="0"/>
      <name val="Calibri"/>
      <family val="2"/>
      <scheme val="minor"/>
    </font>
    <font>
      <sz val="8"/>
      <color rgb="FF202124"/>
      <name val="Times New Roman"/>
      <family val="1"/>
    </font>
    <font>
      <vertAlign val="subscript"/>
      <sz val="8"/>
      <color rgb="FF202124"/>
      <name val="Times New Roman"/>
      <family val="1"/>
    </font>
    <font>
      <sz val="9"/>
      <color theme="1"/>
      <name val="Times New Roman"/>
      <family val="1"/>
    </font>
    <font>
      <b/>
      <sz val="9"/>
      <color theme="1"/>
      <name val="Times New Roman"/>
      <family val="1"/>
    </font>
    <font>
      <b/>
      <vertAlign val="superscript"/>
      <sz val="10"/>
      <color rgb="FF000000"/>
      <name val="Times New Roman"/>
      <family val="1"/>
    </font>
    <font>
      <b/>
      <sz val="10"/>
      <name val="Times New Roman"/>
      <family val="1"/>
    </font>
    <font>
      <b/>
      <sz val="14"/>
      <color theme="1"/>
      <name val="Arial Nova"/>
      <family val="2"/>
    </font>
    <font>
      <sz val="12"/>
      <color theme="1"/>
      <name val="Arial Nova"/>
      <family val="2"/>
    </font>
    <font>
      <sz val="12"/>
      <color theme="1"/>
      <name val="Calibri"/>
      <family val="2"/>
      <scheme val="minor"/>
    </font>
    <font>
      <b/>
      <sz val="12"/>
      <color theme="1"/>
      <name val="Calibri"/>
      <family val="2"/>
      <scheme val="minor"/>
    </font>
    <font>
      <b/>
      <sz val="11"/>
      <color theme="1"/>
      <name val="Times New Roman"/>
      <family val="1"/>
    </font>
    <font>
      <sz val="11"/>
      <color theme="1"/>
      <name val="Times New Roman"/>
      <family val="1"/>
    </font>
  </fonts>
  <fills count="13">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2" tint="-0.749992370372631"/>
        <bgColor indexed="64"/>
      </patternFill>
    </fill>
    <fill>
      <patternFill patternType="solid">
        <fgColor theme="2" tint="-0.499984740745262"/>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16">
    <xf numFmtId="0" fontId="0" fillId="0" borderId="0"/>
    <xf numFmtId="0" fontId="8" fillId="0" borderId="0"/>
    <xf numFmtId="0" fontId="8" fillId="0" borderId="0"/>
    <xf numFmtId="0" fontId="3" fillId="0" borderId="0"/>
    <xf numFmtId="0" fontId="8" fillId="0" borderId="0"/>
    <xf numFmtId="0" fontId="3" fillId="0" borderId="0"/>
    <xf numFmtId="0" fontId="3" fillId="0" borderId="0"/>
    <xf numFmtId="0" fontId="8" fillId="0" borderId="0"/>
    <xf numFmtId="0" fontId="8" fillId="0" borderId="0"/>
    <xf numFmtId="0" fontId="8" fillId="0" borderId="0"/>
    <xf numFmtId="165" fontId="8" fillId="0" borderId="0" applyFont="0" applyFill="0" applyBorder="0" applyAlignment="0" applyProtection="0"/>
    <xf numFmtId="0" fontId="3" fillId="0" borderId="0"/>
    <xf numFmtId="0" fontId="8" fillId="0" borderId="0"/>
    <xf numFmtId="0" fontId="8" fillId="0" borderId="0"/>
    <xf numFmtId="43" fontId="3" fillId="0" borderId="0" applyFont="0" applyFill="0" applyBorder="0" applyAlignment="0" applyProtection="0"/>
    <xf numFmtId="44" fontId="3" fillId="0" borderId="0" applyFont="0" applyFill="0" applyBorder="0" applyAlignment="0" applyProtection="0"/>
  </cellStyleXfs>
  <cellXfs count="188">
    <xf numFmtId="0" fontId="0" fillId="0" borderId="0" xfId="0"/>
    <xf numFmtId="0" fontId="2" fillId="0" borderId="5" xfId="0" applyFont="1" applyBorder="1" applyAlignment="1">
      <alignment horizontal="center" vertical="center" wrapText="1"/>
    </xf>
    <xf numFmtId="0" fontId="2" fillId="0" borderId="6" xfId="0" applyFont="1" applyBorder="1" applyAlignment="1">
      <alignment horizontal="justify" vertical="center" wrapText="1"/>
    </xf>
    <xf numFmtId="0" fontId="0" fillId="0" borderId="5" xfId="0" applyBorder="1" applyAlignment="1">
      <alignment vertical="top"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7" fillId="0" borderId="8" xfId="0" applyFont="1" applyBorder="1" applyAlignment="1">
      <alignment horizontal="left" vertical="center" wrapText="1"/>
    </xf>
    <xf numFmtId="0" fontId="6" fillId="0" borderId="8" xfId="0" applyFont="1" applyBorder="1" applyAlignment="1">
      <alignment horizontal="right" vertical="center" wrapText="1"/>
    </xf>
    <xf numFmtId="0" fontId="0" fillId="0" borderId="8" xfId="0" applyBorder="1" applyAlignment="1">
      <alignment horizontal="center"/>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164" fontId="0" fillId="0" borderId="0" xfId="0" applyNumberFormat="1"/>
    <xf numFmtId="0" fontId="5" fillId="0" borderId="1" xfId="0" applyFont="1" applyBorder="1" applyAlignment="1">
      <alignment vertical="center" wrapText="1"/>
    </xf>
    <xf numFmtId="164" fontId="1" fillId="5" borderId="1" xfId="0" applyNumberFormat="1" applyFont="1" applyFill="1" applyBorder="1" applyAlignment="1">
      <alignment horizontal="justify"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justify" vertical="center" wrapText="1"/>
    </xf>
    <xf numFmtId="0" fontId="1" fillId="3" borderId="2" xfId="0" applyFont="1" applyFill="1" applyBorder="1" applyAlignment="1">
      <alignment horizontal="left" vertical="center" wrapText="1"/>
    </xf>
    <xf numFmtId="0" fontId="1" fillId="7" borderId="1" xfId="0" applyFont="1" applyFill="1" applyBorder="1" applyAlignment="1">
      <alignment horizontal="justify" vertical="center" wrapText="1"/>
    </xf>
    <xf numFmtId="0" fontId="1" fillId="7" borderId="1" xfId="0" applyFont="1" applyFill="1" applyBorder="1" applyAlignment="1">
      <alignment horizontal="center" vertical="center" wrapText="1"/>
    </xf>
    <xf numFmtId="0" fontId="1" fillId="7"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166" fontId="7" fillId="6" borderId="1" xfId="0" applyNumberFormat="1" applyFont="1" applyFill="1" applyBorder="1" applyAlignment="1">
      <alignment horizontal="center" vertical="center" wrapText="1"/>
    </xf>
    <xf numFmtId="167" fontId="7" fillId="6" borderId="1" xfId="0" applyNumberFormat="1" applyFont="1" applyFill="1" applyBorder="1" applyAlignment="1">
      <alignment horizontal="right" vertical="center" wrapText="1"/>
    </xf>
    <xf numFmtId="0" fontId="1" fillId="7" borderId="5" xfId="0" applyFont="1" applyFill="1" applyBorder="1" applyAlignment="1">
      <alignment horizontal="center" vertical="center" wrapText="1"/>
    </xf>
    <xf numFmtId="0" fontId="1" fillId="7" borderId="6" xfId="0" applyFont="1" applyFill="1" applyBorder="1" applyAlignment="1">
      <alignment horizontal="justify" vertical="center" wrapText="1"/>
    </xf>
    <xf numFmtId="164" fontId="1" fillId="6" borderId="1" xfId="0" applyNumberFormat="1" applyFont="1" applyFill="1" applyBorder="1" applyAlignment="1">
      <alignment horizontal="justify" vertical="center" wrapText="1"/>
    </xf>
    <xf numFmtId="10" fontId="1" fillId="6" borderId="1" xfId="0" applyNumberFormat="1" applyFont="1" applyFill="1" applyBorder="1" applyAlignment="1">
      <alignment horizontal="center" vertical="center" wrapText="1"/>
    </xf>
    <xf numFmtId="164" fontId="7" fillId="6" borderId="1" xfId="0" applyNumberFormat="1" applyFont="1" applyFill="1" applyBorder="1" applyAlignment="1">
      <alignment horizontal="right" vertical="center" wrapText="1"/>
    </xf>
    <xf numFmtId="164" fontId="1" fillId="5" borderId="1" xfId="0" applyNumberFormat="1" applyFont="1" applyFill="1" applyBorder="1" applyAlignment="1">
      <alignment horizontal="right" vertical="center" wrapText="1"/>
    </xf>
    <xf numFmtId="0" fontId="15" fillId="0" borderId="0" xfId="0" applyFont="1"/>
    <xf numFmtId="0" fontId="11" fillId="0" borderId="0" xfId="0" applyFont="1" applyAlignment="1">
      <alignment horizontal="center"/>
    </xf>
    <xf numFmtId="164" fontId="23" fillId="3" borderId="1" xfId="0" applyNumberFormat="1" applyFont="1" applyFill="1" applyBorder="1" applyAlignment="1">
      <alignment horizontal="center"/>
    </xf>
    <xf numFmtId="164" fontId="1" fillId="5" borderId="1" xfId="0" applyNumberFormat="1" applyFont="1" applyFill="1" applyBorder="1" applyAlignment="1">
      <alignment horizontal="left" vertical="center" wrapText="1"/>
    </xf>
    <xf numFmtId="10" fontId="9" fillId="2" borderId="1" xfId="7" applyNumberFormat="1" applyFont="1" applyFill="1" applyBorder="1" applyAlignment="1">
      <alignment horizontal="center" vertical="center"/>
    </xf>
    <xf numFmtId="10" fontId="9" fillId="0" borderId="1" xfId="7" applyNumberFormat="1" applyFont="1" applyBorder="1" applyAlignment="1">
      <alignment horizontal="center" vertical="center"/>
    </xf>
    <xf numFmtId="10" fontId="1" fillId="3" borderId="6" xfId="0" applyNumberFormat="1" applyFont="1" applyFill="1" applyBorder="1" applyAlignment="1">
      <alignment horizontal="center" vertical="center" wrapText="1"/>
    </xf>
    <xf numFmtId="0" fontId="15" fillId="0" borderId="7" xfId="0" applyFont="1" applyBorder="1" applyAlignment="1">
      <alignment horizontal="center"/>
    </xf>
    <xf numFmtId="164" fontId="1" fillId="3" borderId="6" xfId="0" applyNumberFormat="1" applyFont="1" applyFill="1" applyBorder="1" applyAlignment="1">
      <alignment horizontal="justify" vertical="center" wrapText="1"/>
    </xf>
    <xf numFmtId="164" fontId="7" fillId="5" borderId="0" xfId="0" applyNumberFormat="1" applyFont="1" applyFill="1"/>
    <xf numFmtId="164" fontId="7" fillId="8" borderId="0" xfId="0" applyNumberFormat="1" applyFont="1" applyFill="1"/>
    <xf numFmtId="164" fontId="23" fillId="3" borderId="1" xfId="0" applyNumberFormat="1" applyFont="1" applyFill="1" applyBorder="1"/>
    <xf numFmtId="10" fontId="2" fillId="0" borderId="1" xfId="0" applyNumberFormat="1" applyFont="1" applyBorder="1" applyAlignment="1">
      <alignment vertical="center" wrapText="1"/>
    </xf>
    <xf numFmtId="0" fontId="6" fillId="0" borderId="1" xfId="0" applyFont="1" applyBorder="1" applyAlignment="1">
      <alignment vertical="center" wrapText="1"/>
    </xf>
    <xf numFmtId="166" fontId="1" fillId="5" borderId="1" xfId="0" applyNumberFormat="1" applyFont="1" applyFill="1" applyBorder="1" applyAlignment="1">
      <alignment horizontal="center" vertical="center" wrapText="1"/>
    </xf>
    <xf numFmtId="0" fontId="6" fillId="2" borderId="1" xfId="0" applyFont="1" applyFill="1" applyBorder="1" applyAlignment="1">
      <alignment horizontal="center"/>
    </xf>
    <xf numFmtId="164" fontId="2" fillId="2" borderId="1" xfId="0" applyNumberFormat="1" applyFont="1" applyFill="1" applyBorder="1" applyAlignment="1">
      <alignment horizontal="justify" vertical="center" wrapText="1"/>
    </xf>
    <xf numFmtId="166" fontId="1" fillId="6" borderId="1" xfId="0" applyNumberFormat="1" applyFont="1" applyFill="1" applyBorder="1" applyAlignment="1">
      <alignment vertical="center" wrapText="1"/>
    </xf>
    <xf numFmtId="10" fontId="9" fillId="0" borderId="1" xfId="0" applyNumberFormat="1" applyFont="1" applyBorder="1" applyAlignment="1">
      <alignment horizontal="center" vertical="center" wrapText="1"/>
    </xf>
    <xf numFmtId="166" fontId="9" fillId="0" borderId="1" xfId="0" applyNumberFormat="1" applyFont="1" applyBorder="1" applyAlignment="1">
      <alignment horizontal="center" vertical="center" wrapText="1"/>
    </xf>
    <xf numFmtId="0" fontId="9" fillId="2" borderId="1" xfId="0" applyFont="1" applyFill="1" applyBorder="1" applyAlignment="1">
      <alignment horizontal="center"/>
    </xf>
    <xf numFmtId="164" fontId="9" fillId="2" borderId="1" xfId="0" applyNumberFormat="1" applyFont="1" applyFill="1" applyBorder="1" applyAlignment="1">
      <alignment horizontal="left"/>
    </xf>
    <xf numFmtId="164" fontId="9" fillId="0" borderId="1" xfId="0" applyNumberFormat="1" applyFont="1" applyBorder="1" applyAlignment="1">
      <alignment horizontal="justify" vertical="center" wrapText="1"/>
    </xf>
    <xf numFmtId="166" fontId="9" fillId="0" borderId="1" xfId="0" applyNumberFormat="1" applyFont="1" applyBorder="1" applyAlignment="1">
      <alignment vertical="center" wrapText="1"/>
    </xf>
    <xf numFmtId="164" fontId="9" fillId="2" borderId="1" xfId="0" applyNumberFormat="1" applyFont="1" applyFill="1" applyBorder="1" applyAlignment="1">
      <alignment horizontal="justify" vertical="center" wrapText="1"/>
    </xf>
    <xf numFmtId="10" fontId="9" fillId="0" borderId="6" xfId="0" applyNumberFormat="1" applyFont="1" applyBorder="1" applyAlignment="1">
      <alignment horizontal="center" vertical="center" wrapText="1"/>
    </xf>
    <xf numFmtId="0" fontId="0" fillId="0" borderId="0" xfId="0" applyAlignment="1">
      <alignment horizontal="center"/>
    </xf>
    <xf numFmtId="0" fontId="27" fillId="0" borderId="0" xfId="0" applyFont="1" applyAlignment="1">
      <alignment horizontal="center" vertical="center" wrapText="1"/>
    </xf>
    <xf numFmtId="164" fontId="27" fillId="0" borderId="0" xfId="0" applyNumberFormat="1" applyFont="1" applyAlignment="1">
      <alignment horizontal="center" vertical="center"/>
    </xf>
    <xf numFmtId="0" fontId="16" fillId="0" borderId="0" xfId="0" applyFont="1" applyAlignment="1">
      <alignment horizontal="center" vertical="center" wrapText="1"/>
    </xf>
    <xf numFmtId="0" fontId="26" fillId="11" borderId="9" xfId="0" applyFont="1" applyFill="1" applyBorder="1" applyAlignment="1">
      <alignment horizontal="center" vertical="center"/>
    </xf>
    <xf numFmtId="164" fontId="2" fillId="0" borderId="1" xfId="0" applyNumberFormat="1" applyFont="1" applyBorder="1" applyAlignment="1">
      <alignment horizontal="justify" vertical="center" wrapText="1"/>
    </xf>
    <xf numFmtId="164" fontId="25" fillId="0" borderId="1" xfId="0" applyNumberFormat="1" applyFont="1" applyBorder="1" applyAlignment="1">
      <alignment horizontal="justify" vertical="center" wrapText="1"/>
    </xf>
    <xf numFmtId="167" fontId="2" fillId="0" borderId="1" xfId="0" applyNumberFormat="1" applyFont="1" applyBorder="1" applyAlignment="1">
      <alignment horizontal="right" vertical="center" wrapText="1"/>
    </xf>
    <xf numFmtId="164" fontId="2" fillId="0" borderId="1" xfId="0" applyNumberFormat="1" applyFont="1" applyBorder="1" applyAlignment="1">
      <alignment horizontal="right" vertical="center" wrapText="1"/>
    </xf>
    <xf numFmtId="164" fontId="2" fillId="0" borderId="6" xfId="0" applyNumberFormat="1" applyFont="1" applyBorder="1" applyAlignment="1">
      <alignment horizontal="justify" vertical="center" wrapText="1"/>
    </xf>
    <xf numFmtId="164" fontId="1" fillId="0" borderId="1" xfId="0" applyNumberFormat="1" applyFont="1" applyBorder="1" applyAlignment="1">
      <alignment horizontal="left" vertical="center" wrapText="1"/>
    </xf>
    <xf numFmtId="0" fontId="0" fillId="2" borderId="0" xfId="0" applyFill="1"/>
    <xf numFmtId="167" fontId="5" fillId="2" borderId="1" xfId="0" applyNumberFormat="1" applyFont="1" applyFill="1" applyBorder="1" applyAlignment="1">
      <alignment horizontal="right" vertical="center" wrapText="1"/>
    </xf>
    <xf numFmtId="167" fontId="6" fillId="2" borderId="1" xfId="0" applyNumberFormat="1" applyFont="1" applyFill="1" applyBorder="1" applyAlignment="1">
      <alignment horizontal="right" vertical="center" wrapText="1"/>
    </xf>
    <xf numFmtId="164" fontId="6" fillId="2" borderId="1" xfId="0" applyNumberFormat="1" applyFont="1" applyFill="1" applyBorder="1" applyAlignment="1">
      <alignment horizontal="right" vertical="center" wrapText="1"/>
    </xf>
    <xf numFmtId="164" fontId="9" fillId="0" borderId="1" xfId="0" applyNumberFormat="1" applyFont="1" applyBorder="1" applyAlignment="1">
      <alignment horizontal="center"/>
    </xf>
    <xf numFmtId="10" fontId="1" fillId="3" borderId="1" xfId="0" applyNumberFormat="1" applyFont="1" applyFill="1" applyBorder="1" applyAlignment="1">
      <alignment horizontal="center" vertical="center" wrapText="1"/>
    </xf>
    <xf numFmtId="164" fontId="1" fillId="9" borderId="6" xfId="0" applyNumberFormat="1" applyFont="1" applyFill="1" applyBorder="1" applyAlignment="1">
      <alignment horizontal="justify" vertical="center" wrapText="1"/>
    </xf>
    <xf numFmtId="0" fontId="29" fillId="10" borderId="9" xfId="0" applyFont="1" applyFill="1" applyBorder="1" applyAlignment="1">
      <alignment horizontal="center" vertical="center"/>
    </xf>
    <xf numFmtId="0" fontId="28" fillId="0" borderId="0" xfId="0" applyFont="1"/>
    <xf numFmtId="0" fontId="29" fillId="11" borderId="9" xfId="0" applyFont="1" applyFill="1" applyBorder="1" applyAlignment="1">
      <alignment horizontal="center" vertical="center"/>
    </xf>
    <xf numFmtId="168" fontId="28" fillId="0" borderId="9" xfId="0" applyNumberFormat="1" applyFont="1" applyBorder="1" applyAlignment="1">
      <alignment horizontal="center" vertical="center"/>
    </xf>
    <xf numFmtId="0" fontId="29" fillId="10" borderId="9" xfId="0" applyFont="1" applyFill="1" applyBorder="1" applyAlignment="1">
      <alignment horizontal="center" vertical="center" wrapText="1"/>
    </xf>
    <xf numFmtId="0" fontId="29" fillId="11" borderId="9" xfId="0" applyFont="1" applyFill="1" applyBorder="1" applyAlignment="1">
      <alignment horizontal="center" vertical="center" wrapText="1"/>
    </xf>
    <xf numFmtId="9" fontId="2" fillId="0" borderId="1" xfId="0" applyNumberFormat="1" applyFont="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10" fontId="9"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166" fontId="9" fillId="2" borderId="1" xfId="0" applyNumberFormat="1" applyFont="1" applyFill="1" applyBorder="1" applyAlignment="1">
      <alignment horizontal="center" vertical="center" wrapText="1"/>
    </xf>
    <xf numFmtId="43" fontId="0" fillId="0" borderId="0" xfId="14" applyFont="1"/>
    <xf numFmtId="44" fontId="2" fillId="0" borderId="6" xfId="0" applyNumberFormat="1" applyFont="1" applyBorder="1" applyAlignment="1">
      <alignment horizontal="justify" vertical="center" wrapText="1"/>
    </xf>
    <xf numFmtId="0" fontId="0" fillId="0" borderId="8" xfId="0" applyBorder="1" applyAlignment="1">
      <alignment horizontal="center"/>
    </xf>
    <xf numFmtId="0" fontId="22" fillId="3" borderId="1" xfId="0" applyFont="1" applyFill="1" applyBorder="1" applyAlignment="1">
      <alignment horizontal="left"/>
    </xf>
    <xf numFmtId="0" fontId="17" fillId="4" borderId="2" xfId="0" applyFont="1" applyFill="1" applyBorder="1" applyAlignment="1">
      <alignment horizontal="justify" vertical="center"/>
    </xf>
    <xf numFmtId="0" fontId="17" fillId="4" borderId="3" xfId="0" applyFont="1" applyFill="1" applyBorder="1" applyAlignment="1">
      <alignment horizontal="justify" vertical="center"/>
    </xf>
    <xf numFmtId="0" fontId="17" fillId="4" borderId="4" xfId="0" applyFont="1" applyFill="1" applyBorder="1" applyAlignment="1">
      <alignment horizontal="justify" vertical="center"/>
    </xf>
    <xf numFmtId="0" fontId="2" fillId="0" borderId="1" xfId="0" applyFont="1" applyBorder="1" applyAlignment="1">
      <alignment horizontal="left" vertical="center" wrapText="1"/>
    </xf>
    <xf numFmtId="0" fontId="1" fillId="7" borderId="1" xfId="0" applyFont="1" applyFill="1" applyBorder="1" applyAlignment="1">
      <alignment horizontal="left" vertical="center" wrapText="1"/>
    </xf>
    <xf numFmtId="0" fontId="11" fillId="0" borderId="0" xfId="0" applyFont="1" applyAlignment="1">
      <alignment horizontal="left" vertical="center" wrapText="1"/>
    </xf>
    <xf numFmtId="0" fontId="1" fillId="5" borderId="1" xfId="0" applyFont="1" applyFill="1" applyBorder="1" applyAlignment="1">
      <alignment horizontal="left" vertical="center" wrapText="1"/>
    </xf>
    <xf numFmtId="0" fontId="14" fillId="0" borderId="0" xfId="0" applyFont="1" applyAlignment="1">
      <alignment horizontal="left" vertical="center" wrapText="1"/>
    </xf>
    <xf numFmtId="0" fontId="13" fillId="0" borderId="0" xfId="0" applyFont="1" applyAlignment="1">
      <alignment horizontal="left" vertical="center" wrapText="1"/>
    </xf>
    <xf numFmtId="0" fontId="17" fillId="4" borderId="1" xfId="0" applyFont="1" applyFill="1" applyBorder="1" applyAlignment="1">
      <alignment horizontal="left" vertical="center"/>
    </xf>
    <xf numFmtId="0" fontId="1" fillId="5" borderId="2" xfId="0" applyFont="1" applyFill="1" applyBorder="1" applyAlignment="1">
      <alignment horizontal="left" vertical="center" wrapText="1"/>
    </xf>
    <xf numFmtId="0" fontId="1" fillId="5" borderId="4" xfId="0" applyFont="1" applyFill="1" applyBorder="1" applyAlignment="1">
      <alignment horizontal="left" vertical="center" wrapText="1"/>
    </xf>
    <xf numFmtId="0" fontId="7" fillId="5" borderId="0" xfId="0" applyFont="1" applyFill="1" applyAlignment="1">
      <alignment horizontal="left"/>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7" fillId="0" borderId="7" xfId="0" applyFont="1" applyBorder="1" applyAlignment="1">
      <alignment horizontal="right"/>
    </xf>
    <xf numFmtId="0" fontId="25" fillId="0" borderId="7" xfId="0" applyFont="1" applyBorder="1" applyAlignment="1">
      <alignment horizontal="center"/>
    </xf>
    <xf numFmtId="0" fontId="7" fillId="8" borderId="0" xfId="0" applyFont="1" applyFill="1" applyAlignment="1">
      <alignment horizontal="left"/>
    </xf>
    <xf numFmtId="0" fontId="1" fillId="3" borderId="2"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3" borderId="2"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20" fillId="0" borderId="0" xfId="0" applyFont="1" applyAlignment="1">
      <alignment horizontal="left" wrapText="1"/>
    </xf>
    <xf numFmtId="0" fontId="17" fillId="4" borderId="2" xfId="0" applyFont="1" applyFill="1" applyBorder="1" applyAlignment="1">
      <alignment horizontal="left" vertical="center"/>
    </xf>
    <xf numFmtId="0" fontId="17" fillId="4" borderId="3" xfId="0" applyFont="1" applyFill="1" applyBorder="1" applyAlignment="1">
      <alignment horizontal="left" vertical="center"/>
    </xf>
    <xf numFmtId="0" fontId="17" fillId="4" borderId="4" xfId="0" applyFont="1" applyFill="1" applyBorder="1" applyAlignment="1">
      <alignment horizontal="left" vertical="center"/>
    </xf>
    <xf numFmtId="0" fontId="1" fillId="7" borderId="2" xfId="0" applyFont="1" applyFill="1" applyBorder="1" applyAlignment="1">
      <alignment horizontal="left" vertical="center" wrapText="1"/>
    </xf>
    <xf numFmtId="0" fontId="1" fillId="7" borderId="3" xfId="0" applyFont="1" applyFill="1" applyBorder="1" applyAlignment="1">
      <alignment horizontal="left" vertical="center" wrapText="1"/>
    </xf>
    <xf numFmtId="0" fontId="1" fillId="7" borderId="4" xfId="0" applyFont="1" applyFill="1" applyBorder="1" applyAlignment="1">
      <alignment horizontal="left" vertical="center" wrapText="1"/>
    </xf>
    <xf numFmtId="0" fontId="7" fillId="0" borderId="7" xfId="0" applyFont="1" applyBorder="1" applyAlignment="1">
      <alignment horizontal="center" vertical="center" wrapText="1"/>
    </xf>
    <xf numFmtId="0" fontId="7" fillId="6" borderId="2" xfId="0" applyFont="1" applyFill="1" applyBorder="1" applyAlignment="1">
      <alignment horizontal="left" vertical="center" wrapText="1"/>
    </xf>
    <xf numFmtId="0" fontId="7" fillId="6" borderId="4" xfId="0" applyFont="1" applyFill="1" applyBorder="1" applyAlignment="1">
      <alignment horizontal="left" vertical="center" wrapText="1"/>
    </xf>
    <xf numFmtId="0" fontId="0" fillId="0" borderId="0" xfId="0" applyAlignment="1">
      <alignment horizontal="center"/>
    </xf>
    <xf numFmtId="0" fontId="17" fillId="4" borderId="2" xfId="0" applyFont="1" applyFill="1" applyBorder="1" applyAlignment="1">
      <alignment horizontal="left"/>
    </xf>
    <xf numFmtId="0" fontId="19" fillId="4" borderId="3" xfId="0" applyFont="1" applyFill="1" applyBorder="1" applyAlignment="1">
      <alignment horizontal="left"/>
    </xf>
    <xf numFmtId="0" fontId="19" fillId="4" borderId="4" xfId="0" applyFont="1" applyFill="1" applyBorder="1" applyAlignment="1">
      <alignment horizontal="left"/>
    </xf>
    <xf numFmtId="0" fontId="4" fillId="7" borderId="1" xfId="0" applyFont="1" applyFill="1" applyBorder="1" applyAlignment="1">
      <alignment horizontal="left" vertical="center"/>
    </xf>
    <xf numFmtId="0" fontId="4" fillId="3" borderId="1" xfId="0" applyFont="1" applyFill="1" applyBorder="1" applyAlignment="1">
      <alignment horizontal="left" vertical="center" wrapText="1"/>
    </xf>
    <xf numFmtId="0" fontId="13" fillId="0" borderId="7" xfId="0" applyFont="1" applyBorder="1" applyAlignment="1">
      <alignment horizontal="center" vertical="center" wrapText="1"/>
    </xf>
    <xf numFmtId="0" fontId="17" fillId="4" borderId="1" xfId="0" applyFont="1" applyFill="1" applyBorder="1" applyAlignment="1">
      <alignment vertical="center"/>
    </xf>
    <xf numFmtId="0" fontId="16" fillId="0" borderId="7" xfId="0" applyFont="1" applyBorder="1" applyAlignment="1">
      <alignment horizontal="center"/>
    </xf>
    <xf numFmtId="0" fontId="1" fillId="7" borderId="1" xfId="0" applyFont="1" applyFill="1" applyBorder="1" applyAlignment="1">
      <alignment horizontal="left" vertical="center"/>
    </xf>
    <xf numFmtId="0" fontId="1" fillId="3"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9" fillId="0" borderId="2" xfId="1" applyFont="1" applyBorder="1" applyAlignment="1">
      <alignment horizontal="left" vertical="center" wrapText="1"/>
    </xf>
    <xf numFmtId="0" fontId="9" fillId="0" borderId="4" xfId="1" applyFont="1" applyBorder="1" applyAlignment="1">
      <alignment horizontal="left" vertical="center" wrapText="1"/>
    </xf>
    <xf numFmtId="0" fontId="6" fillId="0" borderId="1" xfId="0" applyFont="1" applyBorder="1" applyAlignment="1">
      <alignment horizontal="left"/>
    </xf>
    <xf numFmtId="0" fontId="1" fillId="6" borderId="1" xfId="0" applyFont="1" applyFill="1" applyBorder="1" applyAlignment="1">
      <alignment horizontal="left" vertical="center" wrapText="1"/>
    </xf>
    <xf numFmtId="0" fontId="11" fillId="0" borderId="0" xfId="0" applyFont="1" applyAlignment="1">
      <alignment horizontal="left"/>
    </xf>
    <xf numFmtId="0" fontId="1" fillId="5" borderId="3" xfId="0" applyFont="1" applyFill="1" applyBorder="1" applyAlignment="1">
      <alignment horizontal="left" vertical="center" wrapText="1"/>
    </xf>
    <xf numFmtId="0" fontId="1" fillId="6" borderId="2" xfId="0" applyFont="1" applyFill="1" applyBorder="1" applyAlignment="1">
      <alignment horizontal="left" vertical="center" wrapText="1"/>
    </xf>
    <xf numFmtId="0" fontId="1" fillId="6" borderId="4" xfId="0" applyFont="1" applyFill="1" applyBorder="1" applyAlignment="1">
      <alignment horizontal="left" vertical="center" wrapText="1"/>
    </xf>
    <xf numFmtId="0" fontId="1" fillId="0" borderId="3" xfId="0" applyFont="1" applyBorder="1" applyAlignment="1">
      <alignment horizontal="center" vertical="center" wrapText="1"/>
    </xf>
    <xf numFmtId="0" fontId="1" fillId="7" borderId="1" xfId="0" applyFont="1" applyFill="1" applyBorder="1" applyAlignment="1">
      <alignment horizontal="justify" vertical="center" wrapText="1"/>
    </xf>
    <xf numFmtId="0" fontId="1" fillId="6" borderId="1" xfId="0" applyFont="1" applyFill="1" applyBorder="1" applyAlignment="1">
      <alignment horizontal="justify" vertical="center" wrapText="1"/>
    </xf>
    <xf numFmtId="0" fontId="11" fillId="0" borderId="7" xfId="0" applyFont="1" applyBorder="1" applyAlignment="1">
      <alignment horizontal="center"/>
    </xf>
    <xf numFmtId="0" fontId="7" fillId="5" borderId="1" xfId="0" applyFont="1" applyFill="1" applyBorder="1" applyAlignment="1">
      <alignment horizontal="center"/>
    </xf>
    <xf numFmtId="0" fontId="7" fillId="8" borderId="2" xfId="0" applyFont="1" applyFill="1" applyBorder="1" applyAlignment="1">
      <alignment horizontal="center"/>
    </xf>
    <xf numFmtId="0" fontId="7" fillId="8" borderId="3" xfId="0" applyFont="1" applyFill="1" applyBorder="1" applyAlignment="1">
      <alignment horizontal="center"/>
    </xf>
    <xf numFmtId="0" fontId="7" fillId="8" borderId="4" xfId="0" applyFont="1" applyFill="1" applyBorder="1" applyAlignment="1">
      <alignment horizontal="center"/>
    </xf>
    <xf numFmtId="0" fontId="0" fillId="0" borderId="3" xfId="0" applyBorder="1" applyAlignment="1">
      <alignment horizontal="center"/>
    </xf>
    <xf numFmtId="17" fontId="28" fillId="2" borderId="9" xfId="0" applyNumberFormat="1" applyFont="1" applyFill="1" applyBorder="1" applyAlignment="1">
      <alignment horizontal="center" vertical="center"/>
    </xf>
    <xf numFmtId="0" fontId="28" fillId="2" borderId="9" xfId="0" applyFont="1" applyFill="1" applyBorder="1" applyAlignment="1">
      <alignment horizontal="center" vertical="center"/>
    </xf>
    <xf numFmtId="0" fontId="28" fillId="2" borderId="11" xfId="0" applyFont="1" applyFill="1" applyBorder="1" applyAlignment="1">
      <alignment horizontal="center" vertical="center" wrapText="1"/>
    </xf>
    <xf numFmtId="0" fontId="28" fillId="2" borderId="13" xfId="0" applyFont="1" applyFill="1" applyBorder="1" applyAlignment="1">
      <alignment horizontal="center" vertical="center" wrapText="1"/>
    </xf>
    <xf numFmtId="168" fontId="28" fillId="2" borderId="9" xfId="0" applyNumberFormat="1" applyFont="1" applyFill="1" applyBorder="1" applyAlignment="1">
      <alignment horizontal="center" vertical="center"/>
    </xf>
    <xf numFmtId="17" fontId="27" fillId="12" borderId="9" xfId="0" applyNumberFormat="1" applyFont="1" applyFill="1" applyBorder="1" applyAlignment="1">
      <alignment horizontal="center" vertical="center"/>
    </xf>
    <xf numFmtId="0" fontId="27" fillId="12" borderId="9" xfId="0" applyFont="1" applyFill="1" applyBorder="1" applyAlignment="1">
      <alignment horizontal="center" vertical="center"/>
    </xf>
    <xf numFmtId="0" fontId="27" fillId="12" borderId="11" xfId="0" applyFont="1" applyFill="1" applyBorder="1" applyAlignment="1">
      <alignment horizontal="center" vertical="center" wrapText="1"/>
    </xf>
    <xf numFmtId="0" fontId="27" fillId="12" borderId="13" xfId="0" applyFont="1" applyFill="1" applyBorder="1" applyAlignment="1">
      <alignment horizontal="center" vertical="center" wrapText="1"/>
    </xf>
    <xf numFmtId="0" fontId="28" fillId="12" borderId="11" xfId="0" applyFont="1" applyFill="1" applyBorder="1" applyAlignment="1">
      <alignment horizontal="center" vertical="center" wrapText="1"/>
    </xf>
    <xf numFmtId="0" fontId="28" fillId="12" borderId="13" xfId="0" applyFont="1" applyFill="1" applyBorder="1" applyAlignment="1">
      <alignment horizontal="center" vertical="center" wrapText="1"/>
    </xf>
    <xf numFmtId="168" fontId="28" fillId="12" borderId="9" xfId="0" applyNumberFormat="1" applyFont="1" applyFill="1" applyBorder="1" applyAlignment="1">
      <alignment horizontal="center" vertical="center"/>
    </xf>
    <xf numFmtId="0" fontId="28" fillId="2" borderId="9" xfId="0" applyFont="1" applyFill="1" applyBorder="1" applyAlignment="1">
      <alignment horizontal="center" vertical="center" wrapText="1"/>
    </xf>
    <xf numFmtId="0" fontId="28" fillId="2" borderId="10" xfId="0" applyFont="1" applyFill="1" applyBorder="1" applyAlignment="1">
      <alignment horizontal="center" vertical="center" wrapText="1"/>
    </xf>
    <xf numFmtId="0" fontId="28" fillId="2" borderId="12" xfId="0" applyFont="1" applyFill="1" applyBorder="1" applyAlignment="1">
      <alignment horizontal="center" vertical="center"/>
    </xf>
    <xf numFmtId="168" fontId="28" fillId="2" borderId="11" xfId="0" applyNumberFormat="1" applyFont="1" applyFill="1" applyBorder="1" applyAlignment="1">
      <alignment horizontal="center" vertical="center"/>
    </xf>
    <xf numFmtId="168" fontId="28" fillId="2" borderId="13" xfId="0" applyNumberFormat="1" applyFont="1" applyFill="1" applyBorder="1" applyAlignment="1">
      <alignment horizontal="center" vertical="center"/>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1" fillId="0" borderId="14" xfId="0" applyFont="1" applyBorder="1" applyAlignment="1">
      <alignment horizontal="justify" vertical="center" wrapText="1"/>
    </xf>
    <xf numFmtId="0" fontId="31" fillId="0" borderId="15" xfId="0" applyFont="1" applyBorder="1" applyAlignment="1">
      <alignment horizontal="center" vertical="center" wrapText="1"/>
    </xf>
    <xf numFmtId="44" fontId="31" fillId="0" borderId="15" xfId="15" applyFont="1" applyBorder="1" applyAlignment="1">
      <alignment horizontal="center" vertical="center" wrapText="1"/>
    </xf>
    <xf numFmtId="44" fontId="31" fillId="0" borderId="15" xfId="0" applyNumberFormat="1" applyFont="1" applyBorder="1" applyAlignment="1">
      <alignment horizontal="center" vertical="center" wrapText="1"/>
    </xf>
    <xf numFmtId="0" fontId="31" fillId="0" borderId="16" xfId="0" applyFont="1" applyBorder="1" applyAlignment="1">
      <alignment horizontal="justify" vertical="center" wrapText="1"/>
    </xf>
    <xf numFmtId="0" fontId="31" fillId="0" borderId="17" xfId="0" applyFont="1" applyBorder="1" applyAlignment="1">
      <alignment horizontal="center" vertical="center" wrapText="1"/>
    </xf>
    <xf numFmtId="44" fontId="31" fillId="0" borderId="17" xfId="15" applyFont="1" applyBorder="1" applyAlignment="1">
      <alignment horizontal="center" vertical="center" wrapText="1"/>
    </xf>
    <xf numFmtId="44" fontId="0" fillId="0" borderId="0" xfId="0" applyNumberFormat="1"/>
  </cellXfs>
  <cellStyles count="16">
    <cellStyle name="Moeda" xfId="15" builtinId="4"/>
    <cellStyle name="Normal" xfId="0" builtinId="0"/>
    <cellStyle name="Normal 2" xfId="3" xr:uid="{5244658C-5B8D-4866-886F-BEC94BC2E279}"/>
    <cellStyle name="Normal 2 13" xfId="11" xr:uid="{9813AE57-DCA0-4E66-98B1-0F2BE29B7EA1}"/>
    <cellStyle name="Normal 2 15" xfId="6" xr:uid="{2E48B843-DB89-42AD-A64E-A8E5D928BC69}"/>
    <cellStyle name="Normal 2 2" xfId="1" xr:uid="{EEBA0F84-8547-41F2-9E03-00D03178C76D}"/>
    <cellStyle name="Normal 2 2 2" xfId="7" xr:uid="{324B9532-0BAA-469D-AD27-6F9F3708D6FA}"/>
    <cellStyle name="Normal 2 9" xfId="5" xr:uid="{8A7386D4-A848-4D40-9014-CA0FB0A0B553}"/>
    <cellStyle name="Normal 3" xfId="2" xr:uid="{C4CED2B9-B1FC-48BB-A2DC-077FB048E98A}"/>
    <cellStyle name="Normal 3 2 2 2" xfId="4" xr:uid="{658ABE66-1ABF-4609-8EDA-B6D3FA1D099C}"/>
    <cellStyle name="Normal 5" xfId="8" xr:uid="{5C0B1697-22E3-4EC5-8DAC-0AA776820E85}"/>
    <cellStyle name="Normal 5 2" xfId="12" xr:uid="{DF9EE9A6-0F36-408E-913B-A2C8B0D4088C}"/>
    <cellStyle name="Normal 8 2" xfId="9" xr:uid="{F9A40FD5-1B2A-4825-9B1F-5F6BE491C64C}"/>
    <cellStyle name="Normal 8 2 2" xfId="13" xr:uid="{2C7C69D5-E85F-4469-99FB-38F40DE024B1}"/>
    <cellStyle name="Vírgula" xfId="14" builtinId="3"/>
    <cellStyle name="Vírgula 2 6" xfId="10" xr:uid="{77CA988C-1FF3-4F6F-916F-B9AE1712C1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antosro\Desktop\TR%20Servi&#231;os%20Rep-SC\PLANILHA%20DE%20CUSTOS%20-%20REP%20SC%20(1).xlsx" TargetMode="External"/><Relationship Id="rId1" Type="http://schemas.openxmlformats.org/officeDocument/2006/relationships/externalLinkPath" Target="https://tcucloud.sharepoint.com/Users/santosro/Desktop/TR%20Servi&#231;os%20Rep-SC/PLANILHA%20DE%20CUSTOS%20-%20REP%20SC%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cepção"/>
      <sheetName val="Limpeza"/>
      <sheetName val="Copeiragem"/>
      <sheetName val="Uniformes"/>
      <sheetName val="Materiais  Copeiragem"/>
      <sheetName val="Materiais Limpeza"/>
      <sheetName val="Equip. Limpeza"/>
      <sheetName val="Produtividade Limpeza"/>
      <sheetName val="Planilha de Limites MPDG"/>
      <sheetName val="Outros Órgãos"/>
      <sheetName val="Resumo de Custos"/>
      <sheetName val="Dados - Não mexe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60982-D37F-403E-AD3A-F3D3741E3926}">
  <dimension ref="B1:G141"/>
  <sheetViews>
    <sheetView topLeftCell="B131" zoomScale="160" zoomScaleNormal="160" workbookViewId="0">
      <selection activeCell="C107" sqref="C107:D107"/>
    </sheetView>
  </sheetViews>
  <sheetFormatPr defaultRowHeight="15" x14ac:dyDescent="0.25"/>
  <cols>
    <col min="1" max="1" width="1.42578125" customWidth="1"/>
    <col min="2" max="2" width="4.5703125" bestFit="1" customWidth="1"/>
    <col min="3" max="3" width="43.5703125" customWidth="1"/>
    <col min="4" max="4" width="15.5703125" customWidth="1"/>
    <col min="5" max="5" width="15.28515625" bestFit="1" customWidth="1"/>
    <col min="7" max="7" width="15" bestFit="1" customWidth="1"/>
  </cols>
  <sheetData>
    <row r="1" spans="2:5" ht="15.75" thickBot="1" x14ac:dyDescent="0.3">
      <c r="B1" s="156" t="s">
        <v>2</v>
      </c>
      <c r="C1" s="156"/>
      <c r="D1" s="156"/>
      <c r="E1" s="156"/>
    </row>
    <row r="2" spans="2:5" ht="15.75" thickBot="1" x14ac:dyDescent="0.3">
      <c r="B2" s="157" t="s">
        <v>145</v>
      </c>
      <c r="C2" s="158"/>
      <c r="D2" s="158"/>
      <c r="E2" s="159"/>
    </row>
    <row r="3" spans="2:5" ht="15.75" thickBot="1" x14ac:dyDescent="0.3">
      <c r="B3" s="146" t="s">
        <v>3</v>
      </c>
      <c r="C3" s="146"/>
      <c r="D3" s="146"/>
      <c r="E3" s="54" t="s">
        <v>131</v>
      </c>
    </row>
    <row r="4" spans="2:5" ht="15.75" thickBot="1" x14ac:dyDescent="0.3">
      <c r="B4" s="146" t="s">
        <v>4</v>
      </c>
      <c r="C4" s="146"/>
      <c r="D4" s="146"/>
      <c r="E4" s="59" t="s">
        <v>132</v>
      </c>
    </row>
    <row r="5" spans="2:5" ht="15.75" thickBot="1" x14ac:dyDescent="0.3">
      <c r="B5" s="146" t="s">
        <v>5</v>
      </c>
      <c r="C5" s="146"/>
      <c r="D5" s="146"/>
      <c r="E5" s="59">
        <v>1</v>
      </c>
    </row>
    <row r="6" spans="2:5" ht="15.75" thickBot="1" x14ac:dyDescent="0.3">
      <c r="B6" s="146" t="s">
        <v>6</v>
      </c>
      <c r="C6" s="146"/>
      <c r="D6" s="146"/>
      <c r="E6" s="59">
        <v>12</v>
      </c>
    </row>
    <row r="7" spans="2:5" ht="15.75" thickBot="1" x14ac:dyDescent="0.3">
      <c r="B7" s="146" t="s">
        <v>7</v>
      </c>
      <c r="C7" s="146"/>
      <c r="D7" s="146"/>
      <c r="E7" s="80">
        <v>1653.63</v>
      </c>
    </row>
    <row r="8" spans="2:5" ht="15.75" thickBot="1" x14ac:dyDescent="0.3">
      <c r="B8" s="146" t="s">
        <v>8</v>
      </c>
      <c r="C8" s="146"/>
      <c r="D8" s="146"/>
      <c r="E8" s="59" t="s">
        <v>133</v>
      </c>
    </row>
    <row r="9" spans="2:5" ht="15.75" thickBot="1" x14ac:dyDescent="0.3">
      <c r="B9" s="146" t="s">
        <v>9</v>
      </c>
      <c r="C9" s="146"/>
      <c r="D9" s="146"/>
      <c r="E9" s="59" t="s">
        <v>134</v>
      </c>
    </row>
    <row r="10" spans="2:5" ht="15.75" thickBot="1" x14ac:dyDescent="0.3">
      <c r="B10" s="146" t="s">
        <v>10</v>
      </c>
      <c r="C10" s="146"/>
      <c r="D10" s="146"/>
      <c r="E10" s="59" t="s">
        <v>135</v>
      </c>
    </row>
    <row r="11" spans="2:5" ht="15.75" thickBot="1" x14ac:dyDescent="0.3">
      <c r="B11" s="146" t="s">
        <v>11</v>
      </c>
      <c r="C11" s="146"/>
      <c r="D11" s="146"/>
      <c r="E11" s="59" t="s">
        <v>136</v>
      </c>
    </row>
    <row r="12" spans="2:5" ht="15.75" thickBot="1" x14ac:dyDescent="0.3">
      <c r="B12" s="146" t="s">
        <v>12</v>
      </c>
      <c r="C12" s="146"/>
      <c r="D12" s="146"/>
      <c r="E12" s="59" t="s">
        <v>137</v>
      </c>
    </row>
    <row r="13" spans="2:5" ht="15.75" thickBot="1" x14ac:dyDescent="0.3">
      <c r="B13" s="146" t="s">
        <v>13</v>
      </c>
      <c r="C13" s="146"/>
      <c r="D13" s="146"/>
      <c r="E13" s="60">
        <v>1518</v>
      </c>
    </row>
    <row r="14" spans="2:5" ht="7.5" customHeight="1" thickBot="1" x14ac:dyDescent="0.3">
      <c r="B14" s="160"/>
      <c r="C14" s="160"/>
      <c r="D14" s="160"/>
      <c r="E14" s="160"/>
    </row>
    <row r="15" spans="2:5" ht="15.75" thickBot="1" x14ac:dyDescent="0.3">
      <c r="B15" s="109" t="s">
        <v>14</v>
      </c>
      <c r="C15" s="109"/>
      <c r="D15" s="109"/>
      <c r="E15" s="109"/>
    </row>
    <row r="16" spans="2:5" ht="15.75" thickBot="1" x14ac:dyDescent="0.3">
      <c r="B16" s="22">
        <v>1</v>
      </c>
      <c r="C16" s="23" t="s">
        <v>15</v>
      </c>
      <c r="D16" s="24" t="s">
        <v>16</v>
      </c>
      <c r="E16" s="24" t="s">
        <v>17</v>
      </c>
    </row>
    <row r="17" spans="2:7" ht="15.75" thickBot="1" x14ac:dyDescent="0.3">
      <c r="B17" s="4" t="s">
        <v>18</v>
      </c>
      <c r="C17" s="143" t="s">
        <v>126</v>
      </c>
      <c r="D17" s="143"/>
      <c r="E17" s="63">
        <v>1653.63</v>
      </c>
      <c r="G17" s="96"/>
    </row>
    <row r="18" spans="2:7" ht="23.85" customHeight="1" thickBot="1" x14ac:dyDescent="0.3">
      <c r="B18" s="4" t="s">
        <v>19</v>
      </c>
      <c r="C18" s="10" t="s">
        <v>20</v>
      </c>
      <c r="D18" s="89"/>
      <c r="E18" s="70">
        <f>E17*D18</f>
        <v>0</v>
      </c>
    </row>
    <row r="19" spans="2:7" ht="21.6" customHeight="1" thickBot="1" x14ac:dyDescent="0.3">
      <c r="B19" s="4" t="s">
        <v>21</v>
      </c>
      <c r="C19" s="10" t="s">
        <v>22</v>
      </c>
      <c r="D19" s="89">
        <v>0.2</v>
      </c>
      <c r="E19" s="70">
        <f>D19*E17</f>
        <v>330.72600000000006</v>
      </c>
    </row>
    <row r="20" spans="2:7" ht="19.350000000000001" customHeight="1" thickBot="1" x14ac:dyDescent="0.3">
      <c r="B20" s="4" t="s">
        <v>23</v>
      </c>
      <c r="C20" s="10" t="s">
        <v>24</v>
      </c>
      <c r="D20" s="10"/>
      <c r="E20" s="70"/>
    </row>
    <row r="21" spans="2:7" ht="15.75" thickBot="1" x14ac:dyDescent="0.3">
      <c r="B21" s="90" t="s">
        <v>25</v>
      </c>
      <c r="C21" s="143" t="s">
        <v>26</v>
      </c>
      <c r="D21" s="143"/>
      <c r="E21" s="55"/>
    </row>
    <row r="22" spans="2:7" ht="15.75" thickBot="1" x14ac:dyDescent="0.3">
      <c r="B22" s="90" t="s">
        <v>46</v>
      </c>
      <c r="C22" s="143" t="s">
        <v>128</v>
      </c>
      <c r="D22" s="143"/>
      <c r="E22" s="55"/>
    </row>
    <row r="23" spans="2:7" ht="15.75" thickBot="1" x14ac:dyDescent="0.3">
      <c r="B23" s="110" t="s">
        <v>28</v>
      </c>
      <c r="C23" s="149"/>
      <c r="D23" s="111"/>
      <c r="E23" s="21">
        <f>SUM(E17:E22)</f>
        <v>1984.3560000000002</v>
      </c>
    </row>
    <row r="24" spans="2:7" ht="10.5" customHeight="1" thickBot="1" x14ac:dyDescent="0.3">
      <c r="B24" s="132"/>
      <c r="C24" s="132"/>
      <c r="D24" s="132"/>
      <c r="E24" s="132"/>
    </row>
    <row r="25" spans="2:7" ht="15.75" thickBot="1" x14ac:dyDescent="0.3">
      <c r="B25" s="109" t="s">
        <v>29</v>
      </c>
      <c r="C25" s="109"/>
      <c r="D25" s="109"/>
      <c r="E25" s="109"/>
    </row>
    <row r="26" spans="2:7" ht="15.75" thickBot="1" x14ac:dyDescent="0.3">
      <c r="B26" s="141" t="s">
        <v>30</v>
      </c>
      <c r="C26" s="141"/>
      <c r="D26" s="141"/>
      <c r="E26" s="141"/>
    </row>
    <row r="27" spans="2:7" ht="27" customHeight="1" thickBot="1" x14ac:dyDescent="0.3">
      <c r="B27" s="22" t="s">
        <v>31</v>
      </c>
      <c r="C27" s="25" t="s">
        <v>32</v>
      </c>
      <c r="D27" s="24" t="s">
        <v>16</v>
      </c>
      <c r="E27" s="24" t="s">
        <v>17</v>
      </c>
    </row>
    <row r="28" spans="2:7" ht="24" customHeight="1" thickBot="1" x14ac:dyDescent="0.3">
      <c r="B28" s="4" t="s">
        <v>18</v>
      </c>
      <c r="C28" s="11" t="s">
        <v>33</v>
      </c>
      <c r="D28" s="62">
        <f>1/12</f>
        <v>8.3333333333333329E-2</v>
      </c>
      <c r="E28" s="70">
        <f>ROUND(($D$28)*E23,2)</f>
        <v>165.36</v>
      </c>
    </row>
    <row r="29" spans="2:7" ht="19.5" customHeight="1" thickBot="1" x14ac:dyDescent="0.3">
      <c r="B29" s="4" t="s">
        <v>19</v>
      </c>
      <c r="C29" s="11" t="s">
        <v>34</v>
      </c>
      <c r="D29" s="62">
        <f>1/12/3</f>
        <v>2.7777777777777776E-2</v>
      </c>
      <c r="E29" s="70">
        <f>ROUND(($D$29)*E23,2)</f>
        <v>55.12</v>
      </c>
    </row>
    <row r="30" spans="2:7" ht="15.75" thickBot="1" x14ac:dyDescent="0.3">
      <c r="B30" s="150" t="s">
        <v>28</v>
      </c>
      <c r="C30" s="151"/>
      <c r="D30" s="56">
        <f>SUM(D28:D29)</f>
        <v>0.1111111111111111</v>
      </c>
      <c r="E30" s="35">
        <f>ROUND(SUM(E28:E29),2)</f>
        <v>220.48</v>
      </c>
    </row>
    <row r="31" spans="2:7" ht="15.75" thickBot="1" x14ac:dyDescent="0.3">
      <c r="B31" s="152"/>
      <c r="C31" s="152"/>
      <c r="D31" s="152"/>
      <c r="E31" s="152"/>
    </row>
    <row r="32" spans="2:7" ht="15.75" thickBot="1" x14ac:dyDescent="0.3">
      <c r="B32" s="99" t="s">
        <v>35</v>
      </c>
      <c r="C32" s="99"/>
      <c r="D32" s="99"/>
      <c r="E32" s="50">
        <f>E30+E23</f>
        <v>2204.8360000000002</v>
      </c>
    </row>
    <row r="33" spans="2:5" ht="15.75" thickBot="1" x14ac:dyDescent="0.3">
      <c r="B33" s="132"/>
      <c r="C33" s="132"/>
      <c r="D33" s="132"/>
      <c r="E33" s="132"/>
    </row>
    <row r="34" spans="2:5" ht="32.1" customHeight="1" thickBot="1" x14ac:dyDescent="0.3">
      <c r="B34" s="153" t="s">
        <v>36</v>
      </c>
      <c r="C34" s="153"/>
      <c r="D34" s="153"/>
      <c r="E34" s="153"/>
    </row>
    <row r="35" spans="2:5" ht="26.1" customHeight="1" thickBot="1" x14ac:dyDescent="0.3">
      <c r="B35" s="22" t="s">
        <v>37</v>
      </c>
      <c r="C35" s="24" t="s">
        <v>38</v>
      </c>
      <c r="D35" s="24" t="s">
        <v>16</v>
      </c>
      <c r="E35" s="24" t="s">
        <v>17</v>
      </c>
    </row>
    <row r="36" spans="2:5" ht="15.75" thickBot="1" x14ac:dyDescent="0.3">
      <c r="B36" s="4" t="s">
        <v>18</v>
      </c>
      <c r="C36" s="9" t="s">
        <v>39</v>
      </c>
      <c r="D36" s="57">
        <v>0.2</v>
      </c>
      <c r="E36" s="55">
        <f>D36*E32</f>
        <v>440.96720000000005</v>
      </c>
    </row>
    <row r="37" spans="2:5" ht="19.350000000000001" customHeight="1" thickBot="1" x14ac:dyDescent="0.3">
      <c r="B37" s="4" t="s">
        <v>19</v>
      </c>
      <c r="C37" s="9" t="s">
        <v>40</v>
      </c>
      <c r="D37" s="57">
        <v>2.5000000000000001E-2</v>
      </c>
      <c r="E37" s="55">
        <f>ROUND(($D$37)*E32,2)</f>
        <v>55.12</v>
      </c>
    </row>
    <row r="38" spans="2:5" ht="15.75" thickBot="1" x14ac:dyDescent="0.3">
      <c r="B38" s="90" t="s">
        <v>21</v>
      </c>
      <c r="C38" s="91" t="s">
        <v>125</v>
      </c>
      <c r="D38" s="92">
        <f>3%*1</f>
        <v>0.03</v>
      </c>
      <c r="E38" s="55">
        <f>ROUND(($D$38)*E32,2)</f>
        <v>66.150000000000006</v>
      </c>
    </row>
    <row r="39" spans="2:5" ht="16.5" customHeight="1" thickBot="1" x14ac:dyDescent="0.3">
      <c r="B39" s="4" t="s">
        <v>23</v>
      </c>
      <c r="C39" s="9" t="s">
        <v>41</v>
      </c>
      <c r="D39" s="57">
        <v>1.4999999999999999E-2</v>
      </c>
      <c r="E39" s="55">
        <f>ROUND(($D$39)*E32,2)</f>
        <v>33.07</v>
      </c>
    </row>
    <row r="40" spans="2:5" ht="17.850000000000001" customHeight="1" thickBot="1" x14ac:dyDescent="0.3">
      <c r="B40" s="4" t="s">
        <v>25</v>
      </c>
      <c r="C40" s="9" t="s">
        <v>42</v>
      </c>
      <c r="D40" s="57">
        <v>0.01</v>
      </c>
      <c r="E40" s="55">
        <f>ROUND(($D$40)*E32,2)</f>
        <v>22.05</v>
      </c>
    </row>
    <row r="41" spans="2:5" ht="15.75" thickBot="1" x14ac:dyDescent="0.3">
      <c r="B41" s="4" t="s">
        <v>27</v>
      </c>
      <c r="C41" s="9" t="s">
        <v>43</v>
      </c>
      <c r="D41" s="57">
        <v>6.0000000000000001E-3</v>
      </c>
      <c r="E41" s="55">
        <f>ROUND(($D$41)*E32,2)</f>
        <v>13.23</v>
      </c>
    </row>
    <row r="42" spans="2:5" ht="15.75" thickBot="1" x14ac:dyDescent="0.3">
      <c r="B42" s="4" t="s">
        <v>44</v>
      </c>
      <c r="C42" s="9" t="s">
        <v>45</v>
      </c>
      <c r="D42" s="57">
        <v>2E-3</v>
      </c>
      <c r="E42" s="55">
        <f>ROUND(($D$42)*E32,2)</f>
        <v>4.41</v>
      </c>
    </row>
    <row r="43" spans="2:5" ht="15.75" thickBot="1" x14ac:dyDescent="0.3">
      <c r="B43" s="4" t="s">
        <v>46</v>
      </c>
      <c r="C43" s="9" t="s">
        <v>47</v>
      </c>
      <c r="D43" s="57">
        <v>0.08</v>
      </c>
      <c r="E43" s="55">
        <f>ROUND(($D$43)*E32,2)</f>
        <v>176.39</v>
      </c>
    </row>
    <row r="44" spans="2:5" ht="15.75" thickBot="1" x14ac:dyDescent="0.3">
      <c r="B44" s="154" t="s">
        <v>0</v>
      </c>
      <c r="C44" s="154"/>
      <c r="D44" s="36">
        <f>SUM(D36:D43)</f>
        <v>0.36800000000000005</v>
      </c>
      <c r="E44" s="35">
        <f>ROUND(SUM(E36:E43),2)</f>
        <v>811.39</v>
      </c>
    </row>
    <row r="45" spans="2:5" x14ac:dyDescent="0.25">
      <c r="B45" s="46" t="s">
        <v>48</v>
      </c>
      <c r="C45" s="155"/>
      <c r="D45" s="155"/>
      <c r="E45" s="155"/>
    </row>
    <row r="46" spans="2:5" x14ac:dyDescent="0.25">
      <c r="B46" s="40">
        <v>1</v>
      </c>
      <c r="C46" s="148" t="s">
        <v>49</v>
      </c>
      <c r="D46" s="148"/>
      <c r="E46" s="148"/>
    </row>
    <row r="47" spans="2:5" ht="15.75" thickBot="1" x14ac:dyDescent="0.3">
      <c r="B47" s="14"/>
      <c r="C47" s="14"/>
      <c r="D47" s="14"/>
      <c r="E47" s="14"/>
    </row>
    <row r="48" spans="2:5" ht="15.75" thickBot="1" x14ac:dyDescent="0.3">
      <c r="B48" s="141" t="s">
        <v>50</v>
      </c>
      <c r="C48" s="141"/>
      <c r="D48" s="141"/>
      <c r="E48" s="141"/>
    </row>
    <row r="49" spans="2:5" ht="15.75" thickBot="1" x14ac:dyDescent="0.3">
      <c r="B49" s="22" t="s">
        <v>51</v>
      </c>
      <c r="C49" s="142" t="s">
        <v>52</v>
      </c>
      <c r="D49" s="142"/>
      <c r="E49" s="24" t="s">
        <v>17</v>
      </c>
    </row>
    <row r="50" spans="2:5" ht="15.75" thickBot="1" x14ac:dyDescent="0.3">
      <c r="B50" s="4" t="s">
        <v>18</v>
      </c>
      <c r="C50" s="103" t="s">
        <v>53</v>
      </c>
      <c r="D50" s="103"/>
      <c r="E50" s="63">
        <f>6.1*2*15</f>
        <v>183</v>
      </c>
    </row>
    <row r="51" spans="2:5" ht="15.75" thickBot="1" x14ac:dyDescent="0.3">
      <c r="B51" s="4" t="s">
        <v>54</v>
      </c>
      <c r="C51" s="103" t="s">
        <v>55</v>
      </c>
      <c r="D51" s="103"/>
      <c r="E51" s="61">
        <f>-6%*E17</f>
        <v>-99.217799999999997</v>
      </c>
    </row>
    <row r="52" spans="2:5" ht="15.75" thickBot="1" x14ac:dyDescent="0.3">
      <c r="B52" s="90" t="s">
        <v>19</v>
      </c>
      <c r="C52" s="143" t="s">
        <v>56</v>
      </c>
      <c r="D52" s="143"/>
      <c r="E52" s="63">
        <f>27.29*15</f>
        <v>409.34999999999997</v>
      </c>
    </row>
    <row r="53" spans="2:5" ht="15.75" thickBot="1" x14ac:dyDescent="0.3">
      <c r="B53" s="4" t="s">
        <v>57</v>
      </c>
      <c r="C53" s="113" t="s">
        <v>58</v>
      </c>
      <c r="D53" s="114"/>
      <c r="E53" s="61">
        <f>-1%*E52</f>
        <v>-4.0934999999999997</v>
      </c>
    </row>
    <row r="54" spans="2:5" ht="15.75" thickBot="1" x14ac:dyDescent="0.3">
      <c r="B54" s="4" t="s">
        <v>21</v>
      </c>
      <c r="C54" s="144" t="s">
        <v>129</v>
      </c>
      <c r="D54" s="145"/>
      <c r="E54" s="61">
        <v>11</v>
      </c>
    </row>
    <row r="55" spans="2:5" ht="15.75" thickBot="1" x14ac:dyDescent="0.3">
      <c r="B55" s="4" t="s">
        <v>23</v>
      </c>
      <c r="C55" s="103" t="s">
        <v>130</v>
      </c>
      <c r="D55" s="103"/>
      <c r="E55" s="61">
        <f>7%*E23</f>
        <v>138.90492000000003</v>
      </c>
    </row>
    <row r="56" spans="2:5" ht="15.75" thickBot="1" x14ac:dyDescent="0.3">
      <c r="B56" s="4"/>
      <c r="C56" s="103"/>
      <c r="D56" s="103"/>
      <c r="E56" s="61"/>
    </row>
    <row r="57" spans="2:5" ht="15.75" thickBot="1" x14ac:dyDescent="0.3">
      <c r="B57" s="147" t="s">
        <v>28</v>
      </c>
      <c r="C57" s="147"/>
      <c r="D57" s="147"/>
      <c r="E57" s="35">
        <f>ROUND(SUM(E50:E56),2)</f>
        <v>638.94000000000005</v>
      </c>
    </row>
    <row r="58" spans="2:5" ht="22.5" x14ac:dyDescent="0.25">
      <c r="B58" s="16" t="s">
        <v>48</v>
      </c>
      <c r="C58" s="140"/>
      <c r="D58" s="140"/>
      <c r="E58" s="140"/>
    </row>
    <row r="59" spans="2:5" x14ac:dyDescent="0.25">
      <c r="B59" s="16" t="s">
        <v>59</v>
      </c>
      <c r="C59" s="107" t="s">
        <v>138</v>
      </c>
      <c r="D59" s="107"/>
      <c r="E59" s="107"/>
    </row>
    <row r="60" spans="2:5" ht="27" hidden="1" customHeight="1" x14ac:dyDescent="0.25">
      <c r="B60" s="16"/>
      <c r="C60" s="107"/>
      <c r="D60" s="107"/>
      <c r="E60" s="107"/>
    </row>
    <row r="61" spans="2:5" ht="15.75" thickBot="1" x14ac:dyDescent="0.3">
      <c r="C61" s="98"/>
      <c r="D61" s="98"/>
      <c r="E61" s="98"/>
    </row>
    <row r="62" spans="2:5" ht="15.75" thickBot="1" x14ac:dyDescent="0.3">
      <c r="B62" s="109" t="s">
        <v>60</v>
      </c>
      <c r="C62" s="109"/>
      <c r="D62" s="109"/>
      <c r="E62" s="109"/>
    </row>
    <row r="63" spans="2:5" ht="15.75" thickBot="1" x14ac:dyDescent="0.3">
      <c r="B63" s="27">
        <v>2</v>
      </c>
      <c r="C63" s="104" t="s">
        <v>61</v>
      </c>
      <c r="D63" s="104"/>
      <c r="E63" s="27" t="s">
        <v>17</v>
      </c>
    </row>
    <row r="64" spans="2:5" ht="15.75" thickBot="1" x14ac:dyDescent="0.3">
      <c r="B64" s="4" t="s">
        <v>31</v>
      </c>
      <c r="C64" s="103" t="s">
        <v>62</v>
      </c>
      <c r="D64" s="103"/>
      <c r="E64" s="71">
        <f>E30</f>
        <v>220.48</v>
      </c>
    </row>
    <row r="65" spans="2:5" ht="15.75" thickBot="1" x14ac:dyDescent="0.3">
      <c r="B65" s="4" t="s">
        <v>37</v>
      </c>
      <c r="C65" s="103" t="s">
        <v>63</v>
      </c>
      <c r="D65" s="103"/>
      <c r="E65" s="71">
        <f>E44</f>
        <v>811.39</v>
      </c>
    </row>
    <row r="66" spans="2:5" ht="15.75" thickBot="1" x14ac:dyDescent="0.3">
      <c r="B66" s="4" t="s">
        <v>51</v>
      </c>
      <c r="C66" s="103" t="s">
        <v>52</v>
      </c>
      <c r="D66" s="103"/>
      <c r="E66" s="71">
        <f>E57</f>
        <v>638.94000000000005</v>
      </c>
    </row>
    <row r="67" spans="2:5" ht="15.75" thickBot="1" x14ac:dyDescent="0.3">
      <c r="B67" s="106" t="s">
        <v>28</v>
      </c>
      <c r="C67" s="106"/>
      <c r="D67" s="106"/>
      <c r="E67" s="21">
        <f>ROUND(SUM(E64:E66),2)</f>
        <v>1670.81</v>
      </c>
    </row>
    <row r="68" spans="2:5" ht="15.75" thickBot="1" x14ac:dyDescent="0.3">
      <c r="B68" s="132"/>
      <c r="C68" s="132"/>
      <c r="D68" s="132"/>
      <c r="E68" s="132"/>
    </row>
    <row r="69" spans="2:5" ht="15.75" thickBot="1" x14ac:dyDescent="0.3">
      <c r="B69" s="139" t="s">
        <v>64</v>
      </c>
      <c r="C69" s="139"/>
      <c r="D69" s="139"/>
      <c r="E69" s="139"/>
    </row>
    <row r="70" spans="2:5" ht="15.75" thickBot="1" x14ac:dyDescent="0.3">
      <c r="B70" s="27">
        <v>3</v>
      </c>
      <c r="C70" s="104" t="s">
        <v>65</v>
      </c>
      <c r="D70" s="104"/>
      <c r="E70" s="27" t="s">
        <v>17</v>
      </c>
    </row>
    <row r="71" spans="2:5" ht="18.600000000000001" customHeight="1" thickBot="1" x14ac:dyDescent="0.3">
      <c r="B71" s="4" t="s">
        <v>18</v>
      </c>
      <c r="C71" s="10" t="s">
        <v>66</v>
      </c>
      <c r="D71" s="58">
        <f>5%*1/12*(1+1/12+1/12+1/3*1/12)</f>
        <v>4.9768518518518504E-3</v>
      </c>
      <c r="E71" s="72">
        <f>ROUND(D71*E23,2)</f>
        <v>9.8800000000000008</v>
      </c>
    </row>
    <row r="72" spans="2:5" ht="21.6" customHeight="1" thickBot="1" x14ac:dyDescent="0.3">
      <c r="B72" s="4" t="s">
        <v>19</v>
      </c>
      <c r="C72" s="10" t="s">
        <v>67</v>
      </c>
      <c r="D72" s="58">
        <f>8%*D71</f>
        <v>3.9814814814814802E-4</v>
      </c>
      <c r="E72" s="72">
        <f>ROUND(D72*E23,2)</f>
        <v>0.79</v>
      </c>
    </row>
    <row r="73" spans="2:5" ht="20.85" customHeight="1" thickBot="1" x14ac:dyDescent="0.3">
      <c r="B73" s="4" t="s">
        <v>21</v>
      </c>
      <c r="C73" s="10" t="s">
        <v>123</v>
      </c>
      <c r="D73" s="58">
        <f>5%*40%*8%*(1+1/12+1/3*1/12)</f>
        <v>1.7777777777777779E-3</v>
      </c>
      <c r="E73" s="73">
        <f>ROUND(D73*E23,2)</f>
        <v>3.53</v>
      </c>
    </row>
    <row r="74" spans="2:5" ht="22.35" customHeight="1" thickBot="1" x14ac:dyDescent="0.3">
      <c r="B74" s="4" t="s">
        <v>23</v>
      </c>
      <c r="C74" s="10" t="s">
        <v>139</v>
      </c>
      <c r="D74" s="58">
        <f>100%*1/12*7/30</f>
        <v>1.9444444444444441E-2</v>
      </c>
      <c r="E74" s="72">
        <f>ROUND(D74*E23,2)</f>
        <v>38.58</v>
      </c>
    </row>
    <row r="75" spans="2:5" ht="29.45" customHeight="1" thickBot="1" x14ac:dyDescent="0.3">
      <c r="B75" s="4" t="s">
        <v>25</v>
      </c>
      <c r="C75" s="51" t="s">
        <v>68</v>
      </c>
      <c r="D75" s="58">
        <f>D44*D74</f>
        <v>7.1555555555555556E-3</v>
      </c>
      <c r="E75" s="73">
        <f>ROUND(D75*E23,2)</f>
        <v>14.2</v>
      </c>
    </row>
    <row r="76" spans="2:5" ht="20.100000000000001" customHeight="1" thickBot="1" x14ac:dyDescent="0.3">
      <c r="B76" s="4" t="s">
        <v>27</v>
      </c>
      <c r="C76" s="10" t="s">
        <v>69</v>
      </c>
      <c r="D76" s="58">
        <f>100%*40%*8%*(1+1/12+1/3*1/12)</f>
        <v>3.5555555555555549E-2</v>
      </c>
      <c r="E76" s="72">
        <f>ROUND(D76*E23,2)</f>
        <v>70.55</v>
      </c>
    </row>
    <row r="77" spans="2:5" ht="15.75" thickBot="1" x14ac:dyDescent="0.3">
      <c r="B77" s="110" t="s">
        <v>28</v>
      </c>
      <c r="C77" s="111"/>
      <c r="D77" s="53">
        <f>SUM(D71:D76)</f>
        <v>6.9308333333333319E-2</v>
      </c>
      <c r="E77" s="38">
        <f>ROUND(SUM(E71:E76),2)</f>
        <v>137.53</v>
      </c>
    </row>
    <row r="78" spans="2:5" ht="21" x14ac:dyDescent="0.25">
      <c r="B78" s="15" t="s">
        <v>48</v>
      </c>
      <c r="C78" s="138"/>
      <c r="D78" s="138"/>
      <c r="E78" s="138"/>
    </row>
    <row r="79" spans="2:5" ht="45.75" customHeight="1" x14ac:dyDescent="0.25">
      <c r="B79" s="16">
        <v>1</v>
      </c>
      <c r="C79" s="107" t="s">
        <v>70</v>
      </c>
      <c r="D79" s="107"/>
      <c r="E79" s="107"/>
    </row>
    <row r="80" spans="2:5" ht="33.6" customHeight="1" x14ac:dyDescent="0.25">
      <c r="B80" s="16">
        <v>2</v>
      </c>
      <c r="C80" s="107" t="s">
        <v>71</v>
      </c>
      <c r="D80" s="108"/>
      <c r="E80" s="108"/>
    </row>
    <row r="81" spans="2:5" ht="35.25" customHeight="1" x14ac:dyDescent="0.25">
      <c r="B81" s="16">
        <v>3</v>
      </c>
      <c r="C81" s="107" t="s">
        <v>72</v>
      </c>
      <c r="D81" s="107"/>
      <c r="E81" s="107"/>
    </row>
    <row r="82" spans="2:5" ht="13.5" customHeight="1" thickBot="1" x14ac:dyDescent="0.3">
      <c r="B82" s="132"/>
      <c r="C82" s="132"/>
      <c r="D82" s="132"/>
      <c r="E82" s="132"/>
    </row>
    <row r="83" spans="2:5" ht="15.75" thickBot="1" x14ac:dyDescent="0.3">
      <c r="B83" s="133" t="s">
        <v>73</v>
      </c>
      <c r="C83" s="134"/>
      <c r="D83" s="134"/>
      <c r="E83" s="135"/>
    </row>
    <row r="84" spans="2:5" ht="15.75" thickBot="1" x14ac:dyDescent="0.3">
      <c r="B84" s="136" t="s">
        <v>74</v>
      </c>
      <c r="C84" s="136"/>
      <c r="D84" s="136"/>
      <c r="E84" s="136"/>
    </row>
    <row r="85" spans="2:5" ht="15.75" thickBot="1" x14ac:dyDescent="0.3">
      <c r="B85" s="29" t="s">
        <v>75</v>
      </c>
      <c r="C85" s="137" t="s">
        <v>76</v>
      </c>
      <c r="D85" s="137"/>
      <c r="E85" s="30" t="s">
        <v>17</v>
      </c>
    </row>
    <row r="86" spans="2:5" ht="15.75" x14ac:dyDescent="0.25">
      <c r="B86" s="5" t="s">
        <v>18</v>
      </c>
      <c r="C86" s="6" t="s">
        <v>77</v>
      </c>
      <c r="D86" s="58">
        <f>(1+(1/12)+(1/12)+(1/12/3))/12</f>
        <v>9.9537037037037021E-2</v>
      </c>
      <c r="E86" s="77">
        <f>ROUND(D86*E23,2)</f>
        <v>197.52</v>
      </c>
    </row>
    <row r="87" spans="2:5" ht="19.350000000000001" customHeight="1" thickBot="1" x14ac:dyDescent="0.3">
      <c r="B87" s="93" t="s">
        <v>19</v>
      </c>
      <c r="C87" s="94" t="s">
        <v>78</v>
      </c>
      <c r="D87" s="95">
        <f>1/12*1/30</f>
        <v>2.7777777777777775E-3</v>
      </c>
      <c r="E87" s="77">
        <f>ROUND(D87*E23,2)</f>
        <v>5.51</v>
      </c>
    </row>
    <row r="88" spans="2:5" ht="22.5" customHeight="1" thickBot="1" x14ac:dyDescent="0.3">
      <c r="B88" s="5" t="s">
        <v>21</v>
      </c>
      <c r="C88" s="6" t="s">
        <v>79</v>
      </c>
      <c r="D88" s="58">
        <f>((5/30)/12)*1.62%*50%</f>
        <v>1.1250000000000001E-4</v>
      </c>
      <c r="E88" s="77">
        <f>ROUND(D88*E23,2)</f>
        <v>0.22</v>
      </c>
    </row>
    <row r="89" spans="2:5" ht="16.5" thickBot="1" x14ac:dyDescent="0.3">
      <c r="B89" s="7" t="s">
        <v>23</v>
      </c>
      <c r="C89" s="8" t="s">
        <v>80</v>
      </c>
      <c r="D89" s="58">
        <f>((1/12)+(1/12/3))*(4/12)*1.62%*50%</f>
        <v>3.0000000000000003E-4</v>
      </c>
      <c r="E89" s="78">
        <f>ROUND(D89*E23,2)</f>
        <v>0.6</v>
      </c>
    </row>
    <row r="90" spans="2:5" ht="17.850000000000001" customHeight="1" thickBot="1" x14ac:dyDescent="0.3">
      <c r="B90" s="5" t="s">
        <v>25</v>
      </c>
      <c r="C90" s="20" t="s">
        <v>140</v>
      </c>
      <c r="D90" s="58">
        <f>(5/30)/12</f>
        <v>1.3888888888888888E-2</v>
      </c>
      <c r="E90" s="77">
        <f>ROUND(D90*E23,2)</f>
        <v>27.56</v>
      </c>
    </row>
    <row r="91" spans="2:5" ht="21" customHeight="1" thickBot="1" x14ac:dyDescent="0.3">
      <c r="B91" s="5" t="s">
        <v>27</v>
      </c>
      <c r="C91" s="20" t="s">
        <v>141</v>
      </c>
      <c r="D91" s="58">
        <f>((15/30)/12)*1.219%</f>
        <v>5.0791666666666672E-4</v>
      </c>
      <c r="E91" s="77">
        <f>ROUND(D91*E23,2)</f>
        <v>1.01</v>
      </c>
    </row>
    <row r="92" spans="2:5" ht="15.75" thickBot="1" x14ac:dyDescent="0.3">
      <c r="B92" s="130" t="s">
        <v>81</v>
      </c>
      <c r="C92" s="131"/>
      <c r="D92" s="31">
        <f>SUM(D86:D91)</f>
        <v>0.11712412037037034</v>
      </c>
      <c r="E92" s="32">
        <f>ROUND(SUM(E86:E91),2)</f>
        <v>232.42</v>
      </c>
    </row>
    <row r="93" spans="2:5" ht="26.25" thickBot="1" x14ac:dyDescent="0.3">
      <c r="B93" s="7" t="s">
        <v>44</v>
      </c>
      <c r="C93" s="52" t="s">
        <v>127</v>
      </c>
      <c r="D93" s="58">
        <f>D44*D92</f>
        <v>4.3101676296296292E-2</v>
      </c>
      <c r="E93" s="79">
        <f>ROUND(D93*E23,2)</f>
        <v>85.53</v>
      </c>
    </row>
    <row r="94" spans="2:5" ht="15.75" thickBot="1" x14ac:dyDescent="0.3">
      <c r="B94" s="130" t="s">
        <v>82</v>
      </c>
      <c r="C94" s="131"/>
      <c r="D94" s="31">
        <f>D93+D92</f>
        <v>0.16022579666666664</v>
      </c>
      <c r="E94" s="37">
        <f>ROUND(E92+E93,2)</f>
        <v>317.95</v>
      </c>
    </row>
    <row r="95" spans="2:5" ht="21" x14ac:dyDescent="0.25">
      <c r="B95" s="18" t="s">
        <v>48</v>
      </c>
      <c r="C95" s="129"/>
      <c r="D95" s="129"/>
      <c r="E95" s="129"/>
    </row>
    <row r="96" spans="2:5" ht="34.35" customHeight="1" x14ac:dyDescent="0.25">
      <c r="B96" s="17">
        <v>1</v>
      </c>
      <c r="C96" s="105" t="s">
        <v>83</v>
      </c>
      <c r="D96" s="105"/>
      <c r="E96" s="105"/>
    </row>
    <row r="97" spans="2:5" ht="53.25" customHeight="1" x14ac:dyDescent="0.25">
      <c r="B97" s="17">
        <v>2</v>
      </c>
      <c r="C97" s="105" t="s">
        <v>84</v>
      </c>
      <c r="D97" s="105"/>
      <c r="E97" s="105"/>
    </row>
    <row r="98" spans="2:5" ht="60.75" customHeight="1" x14ac:dyDescent="0.25">
      <c r="B98" s="17">
        <v>3</v>
      </c>
      <c r="C98" s="105" t="s">
        <v>124</v>
      </c>
      <c r="D98" s="105"/>
      <c r="E98" s="105"/>
    </row>
    <row r="99" spans="2:5" ht="49.5" customHeight="1" x14ac:dyDescent="0.25">
      <c r="B99" s="17">
        <v>4</v>
      </c>
      <c r="C99" s="105" t="s">
        <v>85</v>
      </c>
      <c r="D99" s="105"/>
      <c r="E99" s="105"/>
    </row>
    <row r="100" spans="2:5" ht="39" customHeight="1" x14ac:dyDescent="0.25">
      <c r="B100" s="17">
        <v>5</v>
      </c>
      <c r="C100" s="105" t="s">
        <v>86</v>
      </c>
      <c r="D100" s="105"/>
      <c r="E100" s="105"/>
    </row>
    <row r="101" spans="2:5" ht="23.1" customHeight="1" x14ac:dyDescent="0.25">
      <c r="B101" s="17">
        <v>6</v>
      </c>
      <c r="C101" s="105" t="s">
        <v>87</v>
      </c>
      <c r="D101" s="105"/>
      <c r="E101" s="105"/>
    </row>
    <row r="102" spans="2:5" ht="25.35" customHeight="1" x14ac:dyDescent="0.25">
      <c r="B102" s="17">
        <v>7</v>
      </c>
      <c r="C102" s="105" t="s">
        <v>88</v>
      </c>
      <c r="D102" s="105"/>
      <c r="E102" s="105"/>
    </row>
    <row r="103" spans="2:5" ht="15.75" thickBot="1" x14ac:dyDescent="0.3">
      <c r="B103" s="12"/>
      <c r="C103" s="12"/>
      <c r="D103" s="12"/>
      <c r="E103" s="13"/>
    </row>
    <row r="104" spans="2:5" ht="15.75" thickBot="1" x14ac:dyDescent="0.3">
      <c r="B104" s="109" t="s">
        <v>89</v>
      </c>
      <c r="C104" s="109"/>
      <c r="D104" s="109"/>
      <c r="E104" s="109"/>
    </row>
    <row r="105" spans="2:5" ht="15.75" thickBot="1" x14ac:dyDescent="0.3">
      <c r="B105" s="27">
        <v>5</v>
      </c>
      <c r="C105" s="104" t="s">
        <v>90</v>
      </c>
      <c r="D105" s="104"/>
      <c r="E105" s="26" t="s">
        <v>17</v>
      </c>
    </row>
    <row r="106" spans="2:5" ht="15.75" thickBot="1" x14ac:dyDescent="0.3">
      <c r="B106" s="4" t="s">
        <v>18</v>
      </c>
      <c r="C106" s="103" t="s">
        <v>157</v>
      </c>
      <c r="D106" s="103"/>
      <c r="E106" s="70">
        <v>106.51</v>
      </c>
    </row>
    <row r="107" spans="2:5" ht="15.75" thickBot="1" x14ac:dyDescent="0.3">
      <c r="B107" s="4" t="s">
        <v>19</v>
      </c>
      <c r="C107" s="103"/>
      <c r="D107" s="103"/>
      <c r="E107" s="70"/>
    </row>
    <row r="108" spans="2:5" ht="15.75" thickBot="1" x14ac:dyDescent="0.3">
      <c r="B108" s="4" t="s">
        <v>21</v>
      </c>
      <c r="C108" s="103"/>
      <c r="D108" s="103"/>
      <c r="E108" s="70"/>
    </row>
    <row r="109" spans="2:5" ht="15.75" thickBot="1" x14ac:dyDescent="0.3">
      <c r="B109" s="4" t="s">
        <v>23</v>
      </c>
      <c r="C109" s="103"/>
      <c r="D109" s="103"/>
      <c r="E109" s="70">
        <v>0</v>
      </c>
    </row>
    <row r="110" spans="2:5" ht="15.75" thickBot="1" x14ac:dyDescent="0.3">
      <c r="B110" s="106" t="s">
        <v>0</v>
      </c>
      <c r="C110" s="106"/>
      <c r="D110" s="106"/>
      <c r="E110" s="21">
        <f>ROUND(SUM(E106:E109),2)</f>
        <v>106.51</v>
      </c>
    </row>
    <row r="111" spans="2:5" ht="15.75" thickBot="1" x14ac:dyDescent="0.3">
      <c r="B111" s="98"/>
      <c r="C111" s="98"/>
      <c r="D111" s="98"/>
      <c r="E111" s="98"/>
    </row>
    <row r="112" spans="2:5" ht="15.75" thickBot="1" x14ac:dyDescent="0.3">
      <c r="B112" s="99" t="s">
        <v>91</v>
      </c>
      <c r="C112" s="99"/>
      <c r="D112" s="99"/>
      <c r="E112" s="41">
        <f>ROUND(E23+E67+E77+E94+E110,2)</f>
        <v>4217.16</v>
      </c>
    </row>
    <row r="113" spans="2:7" ht="15.75" thickBot="1" x14ac:dyDescent="0.3">
      <c r="B113" s="14"/>
      <c r="C113" s="14"/>
      <c r="D113" s="14"/>
      <c r="E113" s="14"/>
    </row>
    <row r="114" spans="2:7" ht="15.75" thickBot="1" x14ac:dyDescent="0.3">
      <c r="B114" s="100" t="s">
        <v>92</v>
      </c>
      <c r="C114" s="101"/>
      <c r="D114" s="101"/>
      <c r="E114" s="102"/>
    </row>
    <row r="115" spans="2:7" ht="15.75" thickBot="1" x14ac:dyDescent="0.3">
      <c r="B115" s="33">
        <v>6</v>
      </c>
      <c r="C115" s="34" t="s">
        <v>93</v>
      </c>
      <c r="D115" s="34" t="s">
        <v>16</v>
      </c>
      <c r="E115" s="34" t="s">
        <v>17</v>
      </c>
    </row>
    <row r="116" spans="2:7" ht="15.75" thickBot="1" x14ac:dyDescent="0.3">
      <c r="B116" s="1" t="s">
        <v>18</v>
      </c>
      <c r="C116" s="2" t="s">
        <v>94</v>
      </c>
      <c r="D116" s="64">
        <f>5%</f>
        <v>0.05</v>
      </c>
      <c r="E116" s="74">
        <f>ROUND(D116*E112,2)</f>
        <v>210.86</v>
      </c>
    </row>
    <row r="117" spans="2:7" ht="15.75" thickBot="1" x14ac:dyDescent="0.3">
      <c r="B117" s="1" t="s">
        <v>19</v>
      </c>
      <c r="C117" s="2" t="s">
        <v>1</v>
      </c>
      <c r="D117" s="64">
        <f>10%</f>
        <v>0.1</v>
      </c>
      <c r="E117" s="74">
        <f>ROUND(D117*(E112+E116),2)</f>
        <v>442.8</v>
      </c>
    </row>
    <row r="118" spans="2:7" ht="15.75" thickBot="1" x14ac:dyDescent="0.3">
      <c r="B118" s="118" t="s">
        <v>95</v>
      </c>
      <c r="C118" s="119"/>
      <c r="D118" s="81">
        <f>SUM(D116:D117)</f>
        <v>0.15000000000000002</v>
      </c>
      <c r="E118" s="47">
        <f>ROUND(SUM(E116:E117),2)</f>
        <v>653.66</v>
      </c>
    </row>
    <row r="119" spans="2:7" ht="16.5" thickBot="1" x14ac:dyDescent="0.3">
      <c r="B119" s="1" t="s">
        <v>21</v>
      </c>
      <c r="C119" s="2" t="s">
        <v>96</v>
      </c>
      <c r="E119" s="97">
        <f>(E112+E118)/(1-D123)*D123</f>
        <v>809.43655976676393</v>
      </c>
      <c r="G119" s="19"/>
    </row>
    <row r="120" spans="2:7" ht="20.100000000000001" customHeight="1" thickBot="1" x14ac:dyDescent="0.3">
      <c r="B120" s="3"/>
      <c r="C120" s="2" t="s">
        <v>97</v>
      </c>
      <c r="D120" s="43">
        <v>0.05</v>
      </c>
      <c r="E120" s="74"/>
    </row>
    <row r="121" spans="2:7" ht="21.6" customHeight="1" thickBot="1" x14ac:dyDescent="0.3">
      <c r="B121" s="3"/>
      <c r="C121" s="2" t="s">
        <v>98</v>
      </c>
      <c r="D121" s="44">
        <v>7.5999999999999998E-2</v>
      </c>
      <c r="E121" s="74"/>
    </row>
    <row r="122" spans="2:7" ht="19.350000000000001" customHeight="1" thickBot="1" x14ac:dyDescent="0.3">
      <c r="B122" s="3"/>
      <c r="C122" s="2" t="s">
        <v>99</v>
      </c>
      <c r="D122" s="44">
        <v>1.6500000000000001E-2</v>
      </c>
      <c r="E122" s="74"/>
    </row>
    <row r="123" spans="2:7" ht="15.75" thickBot="1" x14ac:dyDescent="0.3">
      <c r="B123" s="120" t="s">
        <v>100</v>
      </c>
      <c r="C123" s="121"/>
      <c r="D123" s="45">
        <f>SUM(D120:D122)</f>
        <v>0.14250000000000002</v>
      </c>
      <c r="E123" s="82">
        <f>ROUND(SUM(E119:E122),2)</f>
        <v>809.44</v>
      </c>
    </row>
    <row r="124" spans="2:7" ht="15.75" thickBot="1" x14ac:dyDescent="0.3">
      <c r="B124" s="106" t="s">
        <v>28</v>
      </c>
      <c r="C124" s="106"/>
      <c r="D124" s="106"/>
      <c r="E124" s="21">
        <f>ROUND(E118+E123,2)</f>
        <v>1463.1</v>
      </c>
    </row>
    <row r="125" spans="2:7" ht="15.75" hidden="1" thickBot="1" x14ac:dyDescent="0.3">
      <c r="B125" s="39" t="s">
        <v>48</v>
      </c>
    </row>
    <row r="126" spans="2:7" ht="34.35" hidden="1" customHeight="1" thickBot="1" x14ac:dyDescent="0.3">
      <c r="B126" s="40">
        <v>1</v>
      </c>
      <c r="C126" s="122" t="s">
        <v>101</v>
      </c>
      <c r="D126" s="122"/>
      <c r="E126" s="122"/>
    </row>
    <row r="127" spans="2:7" ht="7.5" customHeight="1" thickBot="1" x14ac:dyDescent="0.3"/>
    <row r="128" spans="2:7" ht="15.75" thickBot="1" x14ac:dyDescent="0.3">
      <c r="B128" s="123" t="s">
        <v>102</v>
      </c>
      <c r="C128" s="124"/>
      <c r="D128" s="124"/>
      <c r="E128" s="125"/>
    </row>
    <row r="129" spans="2:7" ht="15.75" thickBot="1" x14ac:dyDescent="0.3">
      <c r="B129" s="126" t="s">
        <v>103</v>
      </c>
      <c r="C129" s="127"/>
      <c r="D129" s="128"/>
      <c r="E129" s="28" t="s">
        <v>17</v>
      </c>
    </row>
    <row r="130" spans="2:7" ht="15.75" thickBot="1" x14ac:dyDescent="0.3">
      <c r="B130" s="4" t="s">
        <v>18</v>
      </c>
      <c r="C130" s="103" t="s">
        <v>14</v>
      </c>
      <c r="D130" s="103"/>
      <c r="E130" s="75">
        <f>E23</f>
        <v>1984.3560000000002</v>
      </c>
    </row>
    <row r="131" spans="2:7" ht="15.75" thickBot="1" x14ac:dyDescent="0.3">
      <c r="B131" s="4" t="s">
        <v>19</v>
      </c>
      <c r="C131" s="103" t="s">
        <v>29</v>
      </c>
      <c r="D131" s="103"/>
      <c r="E131" s="75">
        <f>E67</f>
        <v>1670.81</v>
      </c>
    </row>
    <row r="132" spans="2:7" ht="15.75" thickBot="1" x14ac:dyDescent="0.3">
      <c r="B132" s="4" t="s">
        <v>21</v>
      </c>
      <c r="C132" s="103" t="s">
        <v>64</v>
      </c>
      <c r="D132" s="103"/>
      <c r="E132" s="75">
        <f>E77</f>
        <v>137.53</v>
      </c>
    </row>
    <row r="133" spans="2:7" ht="15.75" thickBot="1" x14ac:dyDescent="0.3">
      <c r="B133" s="4" t="s">
        <v>23</v>
      </c>
      <c r="C133" s="103" t="s">
        <v>104</v>
      </c>
      <c r="D133" s="103"/>
      <c r="E133" s="75">
        <f>E94</f>
        <v>317.95</v>
      </c>
      <c r="G133" s="19"/>
    </row>
    <row r="134" spans="2:7" ht="15.75" thickBot="1" x14ac:dyDescent="0.3">
      <c r="B134" s="4" t="s">
        <v>25</v>
      </c>
      <c r="C134" s="103" t="s">
        <v>89</v>
      </c>
      <c r="D134" s="103"/>
      <c r="E134" s="75">
        <f>E110</f>
        <v>106.51</v>
      </c>
      <c r="G134" s="76"/>
    </row>
    <row r="135" spans="2:7" ht="15.75" thickBot="1" x14ac:dyDescent="0.3">
      <c r="B135" s="4" t="s">
        <v>27</v>
      </c>
      <c r="C135" s="113" t="s">
        <v>105</v>
      </c>
      <c r="D135" s="114"/>
      <c r="E135" s="75">
        <f>E124</f>
        <v>1463.1</v>
      </c>
    </row>
    <row r="136" spans="2:7" ht="15.75" thickBot="1" x14ac:dyDescent="0.3">
      <c r="B136" s="106" t="s">
        <v>106</v>
      </c>
      <c r="C136" s="106"/>
      <c r="D136" s="106"/>
      <c r="E136" s="42">
        <f>ROUND(SUM(E130:E135),2)</f>
        <v>5680.26</v>
      </c>
    </row>
    <row r="137" spans="2:7" x14ac:dyDescent="0.25">
      <c r="B137" s="115" t="s">
        <v>142</v>
      </c>
      <c r="C137" s="115"/>
      <c r="D137" s="116">
        <v>4</v>
      </c>
      <c r="E137" s="116"/>
    </row>
    <row r="138" spans="2:7" x14ac:dyDescent="0.25">
      <c r="B138" s="117" t="s">
        <v>143</v>
      </c>
      <c r="C138" s="117"/>
      <c r="D138" s="117"/>
      <c r="E138" s="49">
        <f>ROUND(E136*D137,2)</f>
        <v>22721.040000000001</v>
      </c>
    </row>
    <row r="139" spans="2:7" x14ac:dyDescent="0.25">
      <c r="B139" s="112" t="s">
        <v>144</v>
      </c>
      <c r="C139" s="112"/>
      <c r="D139" s="112"/>
      <c r="E139" s="48">
        <f>ROUND(E138*12,2)</f>
        <v>272652.48</v>
      </c>
    </row>
    <row r="140" spans="2:7" x14ac:dyDescent="0.25">
      <c r="E140" s="19"/>
    </row>
    <row r="141" spans="2:7" x14ac:dyDescent="0.25">
      <c r="E141" s="19"/>
      <c r="G141" s="19"/>
    </row>
  </sheetData>
  <mergeCells count="99">
    <mergeCell ref="C45:E45"/>
    <mergeCell ref="B1:E1"/>
    <mergeCell ref="B3:D3"/>
    <mergeCell ref="B4:D4"/>
    <mergeCell ref="B5:D5"/>
    <mergeCell ref="B6:D6"/>
    <mergeCell ref="B2:E2"/>
    <mergeCell ref="B13:D13"/>
    <mergeCell ref="B14:E14"/>
    <mergeCell ref="B15:E15"/>
    <mergeCell ref="C17:D17"/>
    <mergeCell ref="B7:D7"/>
    <mergeCell ref="B8:D8"/>
    <mergeCell ref="B9:D9"/>
    <mergeCell ref="B10:D10"/>
    <mergeCell ref="B11:D11"/>
    <mergeCell ref="C22:D22"/>
    <mergeCell ref="C21:D21"/>
    <mergeCell ref="B12:D12"/>
    <mergeCell ref="C56:D56"/>
    <mergeCell ref="B57:D57"/>
    <mergeCell ref="C46:E46"/>
    <mergeCell ref="B23:D23"/>
    <mergeCell ref="B24:E24"/>
    <mergeCell ref="B25:E25"/>
    <mergeCell ref="B26:E26"/>
    <mergeCell ref="B30:C30"/>
    <mergeCell ref="B31:E31"/>
    <mergeCell ref="B32:D32"/>
    <mergeCell ref="B33:E33"/>
    <mergeCell ref="B34:E34"/>
    <mergeCell ref="B44:C44"/>
    <mergeCell ref="C58:E58"/>
    <mergeCell ref="B48:E48"/>
    <mergeCell ref="C49:D49"/>
    <mergeCell ref="C50:D50"/>
    <mergeCell ref="C51:D51"/>
    <mergeCell ref="C52:D52"/>
    <mergeCell ref="C53:D53"/>
    <mergeCell ref="C54:D54"/>
    <mergeCell ref="C78:E78"/>
    <mergeCell ref="C79:E79"/>
    <mergeCell ref="C70:D70"/>
    <mergeCell ref="C59:E59"/>
    <mergeCell ref="C60:E60"/>
    <mergeCell ref="C61:E61"/>
    <mergeCell ref="B62:E62"/>
    <mergeCell ref="C63:D63"/>
    <mergeCell ref="C64:D64"/>
    <mergeCell ref="C65:D65"/>
    <mergeCell ref="C66:D66"/>
    <mergeCell ref="B67:D67"/>
    <mergeCell ref="B68:E68"/>
    <mergeCell ref="B69:E69"/>
    <mergeCell ref="B94:C94"/>
    <mergeCell ref="C81:E81"/>
    <mergeCell ref="B82:E82"/>
    <mergeCell ref="B83:E83"/>
    <mergeCell ref="B84:E84"/>
    <mergeCell ref="C85:D85"/>
    <mergeCell ref="B92:C92"/>
    <mergeCell ref="C100:E100"/>
    <mergeCell ref="C95:E95"/>
    <mergeCell ref="C96:E96"/>
    <mergeCell ref="C97:E97"/>
    <mergeCell ref="C98:E98"/>
    <mergeCell ref="C130:D130"/>
    <mergeCell ref="C131:D131"/>
    <mergeCell ref="C132:D132"/>
    <mergeCell ref="C133:D133"/>
    <mergeCell ref="B118:C118"/>
    <mergeCell ref="B123:C123"/>
    <mergeCell ref="B124:D124"/>
    <mergeCell ref="C126:E126"/>
    <mergeCell ref="B128:E128"/>
    <mergeCell ref="B129:D129"/>
    <mergeCell ref="B139:D139"/>
    <mergeCell ref="C134:D134"/>
    <mergeCell ref="C135:D135"/>
    <mergeCell ref="B136:D136"/>
    <mergeCell ref="B137:C137"/>
    <mergeCell ref="D137:E137"/>
    <mergeCell ref="B138:D138"/>
    <mergeCell ref="B111:E111"/>
    <mergeCell ref="B112:D112"/>
    <mergeCell ref="B114:E114"/>
    <mergeCell ref="C55:D55"/>
    <mergeCell ref="C105:D105"/>
    <mergeCell ref="C106:D106"/>
    <mergeCell ref="C107:D107"/>
    <mergeCell ref="C101:E101"/>
    <mergeCell ref="C102:E102"/>
    <mergeCell ref="C108:D108"/>
    <mergeCell ref="C109:D109"/>
    <mergeCell ref="B110:D110"/>
    <mergeCell ref="C80:E80"/>
    <mergeCell ref="B104:E104"/>
    <mergeCell ref="B77:C77"/>
    <mergeCell ref="C99:E99"/>
  </mergeCells>
  <pageMargins left="0.511811024" right="0.511811024" top="0.78740157499999996" bottom="0.78740157499999996" header="0.31496062000000002" footer="0.31496062000000002"/>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29716-980C-4EB4-93F9-5B119C7AFB61}">
  <dimension ref="A1:D10"/>
  <sheetViews>
    <sheetView tabSelected="1" workbookViewId="0">
      <selection activeCell="D10" sqref="D10"/>
    </sheetView>
  </sheetViews>
  <sheetFormatPr defaultRowHeight="15" x14ac:dyDescent="0.25"/>
  <cols>
    <col min="1" max="1" width="47.7109375" customWidth="1"/>
    <col min="2" max="2" width="23.7109375" bestFit="1" customWidth="1"/>
    <col min="3" max="3" width="16.28515625" bestFit="1" customWidth="1"/>
    <col min="4" max="4" width="14.7109375" bestFit="1" customWidth="1"/>
  </cols>
  <sheetData>
    <row r="1" spans="1:4" ht="29.25" thickBot="1" x14ac:dyDescent="0.3">
      <c r="A1" s="178" t="s">
        <v>146</v>
      </c>
      <c r="B1" s="179" t="s">
        <v>147</v>
      </c>
      <c r="C1" s="179" t="s">
        <v>148</v>
      </c>
      <c r="D1" s="179" t="s">
        <v>149</v>
      </c>
    </row>
    <row r="2" spans="1:4" ht="30.75" thickBot="1" x14ac:dyDescent="0.3">
      <c r="A2" s="180" t="s">
        <v>150</v>
      </c>
      <c r="B2" s="181">
        <v>4</v>
      </c>
      <c r="C2" s="182">
        <v>20.84</v>
      </c>
      <c r="D2" s="183">
        <f>(B2*2)*C2/12</f>
        <v>13.893333333333333</v>
      </c>
    </row>
    <row r="3" spans="1:4" ht="15.75" thickBot="1" x14ac:dyDescent="0.3">
      <c r="A3" s="184" t="s">
        <v>151</v>
      </c>
      <c r="B3" s="185">
        <v>2</v>
      </c>
      <c r="C3" s="186">
        <v>60.39</v>
      </c>
      <c r="D3" s="183">
        <f t="shared" ref="D3:D8" si="0">(B3*2)*C3/12</f>
        <v>20.13</v>
      </c>
    </row>
    <row r="4" spans="1:4" ht="30.75" thickBot="1" x14ac:dyDescent="0.3">
      <c r="A4" s="184" t="s">
        <v>152</v>
      </c>
      <c r="B4" s="185">
        <v>2</v>
      </c>
      <c r="C4" s="186">
        <v>74.81</v>
      </c>
      <c r="D4" s="183">
        <f t="shared" si="0"/>
        <v>24.936666666666667</v>
      </c>
    </row>
    <row r="5" spans="1:4" ht="15.75" thickBot="1" x14ac:dyDescent="0.3">
      <c r="A5" s="184" t="s">
        <v>153</v>
      </c>
      <c r="B5" s="185">
        <v>1</v>
      </c>
      <c r="C5" s="186">
        <v>124.2</v>
      </c>
      <c r="D5" s="183">
        <f t="shared" si="0"/>
        <v>20.7</v>
      </c>
    </row>
    <row r="6" spans="1:4" ht="15.75" thickBot="1" x14ac:dyDescent="0.3">
      <c r="A6" s="184" t="s">
        <v>154</v>
      </c>
      <c r="B6" s="185">
        <v>4</v>
      </c>
      <c r="C6" s="186">
        <v>9.56</v>
      </c>
      <c r="D6" s="183">
        <f t="shared" si="0"/>
        <v>6.373333333333334</v>
      </c>
    </row>
    <row r="7" spans="1:4" ht="45.75" thickBot="1" x14ac:dyDescent="0.3">
      <c r="A7" s="184" t="s">
        <v>155</v>
      </c>
      <c r="B7" s="185">
        <v>1</v>
      </c>
      <c r="C7" s="186">
        <v>4.88</v>
      </c>
      <c r="D7" s="183">
        <f t="shared" si="0"/>
        <v>0.81333333333333335</v>
      </c>
    </row>
    <row r="8" spans="1:4" ht="15.75" thickBot="1" x14ac:dyDescent="0.3">
      <c r="A8" s="184" t="s">
        <v>156</v>
      </c>
      <c r="B8" s="185">
        <v>6</v>
      </c>
      <c r="C8" s="186">
        <v>19.66</v>
      </c>
      <c r="D8" s="183">
        <f t="shared" si="0"/>
        <v>19.66</v>
      </c>
    </row>
    <row r="10" spans="1:4" x14ac:dyDescent="0.25">
      <c r="D10" s="187">
        <f>SUM(D2:D8)</f>
        <v>106.50666666666666</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D4B46-D61D-4D3B-952D-028F0D9C8EFB}">
  <dimension ref="B2:F22"/>
  <sheetViews>
    <sheetView workbookViewId="0">
      <selection activeCell="B14" sqref="B14:B15"/>
    </sheetView>
  </sheetViews>
  <sheetFormatPr defaultRowHeight="15" x14ac:dyDescent="0.25"/>
  <cols>
    <col min="2" max="2" width="47.5703125" customWidth="1"/>
    <col min="3" max="3" width="44.5703125" customWidth="1"/>
    <col min="4" max="4" width="39.42578125" bestFit="1" customWidth="1"/>
    <col min="5" max="5" width="34.140625" customWidth="1"/>
    <col min="6" max="6" width="29" customWidth="1"/>
  </cols>
  <sheetData>
    <row r="2" spans="2:6" ht="43.5" customHeight="1" x14ac:dyDescent="0.25"/>
    <row r="3" spans="2:6" ht="15.75" x14ac:dyDescent="0.25">
      <c r="B3" s="83" t="s">
        <v>107</v>
      </c>
      <c r="C3" s="83" t="s">
        <v>108</v>
      </c>
      <c r="D3" s="83" t="s">
        <v>109</v>
      </c>
      <c r="E3" s="83" t="s">
        <v>110</v>
      </c>
    </row>
    <row r="4" spans="2:6" x14ac:dyDescent="0.25">
      <c r="B4" s="161" t="s">
        <v>111</v>
      </c>
      <c r="C4" s="173" t="s">
        <v>112</v>
      </c>
      <c r="D4" s="174" t="s">
        <v>113</v>
      </c>
      <c r="E4" s="176">
        <v>4224.8500000000004</v>
      </c>
    </row>
    <row r="5" spans="2:6" x14ac:dyDescent="0.25">
      <c r="B5" s="162"/>
      <c r="C5" s="173"/>
      <c r="D5" s="175"/>
      <c r="E5" s="177"/>
    </row>
    <row r="6" spans="2:6" ht="15.75" x14ac:dyDescent="0.25">
      <c r="B6" s="84"/>
      <c r="C6" s="84"/>
      <c r="D6" s="84"/>
      <c r="E6" s="84"/>
    </row>
    <row r="7" spans="2:6" ht="15.75" x14ac:dyDescent="0.25">
      <c r="B7" s="84"/>
      <c r="C7" s="84"/>
      <c r="D7" s="84"/>
      <c r="E7" s="84"/>
    </row>
    <row r="8" spans="2:6" ht="15.75" x14ac:dyDescent="0.25">
      <c r="B8" s="83" t="s">
        <v>107</v>
      </c>
      <c r="C8" s="83" t="s">
        <v>108</v>
      </c>
      <c r="D8" s="83" t="s">
        <v>109</v>
      </c>
      <c r="E8" s="83" t="s">
        <v>110</v>
      </c>
      <c r="F8" s="66"/>
    </row>
    <row r="9" spans="2:6" ht="15" customHeight="1" x14ac:dyDescent="0.25">
      <c r="B9" s="161" t="s">
        <v>114</v>
      </c>
      <c r="C9" s="173" t="s">
        <v>115</v>
      </c>
      <c r="D9" s="174" t="s">
        <v>113</v>
      </c>
      <c r="E9" s="176">
        <v>4224.8500000000004</v>
      </c>
      <c r="F9" s="65"/>
    </row>
    <row r="10" spans="2:6" ht="15.75" x14ac:dyDescent="0.25">
      <c r="B10" s="162"/>
      <c r="C10" s="173"/>
      <c r="D10" s="175"/>
      <c r="E10" s="177"/>
      <c r="F10" s="67"/>
    </row>
    <row r="11" spans="2:6" ht="15.75" x14ac:dyDescent="0.25">
      <c r="B11" s="84"/>
      <c r="C11" s="84"/>
      <c r="D11" s="84"/>
      <c r="E11" s="84"/>
      <c r="F11" s="68"/>
    </row>
    <row r="12" spans="2:6" ht="15.75" x14ac:dyDescent="0.25">
      <c r="B12" s="84"/>
      <c r="C12" s="84"/>
      <c r="D12" s="84"/>
      <c r="E12" s="84"/>
    </row>
    <row r="13" spans="2:6" ht="15.75" x14ac:dyDescent="0.25">
      <c r="B13" s="83" t="s">
        <v>107</v>
      </c>
      <c r="C13" s="83" t="s">
        <v>108</v>
      </c>
      <c r="D13" s="83" t="s">
        <v>109</v>
      </c>
      <c r="E13" s="87" t="s">
        <v>110</v>
      </c>
    </row>
    <row r="14" spans="2:6" ht="15" customHeight="1" x14ac:dyDescent="0.25">
      <c r="B14" s="161" t="s">
        <v>116</v>
      </c>
      <c r="C14" s="163" t="s">
        <v>117</v>
      </c>
      <c r="D14" s="163" t="s">
        <v>118</v>
      </c>
      <c r="E14" s="165">
        <v>3153.51</v>
      </c>
    </row>
    <row r="15" spans="2:6" x14ac:dyDescent="0.25">
      <c r="B15" s="162"/>
      <c r="C15" s="164"/>
      <c r="D15" s="164"/>
      <c r="E15" s="165"/>
    </row>
    <row r="16" spans="2:6" ht="15.75" x14ac:dyDescent="0.25">
      <c r="D16" s="84"/>
      <c r="E16" s="84"/>
    </row>
    <row r="17" spans="2:5" ht="15" customHeight="1" x14ac:dyDescent="0.25">
      <c r="D17" s="84"/>
      <c r="E17" s="84"/>
    </row>
    <row r="18" spans="2:5" ht="18.75" hidden="1" x14ac:dyDescent="0.25">
      <c r="B18" s="69" t="s">
        <v>107</v>
      </c>
      <c r="C18" s="69" t="s">
        <v>108</v>
      </c>
      <c r="D18" s="85" t="s">
        <v>109</v>
      </c>
      <c r="E18" s="88" t="s">
        <v>110</v>
      </c>
    </row>
    <row r="19" spans="2:5" hidden="1" x14ac:dyDescent="0.25">
      <c r="B19" s="166" t="s">
        <v>119</v>
      </c>
      <c r="C19" s="168" t="s">
        <v>120</v>
      </c>
      <c r="D19" s="170" t="s">
        <v>121</v>
      </c>
      <c r="E19" s="172">
        <v>3898</v>
      </c>
    </row>
    <row r="20" spans="2:5" hidden="1" x14ac:dyDescent="0.25">
      <c r="B20" s="167"/>
      <c r="C20" s="169"/>
      <c r="D20" s="171"/>
      <c r="E20" s="172"/>
    </row>
    <row r="21" spans="2:5" ht="15.75" x14ac:dyDescent="0.25">
      <c r="D21" s="83" t="s">
        <v>122</v>
      </c>
      <c r="E21" s="86">
        <f>ROUND(AVERAGE(E4:E15),2)</f>
        <v>3867.74</v>
      </c>
    </row>
    <row r="22" spans="2:5" ht="15" customHeight="1" x14ac:dyDescent="0.25">
      <c r="D22" s="84"/>
      <c r="E22" s="68"/>
    </row>
  </sheetData>
  <mergeCells count="16">
    <mergeCell ref="B4:B5"/>
    <mergeCell ref="C4:C5"/>
    <mergeCell ref="D4:D5"/>
    <mergeCell ref="E4:E5"/>
    <mergeCell ref="B9:B10"/>
    <mergeCell ref="C9:C10"/>
    <mergeCell ref="D9:D10"/>
    <mergeCell ref="E9:E10"/>
    <mergeCell ref="B14:B15"/>
    <mergeCell ref="C14:C15"/>
    <mergeCell ref="D14:D15"/>
    <mergeCell ref="E14:E15"/>
    <mergeCell ref="B19:B20"/>
    <mergeCell ref="C19:C20"/>
    <mergeCell ref="D19:D20"/>
    <mergeCell ref="E19:E20"/>
  </mergeCells>
  <pageMargins left="0.511811024" right="0.511811024" top="0.78740157499999996" bottom="0.78740157499999996" header="0.31496062000000002" footer="0.31496062000000002"/>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5f844e-65a0-4917-8985-bd54a5d4f2b4">
      <Terms xmlns="http://schemas.microsoft.com/office/infopath/2007/PartnerControls"/>
    </lcf76f155ced4ddcb4097134ff3c332f>
    <TaxCatchAll xmlns="09488f61-64ef-4b63-a5c9-69908c153ed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2AB588BA5E44B46A2689309C1D9FA73" ma:contentTypeVersion="15" ma:contentTypeDescription="Crie um novo documento." ma:contentTypeScope="" ma:versionID="714588383a7ed090de24462389190d72">
  <xsd:schema xmlns:xsd="http://www.w3.org/2001/XMLSchema" xmlns:xs="http://www.w3.org/2001/XMLSchema" xmlns:p="http://schemas.microsoft.com/office/2006/metadata/properties" xmlns:ns2="fc5f844e-65a0-4917-8985-bd54a5d4f2b4" xmlns:ns3="09488f61-64ef-4b63-a5c9-69908c153edb" targetNamespace="http://schemas.microsoft.com/office/2006/metadata/properties" ma:root="true" ma:fieldsID="9dd9a5f6f1fd9f3901aa37402b8b6d56" ns2:_="" ns3:_="">
    <xsd:import namespace="fc5f844e-65a0-4917-8985-bd54a5d4f2b4"/>
    <xsd:import namespace="09488f61-64ef-4b63-a5c9-69908c153ed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5f844e-65a0-4917-8985-bd54a5d4f2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Marcações de imagem" ma:readOnly="false" ma:fieldId="{5cf76f15-5ced-4ddc-b409-7134ff3c332f}" ma:taxonomyMulti="true" ma:sspId="167cb4b0-d69b-4455-a2ce-c5ad0eb209e0"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488f61-64ef-4b63-a5c9-69908c153edb" elementFormDefault="qualified">
    <xsd:import namespace="http://schemas.microsoft.com/office/2006/documentManagement/types"/>
    <xsd:import namespace="http://schemas.microsoft.com/office/infopath/2007/PartnerControls"/>
    <xsd:element name="SharedWithUsers" ma:index="16"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Compartilhado Com" ma:internalName="SharedWithDetails" ma:readOnly="true">
      <xsd:simpleType>
        <xsd:restriction base="dms:Note">
          <xsd:maxLength value="255"/>
        </xsd:restriction>
      </xsd:simpleType>
    </xsd:element>
    <xsd:element name="TaxCatchAll" ma:index="20" nillable="true" ma:displayName="Taxonomy Catch All Column" ma:hidden="true" ma:list="{c2c8a241-6228-4013-9f2d-6c6742542fef}" ma:internalName="TaxCatchAll" ma:showField="CatchAllData" ma:web="09488f61-64ef-4b63-a5c9-69908c153e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FCF4A1D-51BC-4D5F-B543-E27CCEE8BDEF}">
  <ds:schemaRefs>
    <ds:schemaRef ds:uri="http://schemas.microsoft.com/office/2006/metadata/properties"/>
    <ds:schemaRef ds:uri="http://schemas.microsoft.com/office/infopath/2007/PartnerControls"/>
    <ds:schemaRef ds:uri="fc5f844e-65a0-4917-8985-bd54a5d4f2b4"/>
    <ds:schemaRef ds:uri="09488f61-64ef-4b63-a5c9-69908c153edb"/>
  </ds:schemaRefs>
</ds:datastoreItem>
</file>

<file path=customXml/itemProps2.xml><?xml version="1.0" encoding="utf-8"?>
<ds:datastoreItem xmlns:ds="http://schemas.openxmlformats.org/officeDocument/2006/customXml" ds:itemID="{29019660-AF2F-4350-B721-4533B3DFFA31}">
  <ds:schemaRefs>
    <ds:schemaRef ds:uri="http://schemas.microsoft.com/sharepoint/v3/contenttype/forms"/>
  </ds:schemaRefs>
</ds:datastoreItem>
</file>

<file path=customXml/itemProps3.xml><?xml version="1.0" encoding="utf-8"?>
<ds:datastoreItem xmlns:ds="http://schemas.openxmlformats.org/officeDocument/2006/customXml" ds:itemID="{5E9E5676-B758-475C-8D0E-7559DCC697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5f844e-65a0-4917-8985-bd54a5d4f2b4"/>
    <ds:schemaRef ds:uri="09488f61-64ef-4b63-a5c9-69908c153e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Limpeza 12x36 diurno</vt:lpstr>
      <vt:lpstr>Uniformes e EPI</vt:lpstr>
      <vt:lpstr>Memória de Cálculo Salarial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Ariane Pereira Pegoraro</dc:creator>
  <cp:keywords/>
  <dc:description/>
  <cp:lastModifiedBy>COMPRAS 03</cp:lastModifiedBy>
  <cp:revision/>
  <dcterms:created xsi:type="dcterms:W3CDTF">2023-07-24T17:33:52Z</dcterms:created>
  <dcterms:modified xsi:type="dcterms:W3CDTF">2025-11-26T17:39:52Z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0x01010002AB588BA5E44B46A2689309C1D9FA73</vt:lpwstr>
  </property>
  <property fmtid="{D5CDD505-2E9C-101B-9397-08002B2CF9AE}" pid="3" name="MediaServiceImageTags">
    <vt:lpwstr/>
  </property>
</Properties>
</file>