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34ce5c72cd9f106/Documents/KELVIN/2024/08-AGOSTO/TB001B/ORÇAMENTO/"/>
    </mc:Choice>
  </mc:AlternateContent>
  <xr:revisionPtr revIDLastSave="828" documentId="13_ncr:1_{D980AA6B-6526-4D6A-B09E-379D618A8855}" xr6:coauthVersionLast="47" xr6:coauthVersionMax="47" xr10:uidLastSave="{06FF2BC9-5A49-4ACD-A089-7CEE2A9BF5EE}"/>
  <bookViews>
    <workbookView xWindow="-120" yWindow="-120" windowWidth="38640" windowHeight="15720" xr2:uid="{00000000-000D-0000-FFFF-FFFF00000000}"/>
  </bookViews>
  <sheets>
    <sheet name="ORÇAMENTO CONSTRUÇÃO PASSARELA " sheetId="2" r:id="rId1"/>
    <sheet name="MEMÓRIA-PASSARELA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\I" localSheetId="1">#REF!</definedName>
    <definedName name="\I">#REF!</definedName>
    <definedName name="\S" localSheetId="1">[1]COMPOS1!#REF!</definedName>
    <definedName name="\S">[1]COMPOS1!#REF!</definedName>
    <definedName name="__xlnm.Print_Area_1">#REF!</definedName>
    <definedName name="_01_09_96" localSheetId="1">#REF!</definedName>
    <definedName name="_01_09_96">#REF!</definedName>
    <definedName name="_1Excel_BuiltIn_Print_Area_1_1">"#REF!"</definedName>
    <definedName name="_2Excel_BuiltIn_Print_Area_1_1_1_1">#REF!</definedName>
    <definedName name="_3Excel_BuiltIn_Print_Area_1_1_1">"#REF!"</definedName>
    <definedName name="_cronoZero">#REF!</definedName>
    <definedName name="_Order1" hidden="1">255</definedName>
    <definedName name="_PL1" localSheetId="1">#REF!</definedName>
    <definedName name="_PL1">#REF!</definedName>
    <definedName name="a" localSheetId="1">#REF!</definedName>
    <definedName name="a">#REF!</definedName>
    <definedName name="AA">[0]!AA</definedName>
    <definedName name="AccessDatabase" hidden="1">"D:\Arquivos do excel\Planilha modelo1.mdb"</definedName>
    <definedName name="ALPHA">'[2]BDI-serv'!$C$72</definedName>
    <definedName name="ALTA" localSheetId="1">'[3]PRO-08'!#REF!</definedName>
    <definedName name="ALTA">'[3]PRO-08'!#REF!</definedName>
    <definedName name="amarela" localSheetId="1">#REF!</definedName>
    <definedName name="amarela">#REF!</definedName>
    <definedName name="Anexo" hidden="1">{#N/A,#N/A,FALSE,"Planilha";#N/A,#N/A,FALSE,"Resumo";#N/A,#N/A,FALSE,"Fisico";#N/A,#N/A,FALSE,"Financeiro";#N/A,#N/A,FALSE,"Financeiro"}</definedName>
    <definedName name="anscount" hidden="1">1</definedName>
    <definedName name="_xlnm.Print_Area" localSheetId="1">'MEMÓRIA-PASSARELA'!$B$1:$M$262</definedName>
    <definedName name="_xlnm.Print_Area">#REF!</definedName>
    <definedName name="azul" localSheetId="1">#REF!</definedName>
    <definedName name="azul">#REF!</definedName>
    <definedName name="AZULSINAL" localSheetId="1">#REF!</definedName>
    <definedName name="AZULSINAL">#REF!</definedName>
    <definedName name="B" hidden="1">{#N/A,#N/A,FALSE,"Planilha";#N/A,#N/A,FALSE,"Resumo";#N/A,#N/A,FALSE,"Fisico";#N/A,#N/A,FALSE,"Financeiro";#N/A,#N/A,FALSE,"Financeiro"}</definedName>
    <definedName name="_xlnm.Database" localSheetId="1">#REF!</definedName>
    <definedName name="_xlnm.Database">#REF!</definedName>
    <definedName name="BDI" localSheetId="1">#REF!</definedName>
    <definedName name="BDI">#REF!</definedName>
    <definedName name="bdim">'[2]BDI-mat'!$I$22</definedName>
    <definedName name="BETA">'[2]BDI-serv'!$C$73</definedName>
    <definedName name="BG" localSheetId="1">#REF!</definedName>
    <definedName name="BG">#REF!</definedName>
    <definedName name="BGU" localSheetId="1">#REF!</definedName>
    <definedName name="BGU">#REF!</definedName>
    <definedName name="calcinsumos" localSheetId="1">[4]Pontes!#REF!</definedName>
    <definedName name="calcinsumos">[4]Pontes!#REF!</definedName>
    <definedName name="calcpunit" localSheetId="1">[5]Pontes!#REF!</definedName>
    <definedName name="calcpunit">[5]Pontes!#REF!</definedName>
    <definedName name="calinsumos" localSheetId="1">[4]Pontes!#REF!</definedName>
    <definedName name="calinsumos">[4]Pontes!#REF!</definedName>
    <definedName name="calpunit" localSheetId="1">[5]Pontes!#REF!</definedName>
    <definedName name="calpunit">[5]Pontes!#REF!</definedName>
    <definedName name="CBU" localSheetId="1">#REF!</definedName>
    <definedName name="CBU">#REF!</definedName>
    <definedName name="CBUII" localSheetId="1">#REF!</definedName>
    <definedName name="CBUII">#REF!</definedName>
    <definedName name="CBUQB" localSheetId="1">#REF!</definedName>
    <definedName name="CBUQB">#REF!</definedName>
    <definedName name="CBUQc" localSheetId="1">#REF!</definedName>
    <definedName name="CBUQc">#REF!</definedName>
    <definedName name="CINSMG" localSheetId="1">[6]Pontes!#REF!</definedName>
    <definedName name="CINSMG">[6]Pontes!#REF!</definedName>
    <definedName name="cinsumg" localSheetId="1">[7]Pontes!#REF!</definedName>
    <definedName name="cinsumg">[7]Pontes!#REF!</definedName>
    <definedName name="COMPOSIÇÃO">#REF!</definedName>
    <definedName name="construtora" localSheetId="1">#REF!</definedName>
    <definedName name="construtora">#REF!</definedName>
    <definedName name="Consumodemateriais" localSheetId="1">Plan1</definedName>
    <definedName name="Consumodemateriais">Plan1</definedName>
    <definedName name="contrato_revisto" localSheetId="1">#REF!</definedName>
    <definedName name="contrato_revisto">#REF!</definedName>
    <definedName name="d" localSheetId="1">#REF!</definedName>
    <definedName name="d">#REF!</definedName>
    <definedName name="dadinho" localSheetId="1">#REF!</definedName>
    <definedName name="dadinho">#REF!</definedName>
    <definedName name="DADOS" localSheetId="1">#REF!</definedName>
    <definedName name="DADOS">#REF!</definedName>
    <definedName name="DATA">[8]DADOS_NAO_IMPRIMIR!$E$43</definedName>
    <definedName name="Data_Final" localSheetId="1">#REF!</definedName>
    <definedName name="Data_Final">#REF!</definedName>
    <definedName name="Data_Início" localSheetId="1">#REF!</definedName>
    <definedName name="Data_Início">#REF!</definedName>
    <definedName name="DATABASE">[8]DADOS_NAO_IMPRIMIR!$E$42</definedName>
    <definedName name="DESON">'[2]BDI-serv'!$H$22</definedName>
    <definedName name="DGA" localSheetId="1">'[3]PRO-08'!#REF!</definedName>
    <definedName name="DGA">'[3]PRO-08'!#REF!</definedName>
    <definedName name="DJ" localSheetId="1">#REF!</definedName>
    <definedName name="DJ">#REF!</definedName>
    <definedName name="ECJ" localSheetId="1">#REF!</definedName>
    <definedName name="ECJ">#REF!</definedName>
    <definedName name="edital" localSheetId="1">#REF!</definedName>
    <definedName name="edital">#REF!</definedName>
    <definedName name="EJ" localSheetId="1">#REF!</definedName>
    <definedName name="EJ">#REF!</definedName>
    <definedName name="EQUIPAMENTOS">#REF!</definedName>
    <definedName name="EXA" localSheetId="1">'[3]PRO-08'!#REF!</definedName>
    <definedName name="EXA">'[3]PRO-08'!#REF!</definedName>
    <definedName name="Excel_BuiltIn__FilterDatabase_1">"#REF!"</definedName>
    <definedName name="Excel_BuiltIn_Print_Area_1_1">"#REF!"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2">"#REF!"</definedName>
    <definedName name="Excel_BuiltIn_Print_Area_1_1_1_2">"#REF!"</definedName>
    <definedName name="EXT">[8]DADOS_NAO_IMPRIMIR!$B$12</definedName>
    <definedName name="Extenso">[0]!Extenso</definedName>
    <definedName name="fc1a" localSheetId="1">'[3]PRO-08'!#REF!</definedName>
    <definedName name="fc1a">'[3]PRO-08'!#REF!</definedName>
    <definedName name="FC2A" localSheetId="1">'[3]PRO-08'!#REF!</definedName>
    <definedName name="FC2A">'[3]PRO-08'!#REF!</definedName>
    <definedName name="FC3A" localSheetId="1">'[3]PRO-08'!#REF!</definedName>
    <definedName name="FC3A">'[3]PRO-08'!#REF!</definedName>
    <definedName name="fer" localSheetId="1">[9]comp1!#REF!</definedName>
    <definedName name="fer">[9]comp1!#REF!</definedName>
    <definedName name="hi" localSheetId="1">#REF!</definedName>
    <definedName name="hi">#REF!</definedName>
    <definedName name="IM" localSheetId="1">#REF!</definedName>
    <definedName name="IM">#REF!</definedName>
    <definedName name="JR_PAGE_ANCHOR_0_1">#REF!</definedName>
    <definedName name="LAMBDA">'[2]BDI-serv'!$C$75</definedName>
    <definedName name="LILASDRENA" localSheetId="1">#REF!</definedName>
    <definedName name="LILASDRENA">#REF!</definedName>
    <definedName name="limcount" hidden="1">1</definedName>
    <definedName name="mao_de_obra" localSheetId="1">#REF!</definedName>
    <definedName name="mao_de_obra">#REF!</definedName>
    <definedName name="MÃODEOBRA">#REF!</definedName>
    <definedName name="MATERIAIS">#REF!</definedName>
    <definedName name="mdoinstal" localSheetId="1">#REF!</definedName>
    <definedName name="mdoinstal">#REF!</definedName>
    <definedName name="Medição" localSheetId="1">#REF!</definedName>
    <definedName name="Medição">#REF!</definedName>
    <definedName name="memoria" localSheetId="1">#REF!</definedName>
    <definedName name="memoria">#REF!</definedName>
    <definedName name="memoria_brita" localSheetId="1">#REF!</definedName>
    <definedName name="memoria_brita">#REF!</definedName>
    <definedName name="memoria_cap5070" localSheetId="1">#REF!</definedName>
    <definedName name="memoria_cap5070">#REF!</definedName>
    <definedName name="memoria_cbuq" localSheetId="1">#REF!</definedName>
    <definedName name="memoria_cbuq">#REF!</definedName>
    <definedName name="memoria_filler" localSheetId="1">#REF!</definedName>
    <definedName name="memoria_filler">#REF!</definedName>
    <definedName name="memoria_pintura" localSheetId="1">#REF!</definedName>
    <definedName name="memoria_pintura">#REF!</definedName>
    <definedName name="memoria_qdade" localSheetId="1">#REF!</definedName>
    <definedName name="memoria_qdade">#REF!</definedName>
    <definedName name="memoria_RR1C" localSheetId="1">#REF!</definedName>
    <definedName name="memoria_RR1C">#REF!</definedName>
    <definedName name="memoria_trans_areia" localSheetId="1">#REF!</definedName>
    <definedName name="memoria_trans_areia">#REF!</definedName>
    <definedName name="memoria_trans_brita" localSheetId="1">#REF!</definedName>
    <definedName name="memoria_trans_brita">#REF!</definedName>
    <definedName name="memoria_trans_cbuq" localSheetId="1">#REF!</definedName>
    <definedName name="memoria_trans_cbuq">#REF!</definedName>
    <definedName name="memoria_trans_filler" localSheetId="1">#REF!</definedName>
    <definedName name="memoria_trans_filler">#REF!</definedName>
    <definedName name="mobra" localSheetId="1">[9]comp1!#REF!</definedName>
    <definedName name="mobra">[9]comp1!#REF!</definedName>
    <definedName name="módulo1.Extenso">[0]!módulo1.Extenso</definedName>
    <definedName name="nome">#REF!</definedName>
    <definedName name="NTEI" localSheetId="1">'[3]PRO-08'!#REF!</definedName>
    <definedName name="NTEI">'[3]PRO-08'!#REF!</definedName>
    <definedName name="objeto" localSheetId="1">#REF!</definedName>
    <definedName name="objeto">#REF!</definedName>
    <definedName name="OPA" localSheetId="1">'[3]PRO-08'!#REF!</definedName>
    <definedName name="OPA">'[3]PRO-08'!#REF!</definedName>
    <definedName name="ORÇAMENTO">#REF!</definedName>
    <definedName name="orgao" localSheetId="1">#REF!</definedName>
    <definedName name="orgao">#REF!</definedName>
    <definedName name="Para_agua_base" localSheetId="1">#REF!</definedName>
    <definedName name="Para_agua_base">#REF!</definedName>
    <definedName name="Para_agua_dmt_base" localSheetId="1">#REF!</definedName>
    <definedName name="Para_agua_dmt_base">#REF!</definedName>
    <definedName name="Para_agua_dmt_regula" localSheetId="1">#REF!</definedName>
    <definedName name="Para_agua_dmt_regula">#REF!</definedName>
    <definedName name="Para_agua_dmt_terra" localSheetId="1">#REF!</definedName>
    <definedName name="Para_agua_dmt_terra">#REF!</definedName>
    <definedName name="Para_agua_regula" localSheetId="1">#REF!</definedName>
    <definedName name="Para_agua_regula">#REF!</definedName>
    <definedName name="Para_agua_terra" localSheetId="1">#REF!</definedName>
    <definedName name="Para_agua_terra">#REF!</definedName>
    <definedName name="Para_areia_dens" localSheetId="1">#REF!</definedName>
    <definedName name="Para_areia_dens">#REF!</definedName>
    <definedName name="Para_areia_dmt" localSheetId="1">#REF!</definedName>
    <definedName name="Para_areia_dmt">#REF!</definedName>
    <definedName name="Para_base_dens" localSheetId="1">#REF!</definedName>
    <definedName name="Para_base_dens">#REF!</definedName>
    <definedName name="Para_base_dmt" localSheetId="1">#REF!</definedName>
    <definedName name="Para_base_dmt">#REF!</definedName>
    <definedName name="Para_base_espess" localSheetId="1">#REF!</definedName>
    <definedName name="Para_base_espess">#REF!</definedName>
    <definedName name="Para_base_larg" localSheetId="1">#REF!</definedName>
    <definedName name="Para_base_larg">#REF!</definedName>
    <definedName name="Para_brita_dens" localSheetId="1">#REF!</definedName>
    <definedName name="Para_brita_dens">#REF!</definedName>
    <definedName name="Para_brita_dmt_com" localSheetId="1">#REF!</definedName>
    <definedName name="Para_brita_dmt_com">#REF!</definedName>
    <definedName name="Para_brita_dmt_loc" localSheetId="1">#REF!</definedName>
    <definedName name="Para_brita_dmt_loc">#REF!</definedName>
    <definedName name="Para_cbuq_areia" localSheetId="1">#REF!</definedName>
    <definedName name="Para_cbuq_areia">#REF!</definedName>
    <definedName name="Para_cbuq_brita" localSheetId="1">#REF!</definedName>
    <definedName name="Para_cbuq_brita">#REF!</definedName>
    <definedName name="Para_cbuq_cap" localSheetId="1">#REF!</definedName>
    <definedName name="Para_cbuq_cap">#REF!</definedName>
    <definedName name="Para_cbuq_dens" localSheetId="1">#REF!</definedName>
    <definedName name="Para_cbuq_dens">#REF!</definedName>
    <definedName name="Para_cbuq_dmt" localSheetId="1">#REF!</definedName>
    <definedName name="Para_cbuq_dmt">#REF!</definedName>
    <definedName name="Para_cbuq_espess" localSheetId="1">#REF!</definedName>
    <definedName name="Para_cbuq_espess">#REF!</definedName>
    <definedName name="Para_cbuq_filler" localSheetId="1">#REF!</definedName>
    <definedName name="Para_cbuq_filler">#REF!</definedName>
    <definedName name="Para_cbuq_larg" localSheetId="1">#REF!</definedName>
    <definedName name="Para_cbuq_larg">#REF!</definedName>
    <definedName name="Para_desmatemento" localSheetId="1">#REF!</definedName>
    <definedName name="Para_desmatemento">#REF!</definedName>
    <definedName name="Para_empolamento" localSheetId="1">#REF!</definedName>
    <definedName name="Para_empolamento">#REF!</definedName>
    <definedName name="Para_extensao_prev" localSheetId="1">#REF!</definedName>
    <definedName name="Para_extensao_prev">#REF!</definedName>
    <definedName name="Para_filler_dmt" localSheetId="1">#REF!</definedName>
    <definedName name="Para_filler_dmt">#REF!</definedName>
    <definedName name="Para_fin_dec" localSheetId="1">#REF!</definedName>
    <definedName name="Para_fin_dec">#REF!</definedName>
    <definedName name="Para_fin_tx" localSheetId="1">#REF!</definedName>
    <definedName name="Para_fin_tx">#REF!</definedName>
    <definedName name="Para_imprimacao_larg" localSheetId="1">#REF!</definedName>
    <definedName name="Para_imprimacao_larg">#REF!</definedName>
    <definedName name="Para_imprimacao_taxa" localSheetId="1">#REF!</definedName>
    <definedName name="Para_imprimacao_taxa">#REF!</definedName>
    <definedName name="Para_intersecao" localSheetId="1">#REF!</definedName>
    <definedName name="Para_intersecao">#REF!</definedName>
    <definedName name="Para_pintura_larg" localSheetId="1">#REF!</definedName>
    <definedName name="Para_pintura_larg">#REF!</definedName>
    <definedName name="Para_pintura_taxa" localSheetId="1">#REF!</definedName>
    <definedName name="Para_pintura_taxa">#REF!</definedName>
    <definedName name="Para_qda_dec" localSheetId="1">#REF!</definedName>
    <definedName name="Para_qda_dec">#REF!</definedName>
    <definedName name="Para_qda_tx" localSheetId="1">#REF!</definedName>
    <definedName name="Para_qda_tx">#REF!</definedName>
    <definedName name="Para_regula_espes" localSheetId="1">#REF!</definedName>
    <definedName name="Para_regula_espes">#REF!</definedName>
    <definedName name="Para_regula_larg" localSheetId="1">#REF!</definedName>
    <definedName name="Para_regula_larg">#REF!</definedName>
    <definedName name="Para_roco" localSheetId="1">#REF!</definedName>
    <definedName name="Para_roco">#REF!</definedName>
    <definedName name="Para_tss_brita" localSheetId="1">#REF!</definedName>
    <definedName name="Para_tss_brita">#REF!</definedName>
    <definedName name="Para_tss_larg" localSheetId="1">#REF!</definedName>
    <definedName name="Para_tss_larg">#REF!</definedName>
    <definedName name="Para_tss_RR2C" localSheetId="1">#REF!</definedName>
    <definedName name="Para_tss_RR2C">#REF!</definedName>
    <definedName name="PassaExtenso">[10]!PassaExtenso</definedName>
    <definedName name="pesquisa" localSheetId="1">#REF!</definedName>
    <definedName name="pesquisa">#REF!</definedName>
    <definedName name="pju" localSheetId="1">#REF!</definedName>
    <definedName name="pju">#REF!</definedName>
    <definedName name="PL" localSheetId="1">#REF!</definedName>
    <definedName name="PL">#REF!</definedName>
    <definedName name="PL_DNER_BARREIRO" localSheetId="1">#REF!</definedName>
    <definedName name="PL_DNER_BARREIRO">#REF!</definedName>
    <definedName name="PL_PB_BARREIRO" localSheetId="1">#REF!</definedName>
    <definedName name="PL_PB_BARREIRO">#REF!</definedName>
    <definedName name="pldner" localSheetId="1">#REF!</definedName>
    <definedName name="pldner">#REF!</definedName>
    <definedName name="plpb" localSheetId="1">#REF!</definedName>
    <definedName name="plpb">#REF!</definedName>
    <definedName name="processo" localSheetId="1">#REF!</definedName>
    <definedName name="processo">#REF!</definedName>
    <definedName name="qq" localSheetId="1">[7]Pontes!#REF!</definedName>
    <definedName name="qq">[4]Pontes!#REF!</definedName>
    <definedName name="QQ_2">[0]!QQ_2</definedName>
    <definedName name="qqwwqwqwwqqwwq">#REF!</definedName>
    <definedName name="qualquer" localSheetId="1">[7]Pontes!#REF!</definedName>
    <definedName name="qualquer">[4]Pontes!#REF!</definedName>
    <definedName name="RBV">[11]Teor!$C$3:$C$7</definedName>
    <definedName name="REF" localSheetId="1">#REF!</definedName>
    <definedName name="REF">#REF!</definedName>
    <definedName name="REG" localSheetId="1">#REF!</definedName>
    <definedName name="REG">#REF!</definedName>
    <definedName name="REGULA" localSheetId="1">#REF!</definedName>
    <definedName name="REGULA">#REF!</definedName>
    <definedName name="RESUMO">[0]!RESUMO</definedName>
    <definedName name="Revisao" localSheetId="1">#REF!</definedName>
    <definedName name="Revisao">#REF!</definedName>
    <definedName name="Revisao_rev" localSheetId="1">#REF!</definedName>
    <definedName name="Revisao_rev">#REF!</definedName>
    <definedName name="Revisao_serv" localSheetId="1">#REF!</definedName>
    <definedName name="Revisao_serv">#REF!</definedName>
    <definedName name="Revisao_und" localSheetId="1">#REF!</definedName>
    <definedName name="Revisao_und">#REF!</definedName>
    <definedName name="RMA" localSheetId="1">'[3]PRO-08'!#REF!</definedName>
    <definedName name="RMA">'[3]PRO-08'!#REF!</definedName>
    <definedName name="ROD">[8]DADOS_NAO_IMPRIMIR!$B$8</definedName>
    <definedName name="RS" localSheetId="1">#REF!</definedName>
    <definedName name="RS">#REF!</definedName>
    <definedName name="s" hidden="1">{#N/A,#N/A,FALSE,"Planilha";#N/A,#N/A,FALSE,"Resumo";#N/A,#N/A,FALSE,"Fisico";#N/A,#N/A,FALSE,"Financeiro";#N/A,#N/A,FALSE,"Financeiro"}</definedName>
    <definedName name="sbg" localSheetId="1">#REF!</definedName>
    <definedName name="sbg">#REF!</definedName>
    <definedName name="SBTC" localSheetId="1">#REF!</definedName>
    <definedName name="SBTC">#REF!</definedName>
    <definedName name="SEG">[8]DADOS_NAO_IMPRIMIR!$B$11</definedName>
    <definedName name="sencount" hidden="1">1</definedName>
    <definedName name="SUBTRECHO">[8]DADOS_NAO_IMPRIMIR!$B$10</definedName>
    <definedName name="Teor">[11]Teor!$A$3:$A$7</definedName>
    <definedName name="teste" localSheetId="1">[7]Pontes!#REF!</definedName>
    <definedName name="teste">[4]Pontes!#REF!</definedName>
    <definedName name="the" localSheetId="1">#REF!</definedName>
    <definedName name="the">#REF!</definedName>
    <definedName name="THETA">'[2]BDI-serv'!$C$74</definedName>
    <definedName name="_xlnm.Print_Titles" localSheetId="1">'MEMÓRIA-PASSARELA'!$1:$2</definedName>
    <definedName name="total" localSheetId="1">#REF!</definedName>
    <definedName name="total">#REF!</definedName>
    <definedName name="TPM" localSheetId="1">#REF!</definedName>
    <definedName name="TPM">#REF!</definedName>
    <definedName name="TRECHO">[8]DADOS_NAO_IMPRIMIR!$B$9</definedName>
    <definedName name="tst" localSheetId="1">[7]Pontes!#REF!</definedName>
    <definedName name="tst">[4]Pontes!#REF!</definedName>
    <definedName name="V2zero">#REF!</definedName>
    <definedName name="Vazios">[11]Teor!$B$3:$B$7</definedName>
    <definedName name="verde" localSheetId="1">#REF!</definedName>
    <definedName name="verde">#REF!</definedName>
    <definedName name="verdepav" localSheetId="1">#REF!</definedName>
    <definedName name="verdepav">#REF!</definedName>
    <definedName name="WEWRWR">[0]!WEWRWR</definedName>
    <definedName name="wrn.Orçamento." localSheetId="1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WW" localSheetId="1">Plan1</definedName>
    <definedName name="WWW">Plan1</definedName>
    <definedName name="x" localSheetId="1">[11]Equipamentos!#REF!</definedName>
    <definedName name="x">[11]Equipamentos!#REF!</definedName>
    <definedName name="XXX">[0]!XXX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0" i="7" l="1"/>
  <c r="C259" i="7"/>
  <c r="C255" i="7"/>
  <c r="C236" i="7"/>
  <c r="C233" i="7"/>
  <c r="M232" i="7" s="1"/>
  <c r="F25" i="2" s="1"/>
  <c r="H25" i="2" s="1"/>
  <c r="C185" i="7"/>
  <c r="C211" i="7"/>
  <c r="C210" i="7"/>
  <c r="C207" i="7"/>
  <c r="C189" i="7"/>
  <c r="C181" i="7"/>
  <c r="C174" i="7"/>
  <c r="C149" i="7"/>
  <c r="C150" i="7" s="1"/>
  <c r="C148" i="7"/>
  <c r="C145" i="7"/>
  <c r="C112" i="7"/>
  <c r="C98" i="7"/>
  <c r="C95" i="7"/>
  <c r="M94" i="7" s="1"/>
  <c r="F17" i="2" s="1"/>
  <c r="H17" i="2" s="1"/>
  <c r="C27" i="7"/>
  <c r="C24" i="7"/>
  <c r="C15" i="7"/>
  <c r="C16" i="7" s="1"/>
  <c r="M13" i="7" s="1"/>
  <c r="F9" i="2" s="1"/>
  <c r="H9" i="2" s="1"/>
  <c r="C105" i="7"/>
  <c r="M102" i="7" s="1"/>
  <c r="F20" i="2" s="1"/>
  <c r="H20" i="2" s="1"/>
  <c r="C102" i="7"/>
  <c r="C257" i="7"/>
  <c r="C256" i="7"/>
  <c r="M252" i="7" s="1"/>
  <c r="F33" i="2" s="1"/>
  <c r="F34" i="2" s="1"/>
  <c r="F35" i="2" s="1"/>
  <c r="H35" i="2" s="1"/>
  <c r="C252" i="7"/>
  <c r="M235" i="7"/>
  <c r="F26" i="2" s="1"/>
  <c r="H26" i="2" s="1"/>
  <c r="C223" i="7"/>
  <c r="C226" i="7" s="1"/>
  <c r="C217" i="7"/>
  <c r="C220" i="7" s="1"/>
  <c r="C206" i="7"/>
  <c r="C208" i="7" s="1"/>
  <c r="C202" i="7"/>
  <c r="C198" i="7"/>
  <c r="C212" i="7"/>
  <c r="C203" i="7"/>
  <c r="C199" i="7"/>
  <c r="C162" i="7"/>
  <c r="C166" i="7" s="1"/>
  <c r="C157" i="7"/>
  <c r="C155" i="7"/>
  <c r="C159" i="7" s="1"/>
  <c r="C141" i="7"/>
  <c r="C140" i="7"/>
  <c r="C136" i="7"/>
  <c r="C137" i="7"/>
  <c r="C188" i="7"/>
  <c r="C190" i="7" s="1"/>
  <c r="C192" i="7"/>
  <c r="C184" i="7"/>
  <c r="C180" i="7"/>
  <c r="C182" i="7" s="1"/>
  <c r="C173" i="7"/>
  <c r="D185" i="7"/>
  <c r="D193" i="7" s="1"/>
  <c r="C130" i="7"/>
  <c r="C122" i="7"/>
  <c r="C126" i="7"/>
  <c r="C128" i="7" s="1"/>
  <c r="C118" i="7"/>
  <c r="C111" i="7"/>
  <c r="C100" i="7"/>
  <c r="M97" i="7" s="1"/>
  <c r="F18" i="2" s="1"/>
  <c r="H18" i="2" s="1"/>
  <c r="C87" i="7"/>
  <c r="C89" i="7" s="1"/>
  <c r="C81" i="7"/>
  <c r="C83" i="7" s="1"/>
  <c r="C75" i="7"/>
  <c r="C77" i="7" s="1"/>
  <c r="C65" i="7"/>
  <c r="C67" i="7" s="1"/>
  <c r="C59" i="7"/>
  <c r="C61" i="7" s="1"/>
  <c r="C53" i="7"/>
  <c r="C55" i="7" s="1"/>
  <c r="C43" i="7"/>
  <c r="C45" i="7" s="1"/>
  <c r="C37" i="7"/>
  <c r="C39" i="7" s="1"/>
  <c r="C31" i="7"/>
  <c r="C33" i="7" s="1"/>
  <c r="C21" i="7"/>
  <c r="M18" i="7" s="1"/>
  <c r="C12" i="7"/>
  <c r="M9" i="7" s="1"/>
  <c r="F8" i="2" s="1"/>
  <c r="H8" i="2" s="1"/>
  <c r="C7" i="7"/>
  <c r="C18" i="7"/>
  <c r="C13" i="7"/>
  <c r="C9" i="7"/>
  <c r="C4" i="7"/>
  <c r="H31" i="2"/>
  <c r="H30" i="2"/>
  <c r="D249" i="7"/>
  <c r="C246" i="7"/>
  <c r="C249" i="7" s="1"/>
  <c r="M238" i="7" s="1"/>
  <c r="F27" i="2" s="1"/>
  <c r="H27" i="2" s="1"/>
  <c r="D123" i="7"/>
  <c r="F10" i="2" l="1"/>
  <c r="H10" i="2" s="1"/>
  <c r="C261" i="7"/>
  <c r="M257" i="7" s="1"/>
  <c r="F36" i="2" s="1"/>
  <c r="H36" i="2" s="1"/>
  <c r="C204" i="7"/>
  <c r="C228" i="7"/>
  <c r="C200" i="7"/>
  <c r="C168" i="7"/>
  <c r="C138" i="7"/>
  <c r="C146" i="7"/>
  <c r="C142" i="7"/>
  <c r="C131" i="7"/>
  <c r="C193" i="7"/>
  <c r="C175" i="7"/>
  <c r="C177" i="7" s="1"/>
  <c r="D131" i="7"/>
  <c r="C120" i="7"/>
  <c r="C123" i="7" s="1"/>
  <c r="C113" i="7"/>
  <c r="C115" i="7" s="1"/>
  <c r="C92" i="7"/>
  <c r="M72" i="7" s="1"/>
  <c r="F15" i="2" s="1"/>
  <c r="F16" i="2" s="1"/>
  <c r="C71" i="7"/>
  <c r="M50" i="7" s="1"/>
  <c r="F14" i="2" s="1"/>
  <c r="H14" i="2" s="1"/>
  <c r="C48" i="7"/>
  <c r="M29" i="7" s="1"/>
  <c r="F13" i="2" s="1"/>
  <c r="H13" i="2" s="1"/>
  <c r="H34" i="2"/>
  <c r="H33" i="2"/>
  <c r="H29" i="2"/>
  <c r="M26" i="7"/>
  <c r="F11" i="2" s="1"/>
  <c r="H11" i="2" s="1"/>
  <c r="M4" i="7"/>
  <c r="F7" i="2" s="1"/>
  <c r="H7" i="2" s="1"/>
  <c r="C195" i="7" l="1"/>
  <c r="C170" i="7"/>
  <c r="C133" i="7"/>
  <c r="C214" i="7"/>
  <c r="H32" i="2"/>
  <c r="H16" i="2"/>
  <c r="F19" i="2"/>
  <c r="H19" i="2" s="1"/>
  <c r="C152" i="7"/>
  <c r="H15" i="2"/>
  <c r="H6" i="2"/>
  <c r="H12" i="2" l="1"/>
  <c r="H5" i="2" s="1"/>
  <c r="C230" i="7"/>
  <c r="M171" i="7" s="1"/>
  <c r="F23" i="2" s="1"/>
  <c r="M108" i="7"/>
  <c r="F22" i="2" s="1"/>
  <c r="H22" i="2" s="1"/>
  <c r="F24" i="2" l="1"/>
  <c r="H23" i="2"/>
  <c r="H24" i="2" l="1"/>
  <c r="F28" i="2"/>
  <c r="H28" i="2" s="1"/>
  <c r="H21" i="2" l="1"/>
  <c r="H38" i="2" s="1"/>
  <c r="H39" i="2" s="1"/>
  <c r="H40" i="2" s="1"/>
</calcChain>
</file>

<file path=xl/sharedStrings.xml><?xml version="1.0" encoding="utf-8"?>
<sst xmlns="http://schemas.openxmlformats.org/spreadsheetml/2006/main" count="549" uniqueCount="193">
  <si>
    <t>Obra</t>
  </si>
  <si>
    <t>Bancos</t>
  </si>
  <si>
    <t>B.D.I.</t>
  </si>
  <si>
    <t>Encargos Sociais</t>
  </si>
  <si>
    <t xml:space="preserve">SINAPI - 10/2023 - Santa Catarina
SICRO3 - 07/2023 - Santa Catarina
ORSE - 09/2023 - Sergipe
SEINFRA - 028 - Ceará
</t>
  </si>
  <si>
    <t>0,0%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</si>
  <si>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</si>
  <si>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</si>
  <si>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</si>
  <si>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</si>
  <si>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</si>
  <si>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</si>
  <si>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</si>
  <si>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</si>
  <si>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</si>
  <si>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</si>
  <si>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 xml:space="preserve"> 1 </t>
  </si>
  <si>
    <t>INFRAESTRUTURA</t>
  </si>
  <si>
    <t xml:space="preserve"> 1.1 </t>
  </si>
  <si>
    <t>ESTACA RAIZ</t>
  </si>
  <si>
    <t xml:space="preserve"> 1.1.1 </t>
  </si>
  <si>
    <t xml:space="preserve"> 2306070 </t>
  </si>
  <si>
    <t>SICRO3</t>
  </si>
  <si>
    <t>Estaca raiz perfurada na rocha com D = 31 cm - confecção</t>
  </si>
  <si>
    <t>m</t>
  </si>
  <si>
    <t xml:space="preserve"> 0407819 </t>
  </si>
  <si>
    <t>Armação em aço CA-50 - fornecimento, preparo e colocação</t>
  </si>
  <si>
    <t>kg</t>
  </si>
  <si>
    <t xml:space="preserve"> 1.2 </t>
  </si>
  <si>
    <t xml:space="preserve"> 1.2.1 </t>
  </si>
  <si>
    <t xml:space="preserve"> 3108008 </t>
  </si>
  <si>
    <t>Fôrmas de compensado plastificado 10 mm - uso geral - utilização de 2 vezes - confecção, instalação e retirada</t>
  </si>
  <si>
    <t>m²</t>
  </si>
  <si>
    <t xml:space="preserve"> 1107900 </t>
  </si>
  <si>
    <t>Concreto fck = 30 MPa - confecção em betoneira e lançamento manual - areia e brita comerciais</t>
  </si>
  <si>
    <t>m³</t>
  </si>
  <si>
    <t xml:space="preserve"> 1100657 </t>
  </si>
  <si>
    <t>Adensamento de concreto por vibrador de imersão</t>
  </si>
  <si>
    <t xml:space="preserve"> 2 </t>
  </si>
  <si>
    <t xml:space="preserve"> 2.1 </t>
  </si>
  <si>
    <t xml:space="preserve"> 3108007 </t>
  </si>
  <si>
    <t>Fôrmas de compensado plastificado 10 mm - uso geral - utilização de 1 vez - confecção, instalação e retirada</t>
  </si>
  <si>
    <t xml:space="preserve"> 2.2 </t>
  </si>
  <si>
    <t xml:space="preserve"> 2.3 </t>
  </si>
  <si>
    <t xml:space="preserve"> 2.4 </t>
  </si>
  <si>
    <t xml:space="preserve"> 0307732 </t>
  </si>
  <si>
    <t>Aparelho de apoio de neoprene fretado para estruturas pré-moldadas - fornecimento e instalação</t>
  </si>
  <si>
    <t>dm³</t>
  </si>
  <si>
    <t xml:space="preserve"> 3 </t>
  </si>
  <si>
    <t>SUPERESTRUTURA</t>
  </si>
  <si>
    <t xml:space="preserve"> 3.1 </t>
  </si>
  <si>
    <t>un</t>
  </si>
  <si>
    <t xml:space="preserve"> 1107908 </t>
  </si>
  <si>
    <t>Concreto fck = 40 MPa - confecção em betoneira e lançamento manual - areia e brita comerciais</t>
  </si>
  <si>
    <t xml:space="preserve"> 0407820 </t>
  </si>
  <si>
    <t>Armação em aço CA-60 - fornecimento, preparo e colocação</t>
  </si>
  <si>
    <t>Total sem BDI</t>
  </si>
  <si>
    <t>Total Geral</t>
  </si>
  <si>
    <t>3.2</t>
  </si>
  <si>
    <t>Lançamento de superestrutura de passarela metálica de 12 a 24 t com utilização de guindaste</t>
  </si>
  <si>
    <t>Total do BDI (24,5%)</t>
  </si>
  <si>
    <t>SINAPI</t>
  </si>
  <si>
    <t>M</t>
  </si>
  <si>
    <t>1.0</t>
  </si>
  <si>
    <t>1.1.1</t>
  </si>
  <si>
    <t>COMPRIMENTO=</t>
  </si>
  <si>
    <t>QUANT. ESTACAS=</t>
  </si>
  <si>
    <t>und</t>
  </si>
  <si>
    <t>COMPRIMENTO TOTAL=</t>
  </si>
  <si>
    <t>1.1.2</t>
  </si>
  <si>
    <t>Aço CA50</t>
  </si>
  <si>
    <t>peso do aço=</t>
  </si>
  <si>
    <t>1.2</t>
  </si>
  <si>
    <t>BLOCO DE CONCRETO</t>
  </si>
  <si>
    <t>1.2.1</t>
  </si>
  <si>
    <t xml:space="preserve">FORMA </t>
  </si>
  <si>
    <t>m2</t>
  </si>
  <si>
    <t>PERIMETRO</t>
  </si>
  <si>
    <t>ALTURA</t>
  </si>
  <si>
    <t>AREA</t>
  </si>
  <si>
    <t>Quant. Blocos=</t>
  </si>
  <si>
    <t>AREA TOTAL=</t>
  </si>
  <si>
    <t>M2</t>
  </si>
  <si>
    <t>1.2.2</t>
  </si>
  <si>
    <t>volume de concreto</t>
  </si>
  <si>
    <t>m3</t>
  </si>
  <si>
    <t>Area=</t>
  </si>
  <si>
    <t>ALTURA=</t>
  </si>
  <si>
    <t>VOLUME</t>
  </si>
  <si>
    <t>1.2.3</t>
  </si>
  <si>
    <t>2.0</t>
  </si>
  <si>
    <t>PILARES DE CONCRETO</t>
  </si>
  <si>
    <t>2.1</t>
  </si>
  <si>
    <t>FORMA COMPENSADO</t>
  </si>
  <si>
    <t>Perimetro=</t>
  </si>
  <si>
    <t>Forma=</t>
  </si>
  <si>
    <t>Quant. Pilares=</t>
  </si>
  <si>
    <t>Área=</t>
  </si>
  <si>
    <t>2.2</t>
  </si>
  <si>
    <t>Volume total=</t>
  </si>
  <si>
    <t>2.3</t>
  </si>
  <si>
    <t>2.4</t>
  </si>
  <si>
    <t>Vol.Tot.Neoprene=Quantidade*Vol.Neoprene</t>
  </si>
  <si>
    <t>Vol.Neoprene=Comprimento*Altura*Largura</t>
  </si>
  <si>
    <t>Largura=</t>
  </si>
  <si>
    <t>dm</t>
  </si>
  <si>
    <t>comprimento=</t>
  </si>
  <si>
    <t>Altura=</t>
  </si>
  <si>
    <t>Vol.Neoprene=</t>
  </si>
  <si>
    <t>dm3</t>
  </si>
  <si>
    <t>Quantidade=</t>
  </si>
  <si>
    <t>unid.</t>
  </si>
  <si>
    <t>Vol.Tot.Neoprene=</t>
  </si>
  <si>
    <t>M3</t>
  </si>
  <si>
    <t>4.0</t>
  </si>
  <si>
    <t>Volume=</t>
  </si>
  <si>
    <t xml:space="preserve"> 1.1.2</t>
  </si>
  <si>
    <t xml:space="preserve"> 1.1.3</t>
  </si>
  <si>
    <t xml:space="preserve"> 1.1.4</t>
  </si>
  <si>
    <t xml:space="preserve"> 1.1.5</t>
  </si>
  <si>
    <t>Estaca raiz perfurada no solo com D = 31 cm - confecção</t>
  </si>
  <si>
    <t>Estaca raiz perfurada na rocha com D = 45 cm - confecção</t>
  </si>
  <si>
    <t>Estaca raiz perfurada no solo com D = 45 cm - confecção</t>
  </si>
  <si>
    <t>1.1.3</t>
  </si>
  <si>
    <t>1.1.4</t>
  </si>
  <si>
    <t>1.1.5</t>
  </si>
  <si>
    <t>Bloco 1 estaca</t>
  </si>
  <si>
    <t>ESCAVAÇÃO</t>
  </si>
  <si>
    <t>AREA=</t>
  </si>
  <si>
    <t>ALTURA MÉDIA=</t>
  </si>
  <si>
    <t>Bloco 2 estaca</t>
  </si>
  <si>
    <t>Bloco 6 estaca</t>
  </si>
  <si>
    <t xml:space="preserve"> 1.2.2</t>
  </si>
  <si>
    <t xml:space="preserve"> 1.2.3</t>
  </si>
  <si>
    <t xml:space="preserve"> 1.2.4</t>
  </si>
  <si>
    <t xml:space="preserve"> 1.2.5</t>
  </si>
  <si>
    <t>Escavação mecânica de vala em material de 1ª categoria</t>
  </si>
  <si>
    <t>BLOCO DE COROAMENTO E MURO DE CONCRETO CICLOPICO</t>
  </si>
  <si>
    <t xml:space="preserve"> 1.2.6</t>
  </si>
  <si>
    <t>Concreto ciclópico fck = 20 MPa - confecção em betoneira e lançamento manual - areia, brita e pedra de mão comerciais</t>
  </si>
  <si>
    <t>1.2.5</t>
  </si>
  <si>
    <t>1.2.6</t>
  </si>
  <si>
    <t>Pilares altura variavel (rampa) 30x30</t>
  </si>
  <si>
    <t>Altura Media=</t>
  </si>
  <si>
    <t>Pilares 30x30 (lado a)</t>
  </si>
  <si>
    <t>Pilares 30x30 (lado b)</t>
  </si>
  <si>
    <t>altura=</t>
  </si>
  <si>
    <t>consoles=</t>
  </si>
  <si>
    <t>PILARES, VIGAS E LAJE DOS ACESSOS</t>
  </si>
  <si>
    <t>VIGAS INTERMEDIARIAS VT</t>
  </si>
  <si>
    <t>Comprimento total=</t>
  </si>
  <si>
    <t>Fundo da laje=</t>
  </si>
  <si>
    <t>Laje patamar 01 lado a=lado b</t>
  </si>
  <si>
    <t>Quantitdade=</t>
  </si>
  <si>
    <t>Forma da laje=</t>
  </si>
  <si>
    <t>Laje sobre solo lado b</t>
  </si>
  <si>
    <t>FORMAS TOTAIS VIGAS=</t>
  </si>
  <si>
    <t>FORMAS TOTAIS PILARES=</t>
  </si>
  <si>
    <t>FORMAS TOTAIS LAJES=</t>
  </si>
  <si>
    <t>FORMA TOTAL</t>
  </si>
  <si>
    <t>VOLUME TOTAL VIGAS=</t>
  </si>
  <si>
    <t>Volume da lajes=</t>
  </si>
  <si>
    <t>VolumeTOTAIS LAJES=</t>
  </si>
  <si>
    <t>Aço CA60</t>
  </si>
  <si>
    <t>VOLUME TOTAL</t>
  </si>
  <si>
    <t>Volume Total PILARES=</t>
  </si>
  <si>
    <t>2.5</t>
  </si>
  <si>
    <t xml:space="preserve"> 1.2.7</t>
  </si>
  <si>
    <t>Lançamento mecânico de concreto com bomba rebocável com capacidade de 30 m³/h - confecção em central dosadora de 30m³/h</t>
  </si>
  <si>
    <t xml:space="preserve"> 2.5</t>
  </si>
  <si>
    <t xml:space="preserve"> 2.6</t>
  </si>
  <si>
    <t xml:space="preserve"> 2.7</t>
  </si>
  <si>
    <t>4.1</t>
  </si>
  <si>
    <t>4.2</t>
  </si>
  <si>
    <t>4.3</t>
  </si>
  <si>
    <t>LAJE STEEL DECK</t>
  </si>
  <si>
    <t>Taxa=</t>
  </si>
  <si>
    <t>m3/m2</t>
  </si>
  <si>
    <t>4.4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</si>
  <si>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</si>
  <si>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COMPRIMENTO LADO A=</t>
  </si>
  <si>
    <t>COMPRIMENTO LADO B=</t>
  </si>
  <si>
    <t>Reaterro e compactação com soquete vibratório</t>
  </si>
  <si>
    <t xml:space="preserve"> 1.2.8</t>
  </si>
  <si>
    <t>1.2.8</t>
  </si>
  <si>
    <t>COMPRIMENTO guilherme=</t>
  </si>
  <si>
    <t>COMPRIMENTO jorge=</t>
  </si>
  <si>
    <t>ORÇAMENTO CONSTRUÇÃO PASSARELA 45 M</t>
  </si>
  <si>
    <t>VIGAS V4A=V5A=V6A=V7A=V1B=V3B=V4B=V2B</t>
  </si>
  <si>
    <t>VIGAS RAMPA V1A e V3A + LAJE</t>
  </si>
  <si>
    <t xml:space="preserve">VIGAS RAMPA V2A </t>
  </si>
  <si>
    <t>Fabricação de superestrutura metálica para passarela PL-25 - exceto piso de concreto</t>
  </si>
  <si>
    <t>MEMÓRIA DE CÁLCULO -  QUANTITATIVOS - PASSARELA 45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</si>
</sst>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_-&quot;R$&quot;* #,##0.00_-;\-&quot;R$&quot;* #,##0.00_-;_-&quot;R$&quot;* &quot;-&quot;??_-;_-@_-"/>
    <numFmt numFmtId="166" formatCode="0.000"/>
    <numFmt numFmtId="167" formatCode="0.0000"/>
  </numFmts>
  <fonts count="37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MS Sans Serif"/>
      <family val="2"/>
    </font>
    <font>
      <sz val="10"/>
      <name val="Arial"/>
    </font>
    <font>
      <sz val="10"/>
      <name val="Arial"/>
      <family val="2"/>
    </font>
    <font>
      <sz val="8"/>
      <name val="Arial"/>
      <family val="1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indexed="64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medium">
        <color indexed="64"/>
      </right>
      <top style="thin">
        <color rgb="FFC00000"/>
      </top>
      <bottom style="thin">
        <color rgb="FFC00000"/>
      </bottom>
      <diagonal/>
    </border>
    <border>
      <left style="medium">
        <color indexed="64"/>
      </left>
      <right/>
      <top style="thin">
        <color rgb="FFC00000"/>
      </top>
      <bottom/>
      <diagonal/>
    </border>
    <border>
      <left/>
      <right/>
      <top style="thin">
        <color rgb="FFC00000"/>
      </top>
      <bottom/>
      <diagonal/>
    </border>
    <border>
      <left/>
      <right style="medium">
        <color indexed="64"/>
      </right>
      <top style="thin">
        <color rgb="FFC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/>
      <right style="medium">
        <color indexed="64"/>
      </right>
      <top/>
      <bottom style="thin">
        <color rgb="FFC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4" fontId="20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22" fillId="0" borderId="0"/>
    <xf numFmtId="0" fontId="23" fillId="0" borderId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165" fontId="1" fillId="0" borderId="0" applyFont="0" applyFill="0" applyBorder="0" applyAlignment="0" applyProtection="0"/>
  </cellStyleXfs>
  <cellXfs count="144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right" vertical="top" wrapText="1"/>
    </xf>
    <xf numFmtId="4" fontId="9" fillId="9" borderId="6" xfId="0" applyNumberFormat="1" applyFont="1" applyFill="1" applyBorder="1" applyAlignment="1">
      <alignment horizontal="right" vertical="top" wrapText="1"/>
    </xf>
    <xf numFmtId="0" fontId="11" fillId="10" borderId="7" xfId="0" applyFont="1" applyFill="1" applyBorder="1" applyAlignment="1">
      <alignment horizontal="left" vertical="top" wrapText="1"/>
    </xf>
    <xf numFmtId="0" fontId="12" fillId="11" borderId="8" xfId="0" applyFont="1" applyFill="1" applyBorder="1" applyAlignment="1">
      <alignment horizontal="center" vertical="top" wrapText="1"/>
    </xf>
    <xf numFmtId="0" fontId="13" fillId="12" borderId="9" xfId="0" applyFont="1" applyFill="1" applyBorder="1" applyAlignment="1">
      <alignment horizontal="right" vertical="top" wrapText="1"/>
    </xf>
    <xf numFmtId="4" fontId="14" fillId="13" borderId="10" xfId="0" applyNumberFormat="1" applyFont="1" applyFill="1" applyBorder="1" applyAlignment="1">
      <alignment horizontal="right" vertical="top" wrapText="1"/>
    </xf>
    <xf numFmtId="0" fontId="15" fillId="14" borderId="0" xfId="0" applyFont="1" applyFill="1" applyAlignment="1">
      <alignment horizontal="left" vertical="top" wrapText="1"/>
    </xf>
    <xf numFmtId="0" fontId="16" fillId="15" borderId="0" xfId="0" applyFont="1" applyFill="1" applyAlignment="1">
      <alignment horizontal="right" vertical="top" wrapText="1"/>
    </xf>
    <xf numFmtId="0" fontId="18" fillId="17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center" vertical="top" wrapText="1"/>
    </xf>
    <xf numFmtId="0" fontId="10" fillId="14" borderId="0" xfId="0" applyFont="1" applyFill="1" applyAlignment="1">
      <alignment horizontal="left" vertical="top" wrapText="1"/>
    </xf>
    <xf numFmtId="0" fontId="11" fillId="10" borderId="11" xfId="0" applyFont="1" applyFill="1" applyBorder="1" applyAlignment="1">
      <alignment horizontal="left" vertical="top" wrapText="1"/>
    </xf>
    <xf numFmtId="0" fontId="13" fillId="12" borderId="11" xfId="0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center" vertical="top" wrapText="1"/>
    </xf>
    <xf numFmtId="44" fontId="17" fillId="16" borderId="0" xfId="1" applyFont="1" applyFill="1" applyAlignment="1">
      <alignment vertical="top" wrapText="1"/>
    </xf>
    <xf numFmtId="44" fontId="16" fillId="15" borderId="0" xfId="1" applyFont="1" applyFill="1" applyAlignment="1">
      <alignment horizontal="right" vertical="top" wrapText="1"/>
    </xf>
    <xf numFmtId="44" fontId="16" fillId="15" borderId="0" xfId="0" applyNumberFormat="1" applyFont="1" applyFill="1" applyAlignment="1">
      <alignment horizontal="right" vertical="top" wrapText="1"/>
    </xf>
    <xf numFmtId="0" fontId="11" fillId="10" borderId="7" xfId="0" applyFont="1" applyFill="1" applyBorder="1" applyAlignment="1">
      <alignment horizontal="right" vertical="top" wrapText="1"/>
    </xf>
    <xf numFmtId="0" fontId="11" fillId="10" borderId="11" xfId="0" applyFont="1" applyFill="1" applyBorder="1" applyAlignment="1">
      <alignment horizontal="right" vertical="top" wrapText="1"/>
    </xf>
    <xf numFmtId="2" fontId="13" fillId="12" borderId="9" xfId="0" applyNumberFormat="1" applyFont="1" applyFill="1" applyBorder="1" applyAlignment="1">
      <alignment horizontal="right" vertical="top" wrapText="1"/>
    </xf>
    <xf numFmtId="0" fontId="25" fillId="20" borderId="0" xfId="5" applyFont="1" applyFill="1"/>
    <xf numFmtId="2" fontId="25" fillId="20" borderId="0" xfId="5" applyNumberFormat="1" applyFont="1" applyFill="1" applyAlignment="1">
      <alignment horizontal="right"/>
    </xf>
    <xf numFmtId="2" fontId="25" fillId="20" borderId="0" xfId="5" applyNumberFormat="1" applyFont="1" applyFill="1"/>
    <xf numFmtId="2" fontId="26" fillId="20" borderId="0" xfId="5" applyNumberFormat="1" applyFont="1" applyFill="1" applyAlignment="1">
      <alignment horizontal="right"/>
    </xf>
    <xf numFmtId="0" fontId="25" fillId="20" borderId="0" xfId="5" applyFont="1" applyFill="1" applyAlignment="1">
      <alignment vertical="center"/>
    </xf>
    <xf numFmtId="0" fontId="28" fillId="20" borderId="0" xfId="5" applyFont="1" applyFill="1" applyAlignment="1">
      <alignment horizontal="center" vertical="center"/>
    </xf>
    <xf numFmtId="0" fontId="25" fillId="0" borderId="0" xfId="5" applyFont="1" applyAlignment="1">
      <alignment horizontal="left" vertical="center"/>
    </xf>
    <xf numFmtId="0" fontId="25" fillId="0" borderId="0" xfId="5" applyFont="1" applyAlignment="1">
      <alignment vertical="center"/>
    </xf>
    <xf numFmtId="0" fontId="29" fillId="20" borderId="0" xfId="5" applyFont="1" applyFill="1" applyAlignment="1">
      <alignment wrapText="1"/>
    </xf>
    <xf numFmtId="2" fontId="30" fillId="21" borderId="15" xfId="5" applyNumberFormat="1" applyFont="1" applyFill="1" applyBorder="1" applyAlignment="1">
      <alignment horizontal="left" vertical="center" wrapText="1"/>
    </xf>
    <xf numFmtId="2" fontId="31" fillId="21" borderId="17" xfId="6" applyNumberFormat="1" applyFont="1" applyFill="1" applyBorder="1" applyAlignment="1">
      <alignment horizontal="right" vertical="center" wrapText="1"/>
    </xf>
    <xf numFmtId="165" fontId="30" fillId="21" borderId="18" xfId="5" applyNumberFormat="1" applyFont="1" applyFill="1" applyBorder="1" applyAlignment="1">
      <alignment horizontal="left" vertical="center" wrapText="1"/>
    </xf>
    <xf numFmtId="0" fontId="25" fillId="0" borderId="0" xfId="5" applyFont="1" applyAlignment="1">
      <alignment wrapText="1"/>
    </xf>
    <xf numFmtId="0" fontId="25" fillId="22" borderId="0" xfId="5" applyFont="1" applyFill="1" applyAlignment="1">
      <alignment wrapText="1"/>
    </xf>
    <xf numFmtId="2" fontId="30" fillId="22" borderId="19" xfId="5" applyNumberFormat="1" applyFont="1" applyFill="1" applyBorder="1" applyAlignment="1">
      <alignment horizontal="left" vertical="center" wrapText="1"/>
    </xf>
    <xf numFmtId="2" fontId="30" fillId="22" borderId="20" xfId="5" applyNumberFormat="1" applyFont="1" applyFill="1" applyBorder="1" applyAlignment="1">
      <alignment horizontal="left" vertical="center" wrapText="1"/>
    </xf>
    <xf numFmtId="2" fontId="30" fillId="22" borderId="21" xfId="5" applyNumberFormat="1" applyFont="1" applyFill="1" applyBorder="1" applyAlignment="1">
      <alignment horizontal="right" vertical="center" wrapText="1"/>
    </xf>
    <xf numFmtId="0" fontId="25" fillId="20" borderId="0" xfId="5" applyFont="1" applyFill="1" applyAlignment="1">
      <alignment wrapText="1"/>
    </xf>
    <xf numFmtId="2" fontId="30" fillId="20" borderId="22" xfId="5" applyNumberFormat="1" applyFont="1" applyFill="1" applyBorder="1" applyAlignment="1">
      <alignment horizontal="right" vertical="center" wrapText="1"/>
    </xf>
    <xf numFmtId="2" fontId="30" fillId="20" borderId="0" xfId="5" applyNumberFormat="1" applyFont="1" applyFill="1" applyAlignment="1">
      <alignment horizontal="left" vertical="center" wrapText="1"/>
    </xf>
    <xf numFmtId="2" fontId="30" fillId="20" borderId="23" xfId="5" applyNumberFormat="1" applyFont="1" applyFill="1" applyBorder="1" applyAlignment="1">
      <alignment horizontal="right" vertical="center" wrapText="1"/>
    </xf>
    <xf numFmtId="2" fontId="29" fillId="20" borderId="0" xfId="5" applyNumberFormat="1" applyFont="1" applyFill="1" applyAlignment="1">
      <alignment horizontal="left" vertical="center"/>
    </xf>
    <xf numFmtId="2" fontId="32" fillId="20" borderId="0" xfId="6" applyNumberFormat="1" applyFont="1" applyFill="1" applyBorder="1" applyAlignment="1">
      <alignment horizontal="left" vertical="center"/>
    </xf>
    <xf numFmtId="2" fontId="29" fillId="20" borderId="0" xfId="5" applyNumberFormat="1" applyFont="1" applyFill="1" applyAlignment="1">
      <alignment horizontal="left"/>
    </xf>
    <xf numFmtId="2" fontId="29" fillId="20" borderId="0" xfId="5" applyNumberFormat="1" applyFont="1" applyFill="1" applyAlignment="1">
      <alignment horizontal="left" wrapText="1"/>
    </xf>
    <xf numFmtId="2" fontId="30" fillId="20" borderId="0" xfId="5" applyNumberFormat="1" applyFont="1" applyFill="1" applyAlignment="1">
      <alignment horizontal="right" vertical="center" wrapText="1"/>
    </xf>
    <xf numFmtId="2" fontId="30" fillId="20" borderId="0" xfId="5" applyNumberFormat="1" applyFont="1" applyFill="1" applyAlignment="1">
      <alignment horizontal="left" wrapText="1"/>
    </xf>
    <xf numFmtId="2" fontId="33" fillId="20" borderId="0" xfId="6" applyNumberFormat="1" applyFont="1" applyFill="1" applyBorder="1" applyAlignment="1">
      <alignment horizontal="left" vertical="center" wrapText="1"/>
    </xf>
    <xf numFmtId="2" fontId="33" fillId="20" borderId="0" xfId="5" applyNumberFormat="1" applyFont="1" applyFill="1" applyAlignment="1">
      <alignment horizontal="left" vertical="center" wrapText="1"/>
    </xf>
    <xf numFmtId="2" fontId="32" fillId="20" borderId="0" xfId="5" applyNumberFormat="1" applyFont="1" applyFill="1" applyAlignment="1">
      <alignment horizontal="left" vertical="center" wrapText="1"/>
    </xf>
    <xf numFmtId="2" fontId="34" fillId="20" borderId="0" xfId="5" applyNumberFormat="1" applyFont="1" applyFill="1" applyAlignment="1">
      <alignment horizontal="right" vertical="center" wrapText="1"/>
    </xf>
    <xf numFmtId="0" fontId="35" fillId="20" borderId="0" xfId="5" applyFont="1" applyFill="1" applyAlignment="1">
      <alignment wrapText="1"/>
    </xf>
    <xf numFmtId="2" fontId="30" fillId="20" borderId="19" xfId="5" applyNumberFormat="1" applyFont="1" applyFill="1" applyBorder="1" applyAlignment="1">
      <alignment horizontal="left" vertical="center" wrapText="1"/>
    </xf>
    <xf numFmtId="2" fontId="30" fillId="20" borderId="20" xfId="5" applyNumberFormat="1" applyFont="1" applyFill="1" applyBorder="1" applyAlignment="1">
      <alignment horizontal="left" vertical="center" wrapText="1"/>
    </xf>
    <xf numFmtId="2" fontId="30" fillId="20" borderId="21" xfId="5" applyNumberFormat="1" applyFont="1" applyFill="1" applyBorder="1" applyAlignment="1">
      <alignment horizontal="right" vertical="center" wrapText="1"/>
    </xf>
    <xf numFmtId="0" fontId="25" fillId="20" borderId="22" xfId="5" applyFont="1" applyFill="1" applyBorder="1" applyAlignment="1">
      <alignment horizontal="right"/>
    </xf>
    <xf numFmtId="2" fontId="30" fillId="20" borderId="0" xfId="5" applyNumberFormat="1" applyFont="1" applyFill="1" applyAlignment="1">
      <alignment horizontal="left" vertical="center"/>
    </xf>
    <xf numFmtId="0" fontId="25" fillId="20" borderId="0" xfId="5" applyFont="1" applyFill="1" applyAlignment="1">
      <alignment horizontal="left"/>
    </xf>
    <xf numFmtId="2" fontId="29" fillId="20" borderId="0" xfId="5" applyNumberFormat="1" applyFont="1" applyFill="1" applyAlignment="1">
      <alignment horizontal="left" vertical="center" wrapText="1"/>
    </xf>
    <xf numFmtId="2" fontId="32" fillId="20" borderId="0" xfId="6" applyNumberFormat="1" applyFont="1" applyFill="1" applyBorder="1" applyAlignment="1">
      <alignment horizontal="left" vertical="center" wrapText="1"/>
    </xf>
    <xf numFmtId="2" fontId="29" fillId="20" borderId="0" xfId="5" applyNumberFormat="1" applyFont="1" applyFill="1" applyAlignment="1">
      <alignment vertical="center" wrapText="1"/>
    </xf>
    <xf numFmtId="2" fontId="30" fillId="20" borderId="0" xfId="5" applyNumberFormat="1" applyFont="1" applyFill="1" applyAlignment="1">
      <alignment vertical="center" wrapText="1"/>
    </xf>
    <xf numFmtId="2" fontId="30" fillId="20" borderId="22" xfId="5" applyNumberFormat="1" applyFont="1" applyFill="1" applyBorder="1" applyAlignment="1">
      <alignment horizontal="left" vertical="center" wrapText="1"/>
    </xf>
    <xf numFmtId="2" fontId="30" fillId="20" borderId="24" xfId="5" applyNumberFormat="1" applyFont="1" applyFill="1" applyBorder="1" applyAlignment="1">
      <alignment horizontal="left" vertical="center"/>
    </xf>
    <xf numFmtId="2" fontId="30" fillId="20" borderId="25" xfId="5" applyNumberFormat="1" applyFont="1" applyFill="1" applyBorder="1" applyAlignment="1">
      <alignment horizontal="left" vertical="center"/>
    </xf>
    <xf numFmtId="2" fontId="30" fillId="20" borderId="26" xfId="5" applyNumberFormat="1" applyFont="1" applyFill="1" applyBorder="1" applyAlignment="1">
      <alignment horizontal="right"/>
    </xf>
    <xf numFmtId="2" fontId="30" fillId="20" borderId="22" xfId="5" applyNumberFormat="1" applyFont="1" applyFill="1" applyBorder="1" applyAlignment="1">
      <alignment horizontal="left" vertical="center"/>
    </xf>
    <xf numFmtId="2" fontId="29" fillId="20" borderId="0" xfId="5" applyNumberFormat="1" applyFont="1" applyFill="1" applyAlignment="1">
      <alignment horizontal="left" vertical="top"/>
    </xf>
    <xf numFmtId="2" fontId="30" fillId="20" borderId="0" xfId="5" applyNumberFormat="1" applyFont="1" applyFill="1" applyAlignment="1">
      <alignment horizontal="left" vertical="top" wrapText="1"/>
    </xf>
    <xf numFmtId="2" fontId="29" fillId="20" borderId="0" xfId="5" applyNumberFormat="1" applyFont="1" applyFill="1"/>
    <xf numFmtId="2" fontId="30" fillId="20" borderId="0" xfId="5" applyNumberFormat="1" applyFont="1" applyFill="1" applyAlignment="1">
      <alignment horizontal="right"/>
    </xf>
    <xf numFmtId="2" fontId="30" fillId="20" borderId="23" xfId="5" applyNumberFormat="1" applyFont="1" applyFill="1" applyBorder="1" applyAlignment="1">
      <alignment horizontal="right"/>
    </xf>
    <xf numFmtId="2" fontId="29" fillId="20" borderId="22" xfId="5" applyNumberFormat="1" applyFont="1" applyFill="1" applyBorder="1"/>
    <xf numFmtId="2" fontId="29" fillId="20" borderId="0" xfId="5" applyNumberFormat="1" applyFont="1" applyFill="1" applyAlignment="1">
      <alignment horizontal="right"/>
    </xf>
    <xf numFmtId="2" fontId="29" fillId="20" borderId="23" xfId="5" applyNumberFormat="1" applyFont="1" applyFill="1" applyBorder="1" applyAlignment="1">
      <alignment horizontal="right"/>
    </xf>
    <xf numFmtId="2" fontId="29" fillId="20" borderId="22" xfId="5" applyNumberFormat="1" applyFont="1" applyFill="1" applyBorder="1" applyAlignment="1">
      <alignment horizontal="right"/>
    </xf>
    <xf numFmtId="166" fontId="29" fillId="20" borderId="0" xfId="5" applyNumberFormat="1" applyFont="1" applyFill="1" applyAlignment="1">
      <alignment horizontal="left"/>
    </xf>
    <xf numFmtId="167" fontId="29" fillId="20" borderId="0" xfId="5" applyNumberFormat="1" applyFont="1" applyFill="1" applyAlignment="1">
      <alignment horizontal="left"/>
    </xf>
    <xf numFmtId="167" fontId="29" fillId="20" borderId="0" xfId="5" applyNumberFormat="1" applyFont="1" applyFill="1" applyAlignment="1">
      <alignment horizontal="right"/>
    </xf>
    <xf numFmtId="2" fontId="30" fillId="20" borderId="27" xfId="5" applyNumberFormat="1" applyFont="1" applyFill="1" applyBorder="1" applyAlignment="1">
      <alignment horizontal="right"/>
    </xf>
    <xf numFmtId="167" fontId="30" fillId="20" borderId="28" xfId="5" applyNumberFormat="1" applyFont="1" applyFill="1" applyBorder="1" applyAlignment="1">
      <alignment horizontal="left"/>
    </xf>
    <xf numFmtId="2" fontId="30" fillId="20" borderId="28" xfId="5" applyNumberFormat="1" applyFont="1" applyFill="1" applyBorder="1"/>
    <xf numFmtId="2" fontId="29" fillId="20" borderId="28" xfId="5" applyNumberFormat="1" applyFont="1" applyFill="1" applyBorder="1"/>
    <xf numFmtId="2" fontId="29" fillId="20" borderId="28" xfId="5" applyNumberFormat="1" applyFont="1" applyFill="1" applyBorder="1" applyAlignment="1">
      <alignment horizontal="right"/>
    </xf>
    <xf numFmtId="2" fontId="29" fillId="20" borderId="29" xfId="5" applyNumberFormat="1" applyFont="1" applyFill="1" applyBorder="1" applyAlignment="1">
      <alignment horizontal="right"/>
    </xf>
    <xf numFmtId="2" fontId="30" fillId="20" borderId="30" xfId="5" applyNumberFormat="1" applyFont="1" applyFill="1" applyBorder="1" applyAlignment="1">
      <alignment horizontal="right" vertical="center" wrapText="1"/>
    </xf>
    <xf numFmtId="2" fontId="30" fillId="20" borderId="31" xfId="5" applyNumberFormat="1" applyFont="1" applyFill="1" applyBorder="1" applyAlignment="1">
      <alignment horizontal="left" vertical="center" wrapText="1"/>
    </xf>
    <xf numFmtId="2" fontId="33" fillId="20" borderId="31" xfId="6" applyNumberFormat="1" applyFont="1" applyFill="1" applyBorder="1" applyAlignment="1">
      <alignment horizontal="left" vertical="center" wrapText="1"/>
    </xf>
    <xf numFmtId="2" fontId="33" fillId="20" borderId="31" xfId="5" applyNumberFormat="1" applyFont="1" applyFill="1" applyBorder="1" applyAlignment="1">
      <alignment horizontal="left" vertical="center" wrapText="1"/>
    </xf>
    <xf numFmtId="2" fontId="32" fillId="20" borderId="31" xfId="5" applyNumberFormat="1" applyFont="1" applyFill="1" applyBorder="1" applyAlignment="1">
      <alignment horizontal="left" vertical="center" wrapText="1"/>
    </xf>
    <xf numFmtId="2" fontId="34" fillId="20" borderId="31" xfId="5" applyNumberFormat="1" applyFont="1" applyFill="1" applyBorder="1" applyAlignment="1">
      <alignment horizontal="right" vertical="center" wrapText="1"/>
    </xf>
    <xf numFmtId="2" fontId="30" fillId="20" borderId="32" xfId="5" applyNumberFormat="1" applyFont="1" applyFill="1" applyBorder="1" applyAlignment="1">
      <alignment horizontal="right" vertical="center" wrapText="1"/>
    </xf>
    <xf numFmtId="0" fontId="25" fillId="0" borderId="0" xfId="5" applyFont="1" applyAlignment="1">
      <alignment horizontal="left"/>
    </xf>
    <xf numFmtId="0" fontId="25" fillId="0" borderId="0" xfId="5" applyFont="1"/>
    <xf numFmtId="2" fontId="30" fillId="20" borderId="19" xfId="5" applyNumberFormat="1" applyFont="1" applyFill="1" applyBorder="1" applyAlignment="1">
      <alignment horizontal="left" vertical="top" wrapText="1"/>
    </xf>
    <xf numFmtId="2" fontId="30" fillId="20" borderId="20" xfId="5" applyNumberFormat="1" applyFont="1" applyFill="1" applyBorder="1" applyAlignment="1">
      <alignment horizontal="left" vertical="center"/>
    </xf>
    <xf numFmtId="2" fontId="30" fillId="20" borderId="21" xfId="5" applyNumberFormat="1" applyFont="1" applyFill="1" applyBorder="1" applyAlignment="1">
      <alignment horizontal="right" vertical="center"/>
    </xf>
    <xf numFmtId="2" fontId="36" fillId="20" borderId="0" xfId="5" applyNumberFormat="1" applyFont="1" applyFill="1" applyAlignment="1">
      <alignment horizontal="right" vertical="center"/>
    </xf>
    <xf numFmtId="2" fontId="29" fillId="20" borderId="22" xfId="5" applyNumberFormat="1" applyFont="1" applyFill="1" applyBorder="1" applyAlignment="1">
      <alignment horizontal="right" vertical="center"/>
    </xf>
    <xf numFmtId="2" fontId="29" fillId="20" borderId="0" xfId="5" applyNumberFormat="1" applyFont="1" applyFill="1" applyAlignment="1">
      <alignment vertical="center"/>
    </xf>
    <xf numFmtId="2" fontId="29" fillId="20" borderId="0" xfId="5" applyNumberFormat="1" applyFont="1" applyFill="1" applyAlignment="1">
      <alignment horizontal="right" vertical="center"/>
    </xf>
    <xf numFmtId="2" fontId="29" fillId="20" borderId="23" xfId="5" applyNumberFormat="1" applyFont="1" applyFill="1" applyBorder="1" applyAlignment="1">
      <alignment horizontal="right" vertical="center"/>
    </xf>
    <xf numFmtId="2" fontId="26" fillId="20" borderId="0" xfId="5" applyNumberFormat="1" applyFont="1" applyFill="1" applyAlignment="1">
      <alignment horizontal="right" vertical="center"/>
    </xf>
    <xf numFmtId="167" fontId="29" fillId="20" borderId="0" xfId="5" applyNumberFormat="1" applyFont="1" applyFill="1" applyAlignment="1">
      <alignment horizontal="left" vertical="center"/>
    </xf>
    <xf numFmtId="2" fontId="30" fillId="20" borderId="22" xfId="5" applyNumberFormat="1" applyFont="1" applyFill="1" applyBorder="1" applyAlignment="1">
      <alignment horizontal="right" vertical="center"/>
    </xf>
    <xf numFmtId="2" fontId="30" fillId="20" borderId="0" xfId="5" applyNumberFormat="1" applyFont="1" applyFill="1" applyAlignment="1">
      <alignment vertical="center"/>
    </xf>
    <xf numFmtId="2" fontId="30" fillId="20" borderId="0" xfId="5" applyNumberFormat="1" applyFont="1" applyFill="1" applyAlignment="1">
      <alignment horizontal="right" vertical="center"/>
    </xf>
    <xf numFmtId="0" fontId="35" fillId="20" borderId="0" xfId="5" applyFont="1" applyFill="1" applyAlignment="1">
      <alignment horizontal="left"/>
    </xf>
    <xf numFmtId="2" fontId="30" fillId="19" borderId="15" xfId="5" applyNumberFormat="1" applyFont="1" applyFill="1" applyBorder="1" applyAlignment="1">
      <alignment horizontal="left" vertical="center"/>
    </xf>
    <xf numFmtId="2" fontId="30" fillId="19" borderId="17" xfId="5" applyNumberFormat="1" applyFont="1" applyFill="1" applyBorder="1" applyAlignment="1">
      <alignment horizontal="left" vertical="center"/>
    </xf>
    <xf numFmtId="2" fontId="29" fillId="19" borderId="17" xfId="5" applyNumberFormat="1" applyFont="1" applyFill="1" applyBorder="1" applyAlignment="1">
      <alignment horizontal="left" vertical="center"/>
    </xf>
    <xf numFmtId="2" fontId="29" fillId="19" borderId="17" xfId="5" quotePrefix="1" applyNumberFormat="1" applyFont="1" applyFill="1" applyBorder="1" applyAlignment="1">
      <alignment horizontal="left" vertical="center"/>
    </xf>
    <xf numFmtId="2" fontId="23" fillId="19" borderId="17" xfId="7" applyNumberFormat="1" applyFill="1" applyBorder="1" applyAlignment="1">
      <alignment horizontal="right" vertical="center"/>
    </xf>
    <xf numFmtId="165" fontId="30" fillId="19" borderId="18" xfId="5" applyNumberFormat="1" applyFont="1" applyFill="1" applyBorder="1" applyAlignment="1">
      <alignment horizontal="right" vertical="center"/>
    </xf>
    <xf numFmtId="0" fontId="25" fillId="20" borderId="0" xfId="5" applyFont="1" applyFill="1" applyAlignment="1">
      <alignment horizontal="left" wrapText="1"/>
    </xf>
    <xf numFmtId="2" fontId="25" fillId="0" borderId="0" xfId="5" applyNumberFormat="1" applyFont="1" applyAlignment="1">
      <alignment horizontal="right"/>
    </xf>
    <xf numFmtId="2" fontId="25" fillId="0" borderId="0" xfId="5" applyNumberFormat="1" applyFont="1"/>
    <xf numFmtId="0" fontId="35" fillId="20" borderId="22" xfId="5" applyFont="1" applyFill="1" applyBorder="1" applyAlignment="1">
      <alignment horizontal="right"/>
    </xf>
    <xf numFmtId="2" fontId="35" fillId="20" borderId="0" xfId="5" applyNumberFormat="1" applyFont="1" applyFill="1"/>
    <xf numFmtId="166" fontId="29" fillId="20" borderId="0" xfId="5" applyNumberFormat="1" applyFont="1" applyFill="1" applyAlignment="1">
      <alignment horizontal="left" vertical="center"/>
    </xf>
    <xf numFmtId="2" fontId="30" fillId="19" borderId="19" xfId="5" applyNumberFormat="1" applyFont="1" applyFill="1" applyBorder="1" applyAlignment="1">
      <alignment horizontal="left" vertical="center" wrapText="1"/>
    </xf>
    <xf numFmtId="2" fontId="30" fillId="19" borderId="20" xfId="5" applyNumberFormat="1" applyFont="1" applyFill="1" applyBorder="1" applyAlignment="1">
      <alignment horizontal="left" vertical="center" wrapText="1"/>
    </xf>
    <xf numFmtId="2" fontId="30" fillId="19" borderId="21" xfId="5" applyNumberFormat="1" applyFont="1" applyFill="1" applyBorder="1" applyAlignment="1">
      <alignment horizontal="right" vertical="center" wrapText="1"/>
    </xf>
    <xf numFmtId="0" fontId="11" fillId="11" borderId="1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15" fillId="14" borderId="0" xfId="0" applyFont="1" applyFill="1" applyAlignment="1">
      <alignment horizontal="left" vertical="top" wrapText="1"/>
    </xf>
    <xf numFmtId="0" fontId="16" fillId="15" borderId="0" xfId="0" applyFont="1" applyFill="1" applyAlignment="1">
      <alignment horizontal="right" vertical="top" wrapText="1"/>
    </xf>
    <xf numFmtId="0" fontId="3" fillId="3" borderId="0" xfId="0" applyFont="1" applyFill="1" applyAlignment="1">
      <alignment horizontal="center" wrapText="1"/>
    </xf>
    <xf numFmtId="0" fontId="0" fillId="0" borderId="0" xfId="0"/>
    <xf numFmtId="0" fontId="10" fillId="14" borderId="0" xfId="0" applyFont="1" applyFill="1" applyAlignment="1">
      <alignment horizontal="left" vertical="top" wrapText="1"/>
    </xf>
    <xf numFmtId="2" fontId="30" fillId="20" borderId="25" xfId="5" applyNumberFormat="1" applyFont="1" applyFill="1" applyBorder="1" applyAlignment="1">
      <alignment horizontal="left" vertical="center" wrapText="1"/>
    </xf>
    <xf numFmtId="2" fontId="30" fillId="22" borderId="20" xfId="5" applyNumberFormat="1" applyFont="1" applyFill="1" applyBorder="1" applyAlignment="1">
      <alignment horizontal="left" vertical="center" wrapText="1"/>
    </xf>
    <xf numFmtId="2" fontId="30" fillId="20" borderId="20" xfId="5" applyNumberFormat="1" applyFont="1" applyFill="1" applyBorder="1" applyAlignment="1">
      <alignment horizontal="left" vertical="center" wrapText="1"/>
    </xf>
    <xf numFmtId="0" fontId="27" fillId="20" borderId="12" xfId="5" applyFont="1" applyFill="1" applyBorder="1" applyAlignment="1">
      <alignment horizontal="center" vertical="center"/>
    </xf>
    <xf numFmtId="0" fontId="27" fillId="20" borderId="13" xfId="5" applyFont="1" applyFill="1" applyBorder="1" applyAlignment="1">
      <alignment horizontal="center" vertical="center"/>
    </xf>
    <xf numFmtId="0" fontId="27" fillId="20" borderId="14" xfId="5" applyFont="1" applyFill="1" applyBorder="1" applyAlignment="1">
      <alignment horizontal="center" vertical="center"/>
    </xf>
    <xf numFmtId="2" fontId="30" fillId="21" borderId="16" xfId="5" applyNumberFormat="1" applyFont="1" applyFill="1" applyBorder="1" applyAlignment="1">
      <alignment horizontal="left" vertical="center" wrapText="1"/>
    </xf>
    <xf numFmtId="2" fontId="30" fillId="19" borderId="20" xfId="5" applyNumberFormat="1" applyFont="1" applyFill="1" applyBorder="1" applyAlignment="1">
      <alignment horizontal="left" vertical="center" wrapText="1"/>
    </xf>
  </cellXfs>
  <cellStyles count="9">
    <cellStyle name="Moeda" xfId="1" builtinId="4"/>
    <cellStyle name="Moeda 2" xfId="8" xr:uid="{65C17197-1485-433F-B068-3EA3197992B3}"/>
    <cellStyle name="Normal" xfId="0" builtinId="0"/>
    <cellStyle name="Normal 2" xfId="3" xr:uid="{1DE39C4A-D39D-48B1-B185-33166C59B4E9}"/>
    <cellStyle name="Normal 2 2" xfId="5" xr:uid="{50E343F5-9191-41F8-BD9A-C45696FC993E}"/>
    <cellStyle name="Normal 2 2 2" xfId="7" xr:uid="{1C298692-2183-4C3E-A823-05FE99388E05}"/>
    <cellStyle name="Normal 3 2" xfId="4" xr:uid="{3668E155-07AC-4915-99EE-EB8875DDC826}"/>
    <cellStyle name="Separador de milhares 2" xfId="2" xr:uid="{9E205ADD-B67B-4A14-8ADE-9139BD7EC150}"/>
    <cellStyle name="Vírgula 2" xfId="6" xr:uid="{3C9D8728-DED8-4B5E-BA4A-9B1A9774C8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Orlando/001%20-%20SECREM_Orlando_2015_10_15/ITALO%20PORTELA/GALERIAS/PE%2031/2019/02_Planilha_Com_BDI%20-%201&#170;%20etapa-XL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Serra%20Talhada\My%20Documents\Obras\Serra%20Talhada\OBRAS\BR_316\PTRAB\PTrab89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adj\c\Ten%20Reginaldo\OBRAS\BR-316\OBRAS\BR_316\PTRAB\PTrab8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My%20Documents\Obras\BR-316%20300.000\OBRAS\BR_316\PTRAB\PTrab89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3\drive_c\Ptrabconv\OBRAS\BR_316\PTRAB\OBRAS\BR_316\PTRAB\PTrab89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OJO\pca\ARQUIVOS_PROJETOS\PROJETO_PONTE%20S&#195;O%20F&#201;LIX_MA\PATO%20BR-262%20-%202017%20-%20N&#195;O%20DESONERADO_30_05_1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tec_oca\drive%20c\PTRAB\modelo\fichas%20de%20composicao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ClaudioFerreira\Excel\OR96088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Indices"/>
      <sheetName val="AUX."/>
      <sheetName val="Real"/>
      <sheetName val="Calendário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dez00"/>
      <sheetName val="DG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SERVIÇOS"/>
      <sheetName val="Teor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PLANILHA"/>
      <sheetName val="CPU-HYDROS"/>
      <sheetName val="CPU-SICRO"/>
      <sheetName val="CPU-ORSE"/>
      <sheetName val="CPU-EXTRAS"/>
      <sheetName val="CPU-SEINFRA"/>
      <sheetName val="ADM-ETAPA1"/>
      <sheetName val="INSUMOS DIV"/>
      <sheetName val="Material escritório"/>
      <sheetName val="Material limpeza"/>
      <sheetName val="CPADM-ETAPA2"/>
      <sheetName val="MOB-ETAPA1"/>
      <sheetName val="DES-ETAPA1"/>
      <sheetName val="BDI-serv"/>
      <sheetName val="BDI-mat"/>
      <sheetName val="Enc-C-D"/>
      <sheetName val="BDI (DADOS) "/>
      <sheetName val="SERVIÇOS-01-19"/>
      <sheetName val="INSUMOS-01-19"/>
      <sheetName val="ORSE-01-19"/>
      <sheetName val="SICRO-EQUIP-10-18"/>
      <sheetName val="SICRO-MO-10-18"/>
      <sheetName val="SICRO-MAT-10-18"/>
      <sheetName val="SEINFRA-11-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2">
          <cell r="H22" t="str">
            <v>COM DESONERAÇÃO</v>
          </cell>
        </row>
        <row r="72">
          <cell r="C72" t="str">
            <v>A CPRB - Contribuição Previdenciária sobre a Receita Bruta, deverá ser acrescida ao final, após a verificação do limite permitido entre o mínimo e o máximo, regido pelo ACÓRDÃO n° 2622/2013 do TCU - Plenário (conforme tabela acima).</v>
          </cell>
        </row>
        <row r="73">
          <cell r="C73" t="str">
            <v xml:space="preserve">Os tributos IRPJ e CSLL não devem integrar o cálculo do BDI, nem tampouco a planilha de custo direto, por se constituírem em tributos de natureza direta e personalística, que oneram pessoalmente o contratado, não devendo o ônus tributário ser repassado a </v>
          </cell>
        </row>
        <row r="74">
          <cell r="C74" t="str">
            <v>Foi inserido nos tributos a Contribuição Previdênciária sobre a Receita Bruta - CPRB de 4,50% de acordo com a Lei nº 12.844/13, alterada pela Lei nº 13.161/15 e Acórdão 2293-TCU-Plenário.</v>
          </cell>
        </row>
        <row r="75">
          <cell r="C75" t="str">
            <v>A Administração Local deverá ser discriminada na planilha de custos diretos com os percentuais regido pelo ACÓRDÃO nº 2622/2013 do TCU - Plenário conforme a tabela abaixo para CONSTRUÇÃO DE REDES DE ABASTECIMENTO DE ÁGUA, COLETA DE ESGOTO E CONSTRUÇÕES CO</v>
          </cell>
        </row>
      </sheetData>
      <sheetData sheetId="15">
        <row r="22">
          <cell r="I22">
            <v>0.20929999999999999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Cálculo"/>
      <sheetName val="Preços"/>
      <sheetName val="Desp. Apoio"/>
      <sheetName val="memória de calculo_liquida"/>
      <sheetName val="Proposta"/>
      <sheetName val="Carimbo de Nota"/>
      <sheetName val="P3"/>
      <sheetName val="PLANILHA ATUALIZADA"/>
      <sheetName val="Auxiliar"/>
      <sheetName val="Fresagem de Pista Ago-98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RELATA"/>
      <sheetName val="Custo_do_CM-30"/>
      <sheetName val="memória_de_calculo_liquida"/>
      <sheetName val="Quadro_+_Gráfico"/>
      <sheetName val="Desp__Apoio"/>
      <sheetName val="CRON.NOVO.ARIPUANA"/>
      <sheetName val="Tela"/>
      <sheetName val="Atualizacao"/>
      <sheetName val="Chuvas"/>
      <sheetName val="Medição"/>
      <sheetName val="COMPOS1"/>
      <sheetName val="Conc 20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PRO_08"/>
      <sheetName val="RESUMO_AUT1"/>
      <sheetName val="Custo da Imprimação"/>
      <sheetName val="Custo da Pintura de Ligação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Plan1"/>
      <sheetName val="Plan2"/>
      <sheetName val="Plan3"/>
      <sheetName val="PRO-08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Gráf1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Custo horário Eqp Vtr"/>
      <sheetName val="Capa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  <sheetName val="orç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ação manual"/>
      <sheetName val="Compact 95%"/>
      <sheetName val="Compact 100% 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Regul subleito"/>
      <sheetName val="Subbase de solo est."/>
      <sheetName val="Base de solo est. "/>
      <sheetName val="Limp Cam Veg"/>
      <sheetName val="Expurgo de jazida (aux)"/>
      <sheetName val="EC mat jazida (aux)"/>
      <sheetName val="Imprimação"/>
      <sheetName val="TSS"/>
      <sheetName val="TSD"/>
      <sheetName val="Transp Mat jaz"/>
      <sheetName val="Transp de brita"/>
      <sheetName val="Sarjeta STC05"/>
      <sheetName val="Sarjeta STC 02"/>
      <sheetName val="Concreto 12MPa Conf Lanc (aux)"/>
      <sheetName val="Esc. man. vala mat 1a cat (aux)"/>
      <sheetName val="Dreno longitudinal DPS"/>
      <sheetName val="Boca de Saida BSD 01"/>
      <sheetName val="Boca de Saida BSD 03"/>
      <sheetName val="Valeta VPC-03"/>
      <sheetName val="Meio Fio "/>
      <sheetName val="Concreto 10MPa Conf Lanc  (aux)"/>
      <sheetName val="Concreto 15MPa Conf Lanc (aux)"/>
      <sheetName val="Descida d´água DAD 01"/>
      <sheetName val="Descida d´água DAR 02"/>
      <sheetName val="Compactação manual (aux)"/>
      <sheetName val="Entrada dágua  EDA01"/>
      <sheetName val="Entrada dágua  EDA02"/>
      <sheetName val="Dissip energia DES 01"/>
      <sheetName val="Dissip energia DES 02"/>
      <sheetName val="Alvenaria pedra argamass"/>
      <sheetName val="Argamassa ci_ar"/>
      <sheetName val="Cx colet sarjeta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Escoramento de Bueiro cel."/>
      <sheetName val="Conf e lanç conc magro (aux)"/>
      <sheetName val="Concreto cicl. 12MPa (aux)"/>
      <sheetName val="BDCC 2,0x2,0 m 1,0 a 2,5 m"/>
      <sheetName val="Boca BDCC 2,0x2,0 m"/>
      <sheetName val="BTCC 2,0x2,0 m 1,0 a 2,5 m"/>
      <sheetName val="Boca BTCC 2,0x2,0 m"/>
      <sheetName val="Pintura faixa"/>
      <sheetName val="Pintura setas e zeb"/>
      <sheetName val="Tacha reflet"/>
      <sheetName val="Enleivamento"/>
      <sheetName val="Cerca arame"/>
      <sheetName val="Defensa dupla"/>
      <sheetName val="Passeio concreto"/>
      <sheetName val="Revest veg c mudas"/>
      <sheetName val="Revest veg c grama leiva"/>
      <sheetName val="Plantio arbustos"/>
      <sheetName val="Regul mec faixa dom"/>
      <sheetName val="Alv pedra arrum"/>
      <sheetName val="Forn prep coloc forma CA-50"/>
      <sheetName val="Fôrma comum de madeira"/>
      <sheetName val="Fôrma de placa resinada"/>
      <sheetName val="pasta"/>
      <sheetName val="doc1"/>
      <sheetName val="doc2"/>
      <sheetName val="doc3"/>
      <sheetName val="doc4 "/>
      <sheetName val="rff"/>
      <sheetName val="carimbo "/>
      <sheetName val="oog - faze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"/>
      <sheetName val="Prog_Sv"/>
      <sheetName val="mem"/>
      <sheetName val="MG"/>
      <sheetName val="GAL"/>
      <sheetName val="pf"/>
      <sheetName val="TB"/>
      <sheetName val="00-01"/>
      <sheetName val="07-15"/>
      <sheetName val="ev"/>
      <sheetName val="RotMRosa"/>
      <sheetName val="RotKm07"/>
      <sheetName val="Pontes"/>
      <sheetName val="mfc10x30cm"/>
      <sheetName val="pntcobra"/>
      <sheetName val="pntmarc"/>
      <sheetName val="pntpaul"/>
      <sheetName val="C-Mat E TRP"/>
      <sheetName val="limp-SMF"/>
      <sheetName val="corpbstc"/>
      <sheetName val="escmatjaz"/>
      <sheetName val="comp95"/>
      <sheetName val="regsubl"/>
      <sheetName val="sbase"/>
      <sheetName val="conc10mpa"/>
      <sheetName val="conc12mpa"/>
      <sheetName val="conc15mpa"/>
      <sheetName val="base"/>
      <sheetName val="solobase"/>
      <sheetName val="rempav"/>
      <sheetName val="stc01"/>
      <sheetName val="caiação"/>
      <sheetName val="remprof"/>
      <sheetName val="recrevaauq"/>
      <sheetName val="dar01"/>
      <sheetName val="pintura"/>
      <sheetName val="mfc05"/>
      <sheetName val="impri"/>
      <sheetName val="mistaauq"/>
      <sheetName val="reatcompbu"/>
      <sheetName val="esccav1ª"/>
      <sheetName val="clp03"/>
      <sheetName val="dar02"/>
      <sheetName val="clp01"/>
      <sheetName val="alvparg"/>
      <sheetName val="alvtij"/>
      <sheetName val="demdispconc"/>
      <sheetName val="AAUF"/>
      <sheetName val="tapbur"/>
      <sheetName val="recmecater"/>
      <sheetName val="CAPA_RELAT"/>
      <sheetName val="Pl_Res_Aprop"/>
      <sheetName val="Pl_C_Aprop_período SEDE"/>
      <sheetName val="Pl_C_Aprop_acumul SEDE"/>
      <sheetName val="Pl_C_Aprop_período NATAL"/>
      <sheetName val="Pl_C_Aprop_acumul NATAL"/>
      <sheetName val="Pl_C_Aprop_período S. LUIS"/>
      <sheetName val="Pl_C_Aprop_acumul S. LUIS"/>
      <sheetName val="Comb_Atual"/>
      <sheetName val="Comb_Acum"/>
      <sheetName val="Res-EqpVtr_ Atual"/>
      <sheetName val="Fich_Cont_ Desp_Eqp "/>
      <sheetName val="Tab_C_Eqp_Atual"/>
      <sheetName val="Tab_C_Eqp_Acum"/>
      <sheetName val="Comb_Ant"/>
      <sheetName val="Tab_C_ME_ MO"/>
      <sheetName val="Res-EqpVtr_ anterior"/>
      <sheetName val="Res_EqpVtr_Acum"/>
      <sheetName val="Gráf1"/>
      <sheetName val="Custo horário Eqp Vtr"/>
      <sheetName val="pasta"/>
      <sheetName val="capa"/>
      <sheetName val="doc1"/>
      <sheetName val="doc2"/>
      <sheetName val="doc3"/>
      <sheetName val="doc4 "/>
      <sheetName val="rff"/>
      <sheetName val="carimbo "/>
      <sheetName val="oog - fazer "/>
      <sheetName val="Doc 01"/>
      <sheetName val="Doc 02"/>
      <sheetName val="Doc 03"/>
      <sheetName val="Doc 04"/>
      <sheetName val="F Rosto"/>
      <sheetName val="OOG"/>
      <sheetName val="Cust_Hor_Eqp_Vtr"/>
      <sheetName val="Custo de materiais"/>
      <sheetName val="custo de mão-de-obra"/>
      <sheetName val="M C R E Desp Pessoal"/>
      <sheetName val="M C R E Insumos objeto"/>
      <sheetName val="M C R E Manutenção"/>
      <sheetName val="M C R E Renovação da Frota"/>
      <sheetName val="M C R E Desp Indiretas"/>
      <sheetName val="Memo Cal Combs"/>
      <sheetName val="Dim das Eqps"/>
      <sheetName val="Cron Obra"/>
      <sheetName val="Dim Pessoal"/>
      <sheetName val="M C R ETerceirização"/>
      <sheetName val="MC Mâo O. Suplem"/>
      <sheetName val="Mem Calc Desp Estimadas"/>
      <sheetName val="Dim Eqp Vtr"/>
      <sheetName val="Cron Pessoal"/>
      <sheetName val="Cron EqpVtr"/>
      <sheetName val="Cron Material"/>
      <sheetName val="Cro Fis-F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IS"/>
      <sheetName val="EQUIPAMENTOS"/>
      <sheetName val="MAO-DE-OBRA"/>
      <sheetName val="DADOS_NAO_IMPRIMIR"/>
      <sheetName val="Dados Edital"/>
      <sheetName val="CAPA"/>
      <sheetName val="INVENTÁRIO "/>
      <sheetName val="BDI DES."/>
      <sheetName val="BDI N. DES."/>
      <sheetName val="Serviços"/>
      <sheetName val="Cronograma 1º"/>
      <sheetName val="Memória Justificativa"/>
      <sheetName val="REC. REV."/>
      <sheetName val="REC. ACOSTAMENTO"/>
      <sheetName val="CURVA ABC"/>
      <sheetName val="ORÇAMENTO"/>
      <sheetName val="ORÇAMENTO ZERO"/>
      <sheetName val="Transp L. &amp; Com."/>
      <sheetName val="TLCB5"/>
      <sheetName val="TLMR"/>
      <sheetName val="TLCB10"/>
      <sheetName val="TLCC4"/>
      <sheetName val="TCCB10"/>
      <sheetName val="TCCC "/>
      <sheetName val="Quadro res. transp."/>
      <sheetName val="CROQUI "/>
      <sheetName val="AQ.TRANSP_MB"/>
      <sheetName val="FÓRM. TRANS"/>
      <sheetName val="CÁLC. TRANS."/>
      <sheetName val="Calc. pedágio"/>
      <sheetName val="MB VIAB."/>
      <sheetName val="Unit MB"/>
      <sheetName val="Estudo Comparativo"/>
      <sheetName val="MOB_canteiro"/>
      <sheetName val="Instalação"/>
      <sheetName val="Mobiliz."/>
      <sheetName val="PREV. --&gt;"/>
      <sheetName val="CONSERVA ROTINEIRA --&gt;"/>
      <sheetName val="Composições"/>
      <sheetName val="MAT.BET"/>
      <sheetName val="MBUQ"/>
      <sheetName val="MICRO 1.5"/>
      <sheetName val="MICRO1.5"/>
      <sheetName val="REAT. APILOADO"/>
      <sheetName val="SOLO MELHORADO"/>
      <sheetName val="PINT.LIG."/>
      <sheetName val="LIMP.PONTE"/>
      <sheetName val="REC.REV."/>
      <sheetName val="REM.PROF.MAN."/>
      <sheetName val="CAPA SEL"/>
      <sheetName val="REM.PROF.MEC"/>
      <sheetName val="TAPA.BUR.SERRA"/>
      <sheetName val="SEL.TRINCA"/>
      <sheetName val="CORR.MBUQ"/>
      <sheetName val="REP.CBUQ"/>
      <sheetName val="REC. G.C."/>
      <sheetName val="CORR.FRES.DESC."/>
      <sheetName val="LIMP.SARJ.MF."/>
      <sheetName val="LIMP.VALA.CORTE"/>
      <sheetName val="LIMP.VALA.DREN."/>
      <sheetName val="LIMP.DESCIDA"/>
      <sheetName val="LIMP.BUEIRO"/>
      <sheetName val="DESOB.BUEIRO"/>
      <sheetName val="CAIÇÃO"/>
      <sheetName val="R.M.SIN.H."/>
      <sheetName val="REC.CERCA"/>
      <sheetName val="ROC.MAN"/>
      <sheetName val="ROC.MEC"/>
      <sheetName val="ROC.COLONHÃO"/>
      <sheetName val="CORT.AREA.GRAMA"/>
      <sheetName val="CAP.MAN"/>
      <sheetName val="Dest.arv.D=0,15a0,30m"/>
      <sheetName val="Dest.arv.D=&gt;0,30m"/>
      <sheetName val="FRES.DESC."/>
      <sheetName val="CONS. EMERG --&gt;"/>
      <sheetName val="TSS"/>
      <sheetName val="REC.CAM.GRA"/>
      <sheetName val="SOLO BRITA"/>
      <sheetName val="REC.MAN.ATERRO"/>
      <sheetName val="REC.MEC.ATERRO"/>
      <sheetName val="DRENO.SUB"/>
      <sheetName val="OBRAS MELHORAM --&gt;"/>
      <sheetName val="ENROC.PEDRA.ARR."/>
      <sheetName val="ENROC.PEDRA.JOG."/>
      <sheetName val="TUBO.60"/>
      <sheetName val="TUBO.80"/>
      <sheetName val="REV.VEG."/>
      <sheetName val="SERVIÇOS AUX --&gt;"/>
      <sheetName val="CONCRETO.CICLO"/>
      <sheetName val="CONCRETO.ACBC"/>
      <sheetName val="DOB.COL.ARM."/>
      <sheetName val="FORMA.MAD."/>
      <sheetName val="REAT.COMP.BUEIRO"/>
      <sheetName val="ESC.MAN.1ªCAT"/>
      <sheetName val="ESC.MEC.1ªCAT"/>
      <sheetName val="DIVIS (4)"/>
      <sheetName val="AUXILIARES"/>
      <sheetName val="Usinagem Micro"/>
      <sheetName val="TRANSPORTE"/>
      <sheetName val="ADM"/>
      <sheetName val="Modelo"/>
      <sheetName val="SINALIZ"/>
      <sheetName val="Desm. dest. limpeza"/>
      <sheetName val="Esc. Mat 1a-50m"/>
      <sheetName val="Esc. Mat 1a-50-200m"/>
      <sheetName val="Esc. Mat 1a-3000-5000m"/>
      <sheetName val="Proctor 95%"/>
      <sheetName val="Proctor 100%"/>
      <sheetName val="RegulaSubl"/>
      <sheetName val="Rem.rev.bet. "/>
      <sheetName val="Rem.cam.gran."/>
      <sheetName val="Sub-sem mistura"/>
      <sheetName val="Sub-solocim"/>
      <sheetName val="Usinagem Solomelhorcim"/>
      <sheetName val="Base SoloCim"/>
      <sheetName val="Usinagem Solocim"/>
      <sheetName val="Base SoloSeixo"/>
      <sheetName val="IMPRIMAÇÃO"/>
      <sheetName val="CBUQ-Faixa&quot;C&quot;"/>
      <sheetName val="Usinagem CBUQ-C"/>
      <sheetName val="CBUQ-Faixa&quot;B&quot;"/>
      <sheetName val="Usinagem CBUQ-B"/>
      <sheetName val="MFC 03"/>
      <sheetName val="MFC 05"/>
      <sheetName val="DAR 02"/>
      <sheetName val="EDA 01"/>
      <sheetName val="PINT.FAIXA.TERMO"/>
      <sheetName val="PINT.SETAS.TERMO"/>
      <sheetName val="TACHA.MONO"/>
      <sheetName val="TACHAO.BI"/>
      <sheetName val="PLACA"/>
      <sheetName val="EDA 02"/>
      <sheetName val="SCC 03"/>
      <sheetName val="DIVIS (6)"/>
      <sheetName val="RESU.SERV"/>
      <sheetName val="Plan1"/>
      <sheetName val="cotacao materiais NASul"/>
      <sheetName val="Pedreirias"/>
      <sheetName val="MUDANÇAS"/>
    </sheetNames>
    <sheetDataSet>
      <sheetData sheetId="0"/>
      <sheetData sheetId="1"/>
      <sheetData sheetId="2"/>
      <sheetData sheetId="3">
        <row r="8">
          <cell r="B8" t="str">
            <v>BR-262/MS/SP</v>
          </cell>
        </row>
        <row r="9">
          <cell r="B9" t="str">
            <v>Div. SP/MS (Início travessia rio Paraná) - Fronteira Brasil/Bolívia</v>
          </cell>
        </row>
        <row r="10">
          <cell r="B10" t="str">
            <v>Div. SP/MS (Início travessia rio Paraná) - Entr.º MS 338 p/ Santa Rita do Pardo e BR-262/SP segmento km 318,7 ao 322,148 (Acesso a ponte rodoviária lado SP)</v>
          </cell>
        </row>
        <row r="11">
          <cell r="B11" t="str">
            <v>Km 0,00 ao km 191,2 (MS) e Km 318,70 ao Km 322,148 (SP)</v>
          </cell>
        </row>
        <row r="12">
          <cell r="B12">
            <v>194.648</v>
          </cell>
        </row>
        <row r="42">
          <cell r="E42" t="str">
            <v>NOV/2016</v>
          </cell>
        </row>
        <row r="43">
          <cell r="E43">
            <v>42880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comp1"/>
      <sheetName val="comp2"/>
      <sheetName val="comp3"/>
      <sheetName val="comp4"/>
      <sheetName val="comp5"/>
      <sheetName val="comp6"/>
      <sheetName val="comp7"/>
      <sheetName val="comp8"/>
      <sheetName val="comp9"/>
      <sheetName val="comp10"/>
      <sheetName val="Pontes"/>
      <sheetName val="orç"/>
      <sheetName val="Cust_Hor_Eqp_Vtr"/>
      <sheetName val="Custo de materiais"/>
      <sheetName val="custo de mão-de-obra"/>
      <sheetName val="Distancias trecho 1"/>
      <sheetName val="TRANSPORTES trecho 1"/>
      <sheetName val="Distancias trecho 2"/>
      <sheetName val="TRANSPORTES trecho 2"/>
      <sheetName val="Distancia trecho 3"/>
      <sheetName val="TRANSPORTES trecho 3"/>
      <sheetName val="Mem Cálc mob_desmob"/>
      <sheetName val="Desmat"/>
      <sheetName val="Esc. carga transp 1ª cat 50 m"/>
      <sheetName val="ECT 200&lt;DMT&lt;400"/>
      <sheetName val="ECT 1800&lt;DMT&lt;2000"/>
      <sheetName val="ECT 2000&lt;DMT&lt;3000"/>
      <sheetName val="ECT 3000&lt;DMT&lt;5000"/>
      <sheetName val="Compact 95%"/>
      <sheetName val="Compact 100% "/>
      <sheetName val="Regul subleito"/>
      <sheetName val="Subbase de solo est."/>
      <sheetName val="Limp Cam Veg"/>
      <sheetName val="Expurgo de jazida (aux)"/>
      <sheetName val="EC mat jazida (aux)"/>
      <sheetName val="Base de solo est. "/>
      <sheetName val="EC mat jazida (aux) (3)"/>
      <sheetName val="Limp Cam Veg (2)"/>
      <sheetName val="Expurgo de jazida (aux) (2)"/>
      <sheetName val="EC mat jazida (aux) (2)"/>
      <sheetName val="Imprimação"/>
      <sheetName val="TSS"/>
      <sheetName val="TSD"/>
      <sheetName val="Transp Mat jaz"/>
      <sheetName val="Transp de brita"/>
      <sheetName val="Sarjeta STC05"/>
      <sheetName val="Dreno longitudinal DPS"/>
      <sheetName val="Boca de Saida BSD 03"/>
      <sheetName val="Meio Fio "/>
      <sheetName val="Descida d´água DAR 02"/>
      <sheetName val="Compactação manual (aux)"/>
      <sheetName val="Esc. man. vala mat 1a cat (aux)"/>
      <sheetName val="Entrada dágua  EDA02"/>
      <sheetName val="Dissip energia DES 01"/>
      <sheetName val="Dissip energia DES 02"/>
      <sheetName val="Alvenaria pedra argamass"/>
      <sheetName val="BSTC 0,80 m"/>
      <sheetName val="Dente p_ bueiro s 0,80m"/>
      <sheetName val="Boca BSTC 0,80 m"/>
      <sheetName val="BSTC 1m"/>
      <sheetName val="Dente p_ bueiro s 1,00m"/>
      <sheetName val="BocaBSTC 1m "/>
      <sheetName val="BDTC 1m"/>
      <sheetName val="Dente p_ bueiro d 1,00m"/>
      <sheetName val="Boca BDTC 1m"/>
      <sheetName val="BTTC 1m"/>
      <sheetName val="Dente p_ bueiro T 1,00m"/>
      <sheetName val="Boca BTTC 1m"/>
      <sheetName val="BDCC 1,5x1,5 m"/>
      <sheetName val="Boca BDCC 1,5x1,5"/>
      <sheetName val="BTCC 1,5 x 1,5"/>
      <sheetName val="Boca BTCC 1,5x1,5 m "/>
      <sheetName val="Argamassa ci_ar"/>
      <sheetName val="Escoramento de Bueiro cel."/>
      <sheetName val="Conf e lanç conc magro (aux)"/>
      <sheetName val="Concreto 10MPa Conf Lanc  (aux)"/>
      <sheetName val="Concreto cicl. 12MPa (aux)"/>
      <sheetName val="Concreto 12MPa Conf Lanc (aux)"/>
      <sheetName val="Concreto 15MPa Conf Lanc (aux)"/>
      <sheetName val="Pintura faixa"/>
      <sheetName val="Pintura setas e zeb"/>
      <sheetName val="Tacha reflet"/>
      <sheetName val="Enleivamento"/>
      <sheetName val="Cerca arame"/>
      <sheetName val="Defensa dupla"/>
      <sheetName val="Caiação"/>
      <sheetName val="Passeio concreto"/>
      <sheetName val="Plantio arbustos"/>
      <sheetName val="Revest veg c grama leiva"/>
      <sheetName val="Revest veg c mudas"/>
      <sheetName val="Regul mec faixa dom"/>
      <sheetName val="ECT 50&lt;DMT&lt;200 escv"/>
      <sheetName val="ECT 200&lt;DMT&lt;400 escv"/>
      <sheetName val="ECT 400&lt;DMT&lt;600 escv"/>
      <sheetName val="ECT 600&lt;DMT&lt;800 escv"/>
      <sheetName val="ECT 1000&lt;DMT&lt;1200 escv"/>
      <sheetName val="ECT 800&lt;DMT&lt;1000 escv"/>
      <sheetName val="ECT 1200&lt;DMT&lt;1400 escv"/>
      <sheetName val="ECT 50&lt;DMT&lt;200 mat 2 cat escv"/>
      <sheetName val="ECT 50&lt;DMT&lt;200 mat 3 cat"/>
      <sheetName val="Compactação manual"/>
      <sheetName val="Boca de Saida BSD 01"/>
      <sheetName val="Valeta VPC-03"/>
      <sheetName val="Entrada dágua  EDA01"/>
      <sheetName val="Descida d´água DAD 01"/>
      <sheetName val="Sarjeta STC 02"/>
      <sheetName val="Cx colet sarjeta"/>
      <sheetName val="Alv pedra arrum"/>
      <sheetName val="BDCC 2,0x2,0 m 1,0 a 2,5 m"/>
      <sheetName val="BTCC 2,0x2,0 m 1,0 a 2,5 m"/>
      <sheetName val="Boca BDCC 2,0x2,0 m"/>
      <sheetName val="Boca BTCC 2,0x2,0 m"/>
      <sheetName val="Forn prep coloc forma CA-50"/>
      <sheetName val="Fôrma comum de madeira"/>
      <sheetName val="Fôrma de placa resinada"/>
      <sheetName val="Transp comer cimento rod pav"/>
      <sheetName val="Transp comer cimento rod n pa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comp1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SIIG 2010-Jun"/>
      <sheetName val="Estimativa"/>
      <sheetName val="DG"/>
      <sheetName val="Materiais Betuminosos"/>
      <sheetName val="Qd05 Preço"/>
      <sheetName val="Qd06"/>
      <sheetName val="LOTE 6"/>
      <sheetName val="OR960887.XLS"/>
      <sheetName val="Acumulado"/>
      <sheetName val="RELATA VÉIO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SCEGERAL"/>
      <sheetName val="Planilha"/>
      <sheetName val="Anexos_PGQ"/>
      <sheetName val="Page 1"/>
      <sheetName val="CRECHES"/>
      <sheetName val="MOBILIZ-CANTEIRO"/>
      <sheetName val="PQ"/>
      <sheetName val="8ª MP_BR_459"/>
      <sheetName val="PROJETO"/>
      <sheetName val="qorcamentodnerL1"/>
      <sheetName val="Medição"/>
      <sheetName val="INVENTÁRIO"/>
      <sheetName val="DRANPX14"/>
      <sheetName val="Resumo"/>
      <sheetName val="DG"/>
      <sheetName val="RESUMO_AUT1"/>
      <sheetName val="PT"/>
      <sheetName val="Plan1"/>
      <sheetName val="Mão de Obra"/>
      <sheetName val="Quadro G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9BAB-3DD9-45CF-B323-741ADEC87DB4}">
  <sheetPr>
    <pageSetUpPr fitToPage="1"/>
  </sheetPr>
  <dimension ref="A1:H40"/>
  <sheetViews>
    <sheetView tabSelected="1" view="pageBreakPreview" zoomScale="115" zoomScaleNormal="100" zoomScaleSheetLayoutView="115" workbookViewId="0">
      <selection activeCell="D2" sqref="D2"/>
    </sheetView>
  </sheetViews>
  <sheetFormatPr defaultRowHeight="14.25" x14ac:dyDescent="0.2"/>
  <cols>
    <col min="1" max="1" width="5.875" customWidth="1"/>
    <col min="2" max="2" width="10" bestFit="1" customWidth="1"/>
    <col min="3" max="3" width="13.25" bestFit="1" customWidth="1"/>
    <col min="4" max="4" width="44.375" customWidth="1"/>
    <col min="5" max="5" width="8" bestFit="1" customWidth="1"/>
    <col min="6" max="6" width="7.125" bestFit="1" customWidth="1"/>
    <col min="7" max="7" width="9.5" bestFit="1" customWidth="1"/>
    <col min="8" max="8" width="13.875" bestFit="1" customWidth="1"/>
  </cols>
  <sheetData>
    <row r="1" spans="1:8" ht="30" x14ac:dyDescent="0.2">
      <c r="A1" s="1"/>
      <c r="B1" s="1"/>
      <c r="C1" s="1"/>
      <c r="D1" s="1" t="s">
        <v>0</v>
      </c>
      <c r="E1" s="130" t="s">
        <v>1</v>
      </c>
      <c r="F1" s="130"/>
      <c r="G1" s="1" t="s">
        <v>2</v>
      </c>
      <c r="H1" s="1" t="s">
        <v>3</v>
      </c>
    </row>
    <row r="2" spans="1:8" ht="132.75" customHeight="1" x14ac:dyDescent="0.2">
      <c r="A2" s="12"/>
      <c r="B2" s="12"/>
      <c r="C2" s="12"/>
      <c r="D2" s="16" t="s">
        <v>187</v>
      </c>
      <c r="E2" s="131" t="s">
        <v>4</v>
      </c>
      <c r="F2" s="131"/>
      <c r="G2" s="12" t="s">
        <v>5</v>
      </c>
      <c r="H2" s="12" t="s">
        <v>6</v>
      </c>
    </row>
    <row r="3" spans="1:8" ht="15" x14ac:dyDescent="0.25">
      <c r="A3" s="133" t="s">
        <v>7</v>
      </c>
      <c r="B3" s="134"/>
      <c r="C3" s="134"/>
      <c r="D3" s="134"/>
      <c r="E3" s="134"/>
      <c r="F3" s="134"/>
      <c r="G3" s="134"/>
      <c r="H3" s="134"/>
    </row>
    <row r="4" spans="1:8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</row>
    <row r="5" spans="1:8" ht="24" customHeight="1" x14ac:dyDescent="0.2">
      <c r="A5" s="5" t="s">
        <v>16</v>
      </c>
      <c r="B5" s="5"/>
      <c r="C5" s="5"/>
      <c r="D5" s="5" t="s">
        <v>17</v>
      </c>
      <c r="E5" s="5"/>
      <c r="F5" s="6"/>
      <c r="G5" s="5"/>
      <c r="H5" s="7">
        <f>H6+H12</f>
        <v>214623.58000000002</v>
      </c>
    </row>
    <row r="6" spans="1:8" ht="24" customHeight="1" x14ac:dyDescent="0.2">
      <c r="A6" s="5" t="s">
        <v>18</v>
      </c>
      <c r="B6" s="5"/>
      <c r="C6" s="5"/>
      <c r="D6" s="5" t="s">
        <v>19</v>
      </c>
      <c r="E6" s="5"/>
      <c r="F6" s="6"/>
      <c r="G6" s="5"/>
      <c r="H6" s="7">
        <f>SUM(H7:H11)</f>
        <v>177698.04</v>
      </c>
    </row>
    <row r="7" spans="1:8" ht="26.1" customHeight="1" x14ac:dyDescent="0.2">
      <c r="A7" s="23" t="s">
        <v>20</v>
      </c>
      <c r="B7" s="10" t="s">
        <v>21</v>
      </c>
      <c r="C7" s="8" t="s">
        <v>22</v>
      </c>
      <c r="D7" s="8" t="s">
        <v>23</v>
      </c>
      <c r="E7" s="9" t="s">
        <v>24</v>
      </c>
      <c r="F7" s="25">
        <f>'MEMÓRIA-PASSARELA'!M4</f>
        <v>15</v>
      </c>
      <c r="G7" s="11">
        <v>1231.8699999999999</v>
      </c>
      <c r="H7" s="11">
        <f>ROUND(G7*F7,2)</f>
        <v>18478.05</v>
      </c>
    </row>
    <row r="8" spans="1:8" ht="26.1" customHeight="1" x14ac:dyDescent="0.2">
      <c r="A8" s="23" t="s">
        <v>116</v>
      </c>
      <c r="B8" s="10">
        <v>2306065</v>
      </c>
      <c r="C8" s="8" t="s">
        <v>22</v>
      </c>
      <c r="D8" s="8" t="s">
        <v>120</v>
      </c>
      <c r="E8" s="9" t="s">
        <v>24</v>
      </c>
      <c r="F8" s="25">
        <f>'MEMÓRIA-PASSARELA'!M9</f>
        <v>120</v>
      </c>
      <c r="G8" s="11">
        <v>160.36000000000001</v>
      </c>
      <c r="H8" s="11">
        <f>ROUND(G8*F8,2)</f>
        <v>19243.2</v>
      </c>
    </row>
    <row r="9" spans="1:8" ht="26.1" customHeight="1" x14ac:dyDescent="0.2">
      <c r="A9" s="23" t="s">
        <v>117</v>
      </c>
      <c r="B9" s="10">
        <v>2306181</v>
      </c>
      <c r="C9" s="8" t="s">
        <v>22</v>
      </c>
      <c r="D9" s="8" t="s">
        <v>121</v>
      </c>
      <c r="E9" s="9" t="s">
        <v>24</v>
      </c>
      <c r="F9" s="25">
        <f>'MEMÓRIA-PASSARELA'!M13</f>
        <v>36</v>
      </c>
      <c r="G9" s="11">
        <v>1863.87</v>
      </c>
      <c r="H9" s="11">
        <f>ROUND(G9*F9,2)</f>
        <v>67099.320000000007</v>
      </c>
    </row>
    <row r="10" spans="1:8" ht="26.1" customHeight="1" x14ac:dyDescent="0.2">
      <c r="A10" s="23" t="s">
        <v>118</v>
      </c>
      <c r="B10" s="10">
        <v>2306180</v>
      </c>
      <c r="C10" s="8" t="s">
        <v>22</v>
      </c>
      <c r="D10" s="8" t="s">
        <v>122</v>
      </c>
      <c r="E10" s="9" t="s">
        <v>24</v>
      </c>
      <c r="F10" s="25">
        <f>'MEMÓRIA-PASSARELA'!M18</f>
        <v>108</v>
      </c>
      <c r="G10" s="11">
        <v>255.31</v>
      </c>
      <c r="H10" s="11">
        <f>ROUND(G10*F10,2)</f>
        <v>27573.48</v>
      </c>
    </row>
    <row r="11" spans="1:8" ht="26.1" customHeight="1" x14ac:dyDescent="0.2">
      <c r="A11" s="23" t="s">
        <v>119</v>
      </c>
      <c r="B11" s="10" t="s">
        <v>25</v>
      </c>
      <c r="C11" s="8" t="s">
        <v>22</v>
      </c>
      <c r="D11" s="8" t="s">
        <v>26</v>
      </c>
      <c r="E11" s="9" t="s">
        <v>27</v>
      </c>
      <c r="F11" s="25">
        <f>'MEMÓRIA-PASSARELA'!M26</f>
        <v>3659.4500000000003</v>
      </c>
      <c r="G11" s="11">
        <v>12.38</v>
      </c>
      <c r="H11" s="11">
        <f>ROUND(G11*F11,2)</f>
        <v>45303.99</v>
      </c>
    </row>
    <row r="12" spans="1:8" ht="24" customHeight="1" x14ac:dyDescent="0.2">
      <c r="A12" s="5" t="s">
        <v>28</v>
      </c>
      <c r="B12" s="5"/>
      <c r="C12" s="5"/>
      <c r="D12" s="5" t="s">
        <v>137</v>
      </c>
      <c r="E12" s="5"/>
      <c r="F12" s="6"/>
      <c r="G12" s="5"/>
      <c r="H12" s="7">
        <f>SUM(H13:H20)</f>
        <v>36925.54</v>
      </c>
    </row>
    <row r="13" spans="1:8" ht="39" customHeight="1" x14ac:dyDescent="0.2">
      <c r="A13" s="23" t="s">
        <v>29</v>
      </c>
      <c r="B13" s="10">
        <v>4805757</v>
      </c>
      <c r="C13" s="8" t="s">
        <v>22</v>
      </c>
      <c r="D13" s="8" t="s">
        <v>136</v>
      </c>
      <c r="E13" s="9" t="s">
        <v>35</v>
      </c>
      <c r="F13" s="25">
        <f>'MEMÓRIA-PASSARELA'!M29</f>
        <v>49.472999999999999</v>
      </c>
      <c r="G13" s="11">
        <v>6.9</v>
      </c>
      <c r="H13" s="11">
        <f t="shared" ref="H13:H20" si="0">ROUND(G13*F13,2)</f>
        <v>341.36</v>
      </c>
    </row>
    <row r="14" spans="1:8" ht="39" customHeight="1" x14ac:dyDescent="0.2">
      <c r="A14" s="23" t="s">
        <v>132</v>
      </c>
      <c r="B14" s="10" t="s">
        <v>30</v>
      </c>
      <c r="C14" s="8" t="s">
        <v>22</v>
      </c>
      <c r="D14" s="8" t="s">
        <v>31</v>
      </c>
      <c r="E14" s="9" t="s">
        <v>32</v>
      </c>
      <c r="F14" s="25">
        <f>'MEMÓRIA-PASSARELA'!M50</f>
        <v>50.36</v>
      </c>
      <c r="G14" s="11">
        <v>89.29</v>
      </c>
      <c r="H14" s="11">
        <f t="shared" si="0"/>
        <v>4496.6400000000003</v>
      </c>
    </row>
    <row r="15" spans="1:8" ht="26.1" customHeight="1" x14ac:dyDescent="0.2">
      <c r="A15" s="23" t="s">
        <v>133</v>
      </c>
      <c r="B15" s="10" t="s">
        <v>33</v>
      </c>
      <c r="C15" s="8" t="s">
        <v>22</v>
      </c>
      <c r="D15" s="8" t="s">
        <v>34</v>
      </c>
      <c r="E15" s="9" t="s">
        <v>35</v>
      </c>
      <c r="F15" s="25">
        <f>'MEMÓRIA-PASSARELA'!M72</f>
        <v>19.644000000000002</v>
      </c>
      <c r="G15" s="11">
        <v>483.19</v>
      </c>
      <c r="H15" s="11">
        <f t="shared" si="0"/>
        <v>9491.7800000000007</v>
      </c>
    </row>
    <row r="16" spans="1:8" ht="24" customHeight="1" x14ac:dyDescent="0.2">
      <c r="A16" s="23" t="s">
        <v>134</v>
      </c>
      <c r="B16" s="10" t="s">
        <v>36</v>
      </c>
      <c r="C16" s="8" t="s">
        <v>22</v>
      </c>
      <c r="D16" s="8" t="s">
        <v>37</v>
      </c>
      <c r="E16" s="9" t="s">
        <v>35</v>
      </c>
      <c r="F16" s="25">
        <f>F15</f>
        <v>19.644000000000002</v>
      </c>
      <c r="G16" s="11">
        <v>3.27</v>
      </c>
      <c r="H16" s="11">
        <f t="shared" si="0"/>
        <v>64.239999999999995</v>
      </c>
    </row>
    <row r="17" spans="1:8" ht="26.1" customHeight="1" x14ac:dyDescent="0.2">
      <c r="A17" s="23" t="s">
        <v>135</v>
      </c>
      <c r="B17" s="10" t="s">
        <v>25</v>
      </c>
      <c r="C17" s="8" t="s">
        <v>22</v>
      </c>
      <c r="D17" s="8" t="s">
        <v>26</v>
      </c>
      <c r="E17" s="9" t="s">
        <v>27</v>
      </c>
      <c r="F17" s="25">
        <f>'MEMÓRIA-PASSARELA'!M94</f>
        <v>1702.7</v>
      </c>
      <c r="G17" s="11">
        <v>12.38</v>
      </c>
      <c r="H17" s="11">
        <f t="shared" si="0"/>
        <v>21079.43</v>
      </c>
    </row>
    <row r="18" spans="1:8" ht="26.1" customHeight="1" x14ac:dyDescent="0.2">
      <c r="A18" s="23" t="s">
        <v>138</v>
      </c>
      <c r="B18" s="10">
        <v>1106165</v>
      </c>
      <c r="C18" s="8" t="s">
        <v>22</v>
      </c>
      <c r="D18" s="8" t="s">
        <v>139</v>
      </c>
      <c r="E18" s="19" t="s">
        <v>85</v>
      </c>
      <c r="F18" s="25">
        <f>'MEMÓRIA-PASSARELA'!M97</f>
        <v>0.33599999999999997</v>
      </c>
      <c r="G18" s="11">
        <v>385.02</v>
      </c>
      <c r="H18" s="11">
        <f t="shared" si="0"/>
        <v>129.37</v>
      </c>
    </row>
    <row r="19" spans="1:8" ht="26.1" customHeight="1" x14ac:dyDescent="0.2">
      <c r="A19" s="23" t="s">
        <v>167</v>
      </c>
      <c r="B19" s="10">
        <v>1106088</v>
      </c>
      <c r="C19" s="8" t="s">
        <v>22</v>
      </c>
      <c r="D19" s="8" t="s">
        <v>168</v>
      </c>
      <c r="E19" s="19" t="s">
        <v>85</v>
      </c>
      <c r="F19" s="25">
        <f>F16</f>
        <v>19.644000000000002</v>
      </c>
      <c r="G19" s="11">
        <v>56.38</v>
      </c>
      <c r="H19" s="11">
        <f t="shared" si="0"/>
        <v>1107.53</v>
      </c>
    </row>
    <row r="20" spans="1:8" ht="26.1" customHeight="1" x14ac:dyDescent="0.2">
      <c r="A20" s="23" t="s">
        <v>183</v>
      </c>
      <c r="B20" s="10">
        <v>4815671</v>
      </c>
      <c r="C20" s="8" t="s">
        <v>22</v>
      </c>
      <c r="D20" s="17" t="s">
        <v>182</v>
      </c>
      <c r="E20" s="129" t="s">
        <v>113</v>
      </c>
      <c r="F20" s="25">
        <f>'MEMÓRIA-PASSARELA'!M102</f>
        <v>12.971</v>
      </c>
      <c r="G20" s="11">
        <v>16.59</v>
      </c>
      <c r="H20" s="11">
        <f t="shared" si="0"/>
        <v>215.19</v>
      </c>
    </row>
    <row r="21" spans="1:8" ht="24" customHeight="1" x14ac:dyDescent="0.2">
      <c r="A21" s="5" t="s">
        <v>38</v>
      </c>
      <c r="B21" s="5"/>
      <c r="C21" s="5"/>
      <c r="D21" s="5" t="s">
        <v>148</v>
      </c>
      <c r="E21" s="5"/>
      <c r="F21" s="6"/>
      <c r="G21" s="5"/>
      <c r="H21" s="7">
        <f>SUM(H22:H28)</f>
        <v>62077.770000000004</v>
      </c>
    </row>
    <row r="22" spans="1:8" ht="39" customHeight="1" x14ac:dyDescent="0.2">
      <c r="A22" s="23" t="s">
        <v>39</v>
      </c>
      <c r="B22" s="10" t="s">
        <v>40</v>
      </c>
      <c r="C22" s="8" t="s">
        <v>22</v>
      </c>
      <c r="D22" s="8" t="s">
        <v>41</v>
      </c>
      <c r="E22" s="9" t="s">
        <v>32</v>
      </c>
      <c r="F22" s="25">
        <f>'MEMÓRIA-PASSARELA'!M108</f>
        <v>166.3664</v>
      </c>
      <c r="G22" s="11">
        <v>133.35</v>
      </c>
      <c r="H22" s="11">
        <f>ROUND(G22*F22,2)</f>
        <v>22184.959999999999</v>
      </c>
    </row>
    <row r="23" spans="1:8" ht="26.1" customHeight="1" x14ac:dyDescent="0.2">
      <c r="A23" s="23" t="s">
        <v>42</v>
      </c>
      <c r="B23" s="10" t="s">
        <v>33</v>
      </c>
      <c r="C23" s="8" t="s">
        <v>22</v>
      </c>
      <c r="D23" s="8" t="s">
        <v>34</v>
      </c>
      <c r="E23" s="9" t="s">
        <v>35</v>
      </c>
      <c r="F23" s="25">
        <f>'MEMÓRIA-PASSARELA'!M171</f>
        <v>18.510929999999998</v>
      </c>
      <c r="G23" s="11">
        <v>483.19</v>
      </c>
      <c r="H23" s="11">
        <f t="shared" ref="H23:H27" si="1">ROUND(G23*F23,2)</f>
        <v>8944.2999999999993</v>
      </c>
    </row>
    <row r="24" spans="1:8" ht="24" customHeight="1" x14ac:dyDescent="0.2">
      <c r="A24" s="23" t="s">
        <v>43</v>
      </c>
      <c r="B24" s="10" t="s">
        <v>36</v>
      </c>
      <c r="C24" s="8" t="s">
        <v>22</v>
      </c>
      <c r="D24" s="8" t="s">
        <v>37</v>
      </c>
      <c r="E24" s="9" t="s">
        <v>35</v>
      </c>
      <c r="F24" s="25">
        <f>F23</f>
        <v>18.510929999999998</v>
      </c>
      <c r="G24" s="11">
        <v>3.27</v>
      </c>
      <c r="H24" s="11">
        <f t="shared" si="1"/>
        <v>60.53</v>
      </c>
    </row>
    <row r="25" spans="1:8" ht="26.1" customHeight="1" x14ac:dyDescent="0.2">
      <c r="A25" s="23" t="s">
        <v>44</v>
      </c>
      <c r="B25" s="10" t="s">
        <v>25</v>
      </c>
      <c r="C25" s="8" t="s">
        <v>22</v>
      </c>
      <c r="D25" s="8" t="s">
        <v>26</v>
      </c>
      <c r="E25" s="9" t="s">
        <v>27</v>
      </c>
      <c r="F25" s="25">
        <f>'MEMÓRIA-PASSARELA'!M232</f>
        <v>2219.1799999999998</v>
      </c>
      <c r="G25" s="11">
        <v>12.38</v>
      </c>
      <c r="H25" s="11">
        <f t="shared" si="1"/>
        <v>27473.45</v>
      </c>
    </row>
    <row r="26" spans="1:8" ht="26.1" customHeight="1" x14ac:dyDescent="0.2">
      <c r="A26" s="23" t="s">
        <v>169</v>
      </c>
      <c r="B26" s="10" t="s">
        <v>54</v>
      </c>
      <c r="C26" s="8" t="s">
        <v>22</v>
      </c>
      <c r="D26" s="8" t="s">
        <v>55</v>
      </c>
      <c r="E26" s="9" t="s">
        <v>27</v>
      </c>
      <c r="F26" s="25">
        <f>'MEMÓRIA-PASSARELA'!M235</f>
        <v>124.59</v>
      </c>
      <c r="G26" s="11">
        <v>13.38</v>
      </c>
      <c r="H26" s="11">
        <f t="shared" si="1"/>
        <v>1667.01</v>
      </c>
    </row>
    <row r="27" spans="1:8" ht="26.1" customHeight="1" x14ac:dyDescent="0.2">
      <c r="A27" s="23" t="s">
        <v>170</v>
      </c>
      <c r="B27" s="10" t="s">
        <v>45</v>
      </c>
      <c r="C27" s="8" t="s">
        <v>22</v>
      </c>
      <c r="D27" s="8" t="s">
        <v>46</v>
      </c>
      <c r="E27" s="9" t="s">
        <v>47</v>
      </c>
      <c r="F27" s="25">
        <f>'MEMÓRIA-PASSARELA'!M238</f>
        <v>7.68</v>
      </c>
      <c r="G27" s="11">
        <v>91.65</v>
      </c>
      <c r="H27" s="11">
        <f t="shared" si="1"/>
        <v>703.87</v>
      </c>
    </row>
    <row r="28" spans="1:8" ht="26.1" customHeight="1" x14ac:dyDescent="0.2">
      <c r="A28" s="23" t="s">
        <v>171</v>
      </c>
      <c r="B28" s="10">
        <v>1106088</v>
      </c>
      <c r="C28" s="8" t="s">
        <v>22</v>
      </c>
      <c r="D28" s="8" t="s">
        <v>168</v>
      </c>
      <c r="E28" s="19" t="s">
        <v>85</v>
      </c>
      <c r="F28" s="25">
        <f>F24</f>
        <v>18.510929999999998</v>
      </c>
      <c r="G28" s="11">
        <v>56.38</v>
      </c>
      <c r="H28" s="11">
        <f>ROUND(G28*F28,2)</f>
        <v>1043.6500000000001</v>
      </c>
    </row>
    <row r="29" spans="1:8" ht="24" customHeight="1" x14ac:dyDescent="0.2">
      <c r="A29" s="5" t="s">
        <v>48</v>
      </c>
      <c r="B29" s="5"/>
      <c r="C29" s="5"/>
      <c r="D29" s="5" t="s">
        <v>49</v>
      </c>
      <c r="E29" s="5"/>
      <c r="F29" s="6"/>
      <c r="G29" s="5"/>
      <c r="H29" s="7">
        <f>SUM(H30:H31)</f>
        <v>597924.48</v>
      </c>
    </row>
    <row r="30" spans="1:8" ht="26.1" customHeight="1" x14ac:dyDescent="0.2">
      <c r="A30" s="23" t="s">
        <v>50</v>
      </c>
      <c r="B30" s="10">
        <v>38906387</v>
      </c>
      <c r="C30" s="8" t="s">
        <v>22</v>
      </c>
      <c r="D30" s="8" t="s">
        <v>191</v>
      </c>
      <c r="E30" s="9" t="s">
        <v>51</v>
      </c>
      <c r="F30" s="10">
        <v>2</v>
      </c>
      <c r="G30" s="11">
        <v>291789.77</v>
      </c>
      <c r="H30" s="11">
        <f>ROUND(G30*F30,2)</f>
        <v>583579.54</v>
      </c>
    </row>
    <row r="31" spans="1:8" ht="26.1" customHeight="1" x14ac:dyDescent="0.2">
      <c r="A31" s="24" t="s">
        <v>58</v>
      </c>
      <c r="B31" s="18">
        <v>3806401</v>
      </c>
      <c r="C31" s="8" t="s">
        <v>22</v>
      </c>
      <c r="D31" s="17" t="s">
        <v>59</v>
      </c>
      <c r="E31" s="9" t="s">
        <v>51</v>
      </c>
      <c r="F31" s="10">
        <v>1</v>
      </c>
      <c r="G31" s="11">
        <v>14344.94</v>
      </c>
      <c r="H31" s="11">
        <f>ROUND(G31*F31,2)</f>
        <v>14344.94</v>
      </c>
    </row>
    <row r="32" spans="1:8" ht="24" customHeight="1" x14ac:dyDescent="0.2">
      <c r="A32" s="5">
        <v>4</v>
      </c>
      <c r="B32" s="5"/>
      <c r="C32" s="5"/>
      <c r="D32" s="5" t="s">
        <v>175</v>
      </c>
      <c r="E32" s="5"/>
      <c r="F32" s="6"/>
      <c r="G32" s="5"/>
      <c r="H32" s="7">
        <f>SUM(H33:H36)</f>
        <v>56791.47</v>
      </c>
    </row>
    <row r="33" spans="1:8" ht="26.1" customHeight="1" x14ac:dyDescent="0.2">
      <c r="A33" s="23" t="s">
        <v>172</v>
      </c>
      <c r="B33" s="10" t="s">
        <v>52</v>
      </c>
      <c r="C33" s="8" t="s">
        <v>22</v>
      </c>
      <c r="D33" s="8" t="s">
        <v>53</v>
      </c>
      <c r="E33" s="9" t="s">
        <v>35</v>
      </c>
      <c r="F33" s="25">
        <f>'MEMÓRIA-PASSARELA'!M252</f>
        <v>8.1</v>
      </c>
      <c r="G33" s="11">
        <v>532.46</v>
      </c>
      <c r="H33" s="11">
        <f t="shared" ref="H33:H34" si="2">ROUND(G33*F33,2)</f>
        <v>4312.93</v>
      </c>
    </row>
    <row r="34" spans="1:8" ht="24" customHeight="1" x14ac:dyDescent="0.2">
      <c r="A34" s="23" t="s">
        <v>173</v>
      </c>
      <c r="B34" s="10" t="s">
        <v>36</v>
      </c>
      <c r="C34" s="8" t="s">
        <v>22</v>
      </c>
      <c r="D34" s="8" t="s">
        <v>37</v>
      </c>
      <c r="E34" s="9" t="s">
        <v>35</v>
      </c>
      <c r="F34" s="25">
        <f>F33</f>
        <v>8.1</v>
      </c>
      <c r="G34" s="11">
        <v>3.27</v>
      </c>
      <c r="H34" s="11">
        <f t="shared" si="2"/>
        <v>26.49</v>
      </c>
    </row>
    <row r="35" spans="1:8" ht="26.1" customHeight="1" x14ac:dyDescent="0.2">
      <c r="A35" s="23" t="s">
        <v>174</v>
      </c>
      <c r="B35" s="10">
        <v>1106088</v>
      </c>
      <c r="C35" s="8" t="s">
        <v>22</v>
      </c>
      <c r="D35" s="8" t="s">
        <v>168</v>
      </c>
      <c r="E35" s="19" t="s">
        <v>85</v>
      </c>
      <c r="F35" s="25">
        <f>F34</f>
        <v>8.1</v>
      </c>
      <c r="G35" s="11">
        <v>56.38</v>
      </c>
      <c r="H35" s="11">
        <f>ROUND(G35*F35,2)</f>
        <v>456.68</v>
      </c>
    </row>
    <row r="36" spans="1:8" ht="26.1" customHeight="1" x14ac:dyDescent="0.2">
      <c r="A36" s="23" t="s">
        <v>178</v>
      </c>
      <c r="B36" s="10">
        <v>99839</v>
      </c>
      <c r="C36" s="8" t="s">
        <v>61</v>
      </c>
      <c r="D36" s="8" t="s">
        <v>179</v>
      </c>
      <c r="E36" s="19" t="s">
        <v>62</v>
      </c>
      <c r="F36" s="25">
        <f>'MEMÓRIA-PASSARELA'!M257</f>
        <v>97.94</v>
      </c>
      <c r="G36" s="11">
        <v>530.89</v>
      </c>
      <c r="H36" s="11">
        <f>ROUND(G36*F36,2)</f>
        <v>51995.37</v>
      </c>
    </row>
    <row r="37" spans="1:8" x14ac:dyDescent="0.2">
      <c r="A37" s="15"/>
      <c r="B37" s="15"/>
      <c r="C37" s="15"/>
      <c r="D37" s="15"/>
      <c r="E37" s="15"/>
      <c r="F37" s="15"/>
      <c r="G37" s="15"/>
      <c r="H37" s="15"/>
    </row>
    <row r="38" spans="1:8" x14ac:dyDescent="0.2">
      <c r="A38" s="132"/>
      <c r="B38" s="132"/>
      <c r="C38" s="132"/>
      <c r="D38" s="14"/>
      <c r="E38" s="13"/>
      <c r="F38" s="131" t="s">
        <v>56</v>
      </c>
      <c r="G38" s="132"/>
      <c r="H38" s="20">
        <f>H5+H21+H29+H32</f>
        <v>931417.3</v>
      </c>
    </row>
    <row r="39" spans="1:8" x14ac:dyDescent="0.2">
      <c r="A39" s="132"/>
      <c r="B39" s="132"/>
      <c r="C39" s="132"/>
      <c r="D39" s="14"/>
      <c r="E39" s="13"/>
      <c r="F39" s="135" t="s">
        <v>60</v>
      </c>
      <c r="G39" s="132"/>
      <c r="H39" s="21">
        <f>H38*0.245</f>
        <v>228197.23850000001</v>
      </c>
    </row>
    <row r="40" spans="1:8" x14ac:dyDescent="0.2">
      <c r="A40" s="132"/>
      <c r="B40" s="132"/>
      <c r="C40" s="132"/>
      <c r="D40" s="14"/>
      <c r="E40" s="13"/>
      <c r="F40" s="131" t="s">
        <v>57</v>
      </c>
      <c r="G40" s="132"/>
      <c r="H40" s="22">
        <f>H39+H38</f>
        <v>1159614.5385</v>
      </c>
    </row>
  </sheetData>
  <mergeCells count="9">
    <mergeCell ref="E1:F1"/>
    <mergeCell ref="E2:F2"/>
    <mergeCell ref="A40:C40"/>
    <mergeCell ref="F40:G40"/>
    <mergeCell ref="A3:H3"/>
    <mergeCell ref="A38:C38"/>
    <mergeCell ref="F38:G38"/>
    <mergeCell ref="A39:C39"/>
    <mergeCell ref="F39:G39"/>
  </mergeCells>
  <phoneticPr fontId="24" type="noConversion"/>
  <pageMargins left="0.7" right="0.7" top="0.75" bottom="0.75" header="0.3" footer="0.3"/>
  <pageSetup paperSize="9" scale="68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751CD-C725-4919-9DED-1AC27DEA7B85}">
  <sheetPr>
    <tabColor rgb="FF92D050"/>
    <pageSetUpPr fitToPage="1"/>
  </sheetPr>
  <dimension ref="A1:S262"/>
  <sheetViews>
    <sheetView view="pageBreakPreview" topLeftCell="A241" zoomScaleNormal="100" zoomScaleSheetLayoutView="100" workbookViewId="0">
      <selection activeCell="H155" sqref="H155"/>
    </sheetView>
  </sheetViews>
  <sheetFormatPr defaultColWidth="9" defaultRowHeight="17.649999999999999" customHeight="1" x14ac:dyDescent="0.2"/>
  <cols>
    <col min="1" max="1" width="1.5" style="26" customWidth="1"/>
    <col min="2" max="2" width="28.75" style="121" customWidth="1"/>
    <col min="3" max="3" width="10" style="122" customWidth="1"/>
    <col min="4" max="4" width="9.875" style="122" bestFit="1" customWidth="1"/>
    <col min="5" max="5" width="5.375" style="122" customWidth="1"/>
    <col min="6" max="6" width="7.75" style="122" customWidth="1"/>
    <col min="7" max="7" width="6.25" style="122" customWidth="1"/>
    <col min="8" max="8" width="8.875" style="122" customWidth="1"/>
    <col min="9" max="9" width="9" style="122" customWidth="1"/>
    <col min="10" max="10" width="9.5" style="122" customWidth="1"/>
    <col min="11" max="11" width="5.875" style="122" customWidth="1"/>
    <col min="12" max="12" width="5.875" style="121" bestFit="1" customWidth="1"/>
    <col min="13" max="13" width="10.125" style="121" customWidth="1"/>
    <col min="14" max="14" width="3.25" style="29" customWidth="1"/>
    <col min="15" max="15" width="54.875" style="99" customWidth="1"/>
    <col min="16" max="16" width="22.875" style="99" customWidth="1"/>
    <col min="17" max="19" width="9" style="99"/>
    <col min="20" max="21" width="8.375" style="99" bestFit="1" customWidth="1"/>
    <col min="22" max="23" width="9" style="99"/>
    <col min="24" max="24" width="8.375" style="99" bestFit="1" customWidth="1"/>
    <col min="25" max="16384" width="9" style="99"/>
  </cols>
  <sheetData>
    <row r="1" spans="1:19" s="26" customFormat="1" ht="17.649999999999999" customHeight="1" thickBot="1" x14ac:dyDescent="0.25">
      <c r="B1" s="27"/>
      <c r="C1" s="28"/>
      <c r="D1" s="28"/>
      <c r="E1" s="28"/>
      <c r="F1" s="28"/>
      <c r="G1" s="28"/>
      <c r="H1" s="28"/>
      <c r="I1" s="28"/>
      <c r="J1" s="28"/>
      <c r="K1" s="28"/>
      <c r="L1" s="27"/>
      <c r="M1" s="27"/>
      <c r="N1" s="29"/>
    </row>
    <row r="2" spans="1:19" s="33" customFormat="1" ht="17.649999999999999" customHeight="1" x14ac:dyDescent="0.2">
      <c r="A2" s="30"/>
      <c r="B2" s="139" t="s">
        <v>192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1"/>
      <c r="N2" s="31"/>
      <c r="O2" s="32"/>
      <c r="P2" s="32"/>
      <c r="Q2" s="32"/>
      <c r="R2" s="32"/>
      <c r="S2" s="32"/>
    </row>
    <row r="3" spans="1:19" s="38" customFormat="1" ht="17.649999999999999" customHeight="1" x14ac:dyDescent="0.2">
      <c r="A3" s="34"/>
      <c r="B3" s="35" t="s">
        <v>63</v>
      </c>
      <c r="C3" s="142" t="s">
        <v>17</v>
      </c>
      <c r="D3" s="142"/>
      <c r="E3" s="142"/>
      <c r="F3" s="142"/>
      <c r="G3" s="142"/>
      <c r="H3" s="142"/>
      <c r="I3" s="142"/>
      <c r="J3" s="142"/>
      <c r="K3" s="142"/>
      <c r="L3" s="36"/>
      <c r="M3" s="37"/>
    </row>
    <row r="4" spans="1:19" s="39" customFormat="1" ht="17.649999999999999" customHeight="1" x14ac:dyDescent="0.2">
      <c r="B4" s="40" t="s">
        <v>64</v>
      </c>
      <c r="C4" s="137" t="str">
        <f>'ORÇAMENTO CONSTRUÇÃO PASSARELA '!D7</f>
        <v>Estaca raiz perfurada na rocha com D = 31 cm - confecção</v>
      </c>
      <c r="D4" s="137"/>
      <c r="E4" s="137"/>
      <c r="F4" s="137"/>
      <c r="G4" s="137"/>
      <c r="H4" s="137"/>
      <c r="I4" s="137"/>
      <c r="J4" s="137"/>
      <c r="K4" s="137"/>
      <c r="L4" s="41" t="s">
        <v>24</v>
      </c>
      <c r="M4" s="42">
        <f>C7</f>
        <v>15</v>
      </c>
    </row>
    <row r="5" spans="1:19" s="38" customFormat="1" ht="17.25" customHeight="1" x14ac:dyDescent="0.2">
      <c r="A5" s="43"/>
      <c r="B5" s="44" t="s">
        <v>65</v>
      </c>
      <c r="C5" s="45">
        <v>1</v>
      </c>
      <c r="D5" s="45" t="s">
        <v>24</v>
      </c>
      <c r="E5" s="45"/>
      <c r="F5" s="45"/>
      <c r="G5" s="45"/>
      <c r="H5" s="45"/>
      <c r="I5" s="45"/>
      <c r="J5" s="45"/>
      <c r="K5" s="45"/>
      <c r="L5" s="45"/>
      <c r="M5" s="46"/>
    </row>
    <row r="6" spans="1:19" s="38" customFormat="1" ht="17.649999999999999" customHeight="1" x14ac:dyDescent="0.2">
      <c r="A6" s="43"/>
      <c r="B6" s="44" t="s">
        <v>66</v>
      </c>
      <c r="C6" s="47">
        <v>15</v>
      </c>
      <c r="D6" s="47" t="s">
        <v>67</v>
      </c>
      <c r="E6" s="47"/>
      <c r="F6" s="47"/>
      <c r="G6" s="47"/>
      <c r="H6" s="48"/>
      <c r="I6" s="49"/>
      <c r="J6" s="49"/>
      <c r="K6" s="50"/>
      <c r="L6" s="51"/>
      <c r="M6" s="46"/>
    </row>
    <row r="7" spans="1:19" s="38" customFormat="1" ht="17.649999999999999" customHeight="1" x14ac:dyDescent="0.25">
      <c r="A7" s="43"/>
      <c r="B7" s="44" t="s">
        <v>68</v>
      </c>
      <c r="C7" s="45">
        <f>C6*C5</f>
        <v>15</v>
      </c>
      <c r="D7" s="52" t="s">
        <v>24</v>
      </c>
      <c r="E7" s="45"/>
      <c r="F7" s="45"/>
      <c r="G7" s="53"/>
      <c r="H7" s="54"/>
      <c r="I7" s="55"/>
      <c r="J7" s="55"/>
      <c r="K7" s="55"/>
      <c r="L7" s="56"/>
      <c r="M7" s="46"/>
    </row>
    <row r="8" spans="1:19" s="38" customFormat="1" ht="17.649999999999999" customHeight="1" x14ac:dyDescent="0.25">
      <c r="A8" s="43"/>
      <c r="B8" s="44"/>
      <c r="C8" s="45"/>
      <c r="D8" s="52"/>
      <c r="E8" s="45"/>
      <c r="F8" s="45"/>
      <c r="G8" s="53"/>
      <c r="H8" s="54"/>
      <c r="I8" s="55"/>
      <c r="J8" s="55"/>
      <c r="K8" s="55"/>
      <c r="L8" s="56"/>
      <c r="M8" s="46"/>
    </row>
    <row r="9" spans="1:19" s="38" customFormat="1" ht="17.649999999999999" customHeight="1" x14ac:dyDescent="0.2">
      <c r="A9" s="43"/>
      <c r="B9" s="40" t="s">
        <v>69</v>
      </c>
      <c r="C9" s="137" t="str">
        <f>'ORÇAMENTO CONSTRUÇÃO PASSARELA '!D8</f>
        <v>Estaca raiz perfurada no solo com D = 31 cm - confecção</v>
      </c>
      <c r="D9" s="137"/>
      <c r="E9" s="137"/>
      <c r="F9" s="137"/>
      <c r="G9" s="137"/>
      <c r="H9" s="137"/>
      <c r="I9" s="137"/>
      <c r="J9" s="137"/>
      <c r="K9" s="137"/>
      <c r="L9" s="41" t="s">
        <v>24</v>
      </c>
      <c r="M9" s="42">
        <f>C12</f>
        <v>120</v>
      </c>
    </row>
    <row r="10" spans="1:19" s="38" customFormat="1" ht="17.649999999999999" customHeight="1" x14ac:dyDescent="0.2">
      <c r="A10" s="43"/>
      <c r="B10" s="44" t="s">
        <v>65</v>
      </c>
      <c r="C10" s="45">
        <v>8</v>
      </c>
      <c r="D10" s="45" t="s">
        <v>24</v>
      </c>
      <c r="E10" s="45"/>
      <c r="F10" s="45"/>
      <c r="G10" s="45"/>
      <c r="H10" s="45"/>
      <c r="I10" s="45"/>
      <c r="J10" s="45"/>
      <c r="K10" s="45"/>
      <c r="L10" s="45"/>
      <c r="M10" s="46"/>
    </row>
    <row r="11" spans="1:19" s="38" customFormat="1" ht="17.649999999999999" customHeight="1" x14ac:dyDescent="0.2">
      <c r="A11" s="43"/>
      <c r="B11" s="44" t="s">
        <v>66</v>
      </c>
      <c r="C11" s="47">
        <v>15</v>
      </c>
      <c r="D11" s="47" t="s">
        <v>67</v>
      </c>
      <c r="E11" s="47"/>
      <c r="F11" s="47"/>
      <c r="G11" s="47"/>
      <c r="H11" s="48"/>
      <c r="I11" s="49"/>
      <c r="J11" s="49"/>
      <c r="K11" s="50"/>
      <c r="L11" s="51"/>
      <c r="M11" s="46"/>
    </row>
    <row r="12" spans="1:19" s="38" customFormat="1" ht="17.649999999999999" customHeight="1" x14ac:dyDescent="0.25">
      <c r="A12" s="43"/>
      <c r="B12" s="44" t="s">
        <v>68</v>
      </c>
      <c r="C12" s="45">
        <f>C11*C10</f>
        <v>120</v>
      </c>
      <c r="D12" s="52" t="s">
        <v>24</v>
      </c>
      <c r="E12" s="45"/>
      <c r="F12" s="45"/>
      <c r="G12" s="53"/>
      <c r="H12" s="54"/>
      <c r="I12" s="55"/>
      <c r="J12" s="55"/>
      <c r="K12" s="55"/>
      <c r="L12" s="56"/>
      <c r="M12" s="46"/>
    </row>
    <row r="13" spans="1:19" s="38" customFormat="1" ht="17.649999999999999" customHeight="1" x14ac:dyDescent="0.2">
      <c r="A13" s="43"/>
      <c r="B13" s="40" t="s">
        <v>123</v>
      </c>
      <c r="C13" s="137" t="str">
        <f>'ORÇAMENTO CONSTRUÇÃO PASSARELA '!D9</f>
        <v>Estaca raiz perfurada na rocha com D = 45 cm - confecção</v>
      </c>
      <c r="D13" s="137"/>
      <c r="E13" s="137"/>
      <c r="F13" s="137"/>
      <c r="G13" s="137"/>
      <c r="H13" s="137"/>
      <c r="I13" s="137"/>
      <c r="J13" s="137"/>
      <c r="K13" s="137"/>
      <c r="L13" s="41" t="s">
        <v>24</v>
      </c>
      <c r="M13" s="42">
        <f>C16</f>
        <v>36</v>
      </c>
    </row>
    <row r="14" spans="1:19" s="38" customFormat="1" ht="17.649999999999999" customHeight="1" x14ac:dyDescent="0.2">
      <c r="A14" s="43"/>
      <c r="B14" s="44" t="s">
        <v>65</v>
      </c>
      <c r="C14" s="45">
        <v>3</v>
      </c>
      <c r="D14" s="45" t="s">
        <v>24</v>
      </c>
      <c r="E14" s="45"/>
      <c r="F14" s="45"/>
      <c r="G14" s="45"/>
      <c r="H14" s="45"/>
      <c r="I14" s="45"/>
      <c r="J14" s="45"/>
      <c r="K14" s="45"/>
      <c r="L14" s="45"/>
      <c r="M14" s="46"/>
    </row>
    <row r="15" spans="1:19" s="38" customFormat="1" ht="17.649999999999999" customHeight="1" x14ac:dyDescent="0.2">
      <c r="A15" s="43"/>
      <c r="B15" s="44" t="s">
        <v>66</v>
      </c>
      <c r="C15" s="47">
        <f>6*2</f>
        <v>12</v>
      </c>
      <c r="D15" s="47" t="s">
        <v>67</v>
      </c>
      <c r="E15" s="47"/>
      <c r="F15" s="47"/>
      <c r="G15" s="47"/>
      <c r="H15" s="48"/>
      <c r="I15" s="49"/>
      <c r="J15" s="49"/>
      <c r="K15" s="50"/>
      <c r="L15" s="51"/>
      <c r="M15" s="46"/>
    </row>
    <row r="16" spans="1:19" s="38" customFormat="1" ht="17.649999999999999" customHeight="1" x14ac:dyDescent="0.25">
      <c r="A16" s="43"/>
      <c r="B16" s="44" t="s">
        <v>68</v>
      </c>
      <c r="C16" s="45">
        <f>C15*C14</f>
        <v>36</v>
      </c>
      <c r="D16" s="52" t="s">
        <v>24</v>
      </c>
      <c r="E16" s="45"/>
      <c r="F16" s="45"/>
      <c r="G16" s="53"/>
      <c r="H16" s="54"/>
      <c r="I16" s="55"/>
      <c r="J16" s="55"/>
      <c r="K16" s="55"/>
      <c r="L16" s="56"/>
      <c r="M16" s="46"/>
    </row>
    <row r="17" spans="1:13" s="38" customFormat="1" ht="17.649999999999999" customHeight="1" x14ac:dyDescent="0.25">
      <c r="A17" s="43"/>
      <c r="B17" s="44"/>
      <c r="C17" s="45"/>
      <c r="D17" s="52"/>
      <c r="E17" s="45"/>
      <c r="F17" s="45"/>
      <c r="G17" s="53"/>
      <c r="H17" s="54"/>
      <c r="I17" s="55"/>
      <c r="J17" s="55"/>
      <c r="K17" s="55"/>
      <c r="L17" s="56"/>
      <c r="M17" s="46"/>
    </row>
    <row r="18" spans="1:13" s="38" customFormat="1" ht="17.649999999999999" customHeight="1" x14ac:dyDescent="0.2">
      <c r="A18" s="43"/>
      <c r="B18" s="40" t="s">
        <v>124</v>
      </c>
      <c r="C18" s="137" t="str">
        <f>'ORÇAMENTO CONSTRUÇÃO PASSARELA '!D10</f>
        <v>Estaca raiz perfurada no solo com D = 45 cm - confecção</v>
      </c>
      <c r="D18" s="137"/>
      <c r="E18" s="137"/>
      <c r="F18" s="137"/>
      <c r="G18" s="137"/>
      <c r="H18" s="137"/>
      <c r="I18" s="137"/>
      <c r="J18" s="137"/>
      <c r="K18" s="137"/>
      <c r="L18" s="41" t="s">
        <v>24</v>
      </c>
      <c r="M18" s="42">
        <f>C21+C24</f>
        <v>108</v>
      </c>
    </row>
    <row r="19" spans="1:13" s="38" customFormat="1" ht="17.649999999999999" customHeight="1" x14ac:dyDescent="0.2">
      <c r="A19" s="43"/>
      <c r="B19" s="44" t="s">
        <v>185</v>
      </c>
      <c r="C19" s="45">
        <v>10</v>
      </c>
      <c r="D19" s="45" t="s">
        <v>24</v>
      </c>
      <c r="E19" s="45"/>
      <c r="F19" s="45"/>
      <c r="G19" s="45"/>
      <c r="H19" s="45"/>
      <c r="I19" s="45"/>
      <c r="J19" s="45"/>
      <c r="K19" s="45"/>
      <c r="L19" s="45"/>
      <c r="M19" s="46"/>
    </row>
    <row r="20" spans="1:13" s="38" customFormat="1" ht="17.649999999999999" customHeight="1" x14ac:dyDescent="0.2">
      <c r="A20" s="43"/>
      <c r="B20" s="44" t="s">
        <v>66</v>
      </c>
      <c r="C20" s="47">
        <v>6</v>
      </c>
      <c r="D20" s="47" t="s">
        <v>67</v>
      </c>
      <c r="E20" s="47"/>
      <c r="F20" s="47"/>
      <c r="G20" s="47"/>
      <c r="H20" s="48"/>
      <c r="I20" s="49"/>
      <c r="J20" s="49"/>
      <c r="K20" s="50"/>
      <c r="L20" s="51"/>
      <c r="M20" s="46"/>
    </row>
    <row r="21" spans="1:13" s="38" customFormat="1" ht="17.649999999999999" customHeight="1" x14ac:dyDescent="0.25">
      <c r="A21" s="43"/>
      <c r="B21" s="44" t="s">
        <v>68</v>
      </c>
      <c r="C21" s="45">
        <f>C20*C19</f>
        <v>60</v>
      </c>
      <c r="D21" s="52" t="s">
        <v>24</v>
      </c>
      <c r="E21" s="45"/>
      <c r="F21" s="45"/>
      <c r="G21" s="53"/>
      <c r="H21" s="54"/>
      <c r="I21" s="55"/>
      <c r="J21" s="55"/>
      <c r="K21" s="55"/>
      <c r="L21" s="56"/>
      <c r="M21" s="46"/>
    </row>
    <row r="22" spans="1:13" s="38" customFormat="1" ht="17.649999999999999" customHeight="1" x14ac:dyDescent="0.2">
      <c r="A22" s="43"/>
      <c r="B22" s="44" t="s">
        <v>186</v>
      </c>
      <c r="C22" s="45">
        <v>8</v>
      </c>
      <c r="D22" s="45" t="s">
        <v>24</v>
      </c>
      <c r="E22" s="45"/>
      <c r="F22" s="45"/>
      <c r="G22" s="53"/>
      <c r="H22" s="54"/>
      <c r="I22" s="55"/>
      <c r="J22" s="55"/>
      <c r="K22" s="55"/>
      <c r="L22" s="56"/>
      <c r="M22" s="46"/>
    </row>
    <row r="23" spans="1:13" s="38" customFormat="1" ht="17.649999999999999" customHeight="1" x14ac:dyDescent="0.2">
      <c r="A23" s="43"/>
      <c r="B23" s="44" t="s">
        <v>66</v>
      </c>
      <c r="C23" s="47">
        <v>6</v>
      </c>
      <c r="D23" s="47" t="s">
        <v>67</v>
      </c>
      <c r="E23" s="45"/>
      <c r="F23" s="45"/>
      <c r="G23" s="53"/>
      <c r="H23" s="54"/>
      <c r="I23" s="55"/>
      <c r="J23" s="55"/>
      <c r="K23" s="55"/>
      <c r="L23" s="56"/>
      <c r="M23" s="46"/>
    </row>
    <row r="24" spans="1:13" s="38" customFormat="1" ht="17.649999999999999" customHeight="1" x14ac:dyDescent="0.25">
      <c r="A24" s="43"/>
      <c r="B24" s="44" t="s">
        <v>68</v>
      </c>
      <c r="C24" s="45">
        <f>C23*C22</f>
        <v>48</v>
      </c>
      <c r="D24" s="52" t="s">
        <v>24</v>
      </c>
      <c r="E24" s="45"/>
      <c r="F24" s="45"/>
      <c r="G24" s="53"/>
      <c r="H24" s="54"/>
      <c r="I24" s="55"/>
      <c r="J24" s="55"/>
      <c r="K24" s="55"/>
      <c r="L24" s="56"/>
      <c r="M24" s="46"/>
    </row>
    <row r="25" spans="1:13" s="38" customFormat="1" ht="17.649999999999999" customHeight="1" x14ac:dyDescent="0.25">
      <c r="A25" s="43"/>
      <c r="B25" s="44"/>
      <c r="C25" s="45"/>
      <c r="D25" s="52"/>
      <c r="E25" s="45"/>
      <c r="F25" s="45"/>
      <c r="G25" s="53"/>
      <c r="H25" s="54"/>
      <c r="I25" s="55"/>
      <c r="J25" s="55"/>
      <c r="K25" s="55"/>
      <c r="L25" s="56"/>
      <c r="M25" s="46"/>
    </row>
    <row r="26" spans="1:13" s="38" customFormat="1" ht="17.649999999999999" customHeight="1" x14ac:dyDescent="0.25">
      <c r="A26" s="57"/>
      <c r="B26" s="58" t="s">
        <v>125</v>
      </c>
      <c r="C26" s="138" t="s">
        <v>70</v>
      </c>
      <c r="D26" s="138"/>
      <c r="E26" s="138"/>
      <c r="F26" s="138"/>
      <c r="G26" s="138"/>
      <c r="H26" s="138"/>
      <c r="I26" s="138"/>
      <c r="J26" s="138"/>
      <c r="K26" s="138"/>
      <c r="L26" s="59" t="s">
        <v>27</v>
      </c>
      <c r="M26" s="60">
        <f>C27</f>
        <v>3659.4500000000003</v>
      </c>
    </row>
    <row r="27" spans="1:13" s="38" customFormat="1" ht="17.649999999999999" customHeight="1" x14ac:dyDescent="0.25">
      <c r="A27" s="43"/>
      <c r="B27" s="44" t="s">
        <v>71</v>
      </c>
      <c r="C27" s="45">
        <f>1127.92+1797.22+734.31</f>
        <v>3659.4500000000003</v>
      </c>
      <c r="D27" s="52" t="s">
        <v>27</v>
      </c>
      <c r="E27" s="45"/>
      <c r="F27" s="45"/>
      <c r="G27" s="53"/>
      <c r="H27" s="54"/>
      <c r="I27" s="55"/>
      <c r="J27" s="55"/>
      <c r="K27" s="55"/>
      <c r="L27" s="56"/>
      <c r="M27" s="46"/>
    </row>
    <row r="28" spans="1:13" s="39" customFormat="1" ht="17.649999999999999" customHeight="1" x14ac:dyDescent="0.2">
      <c r="B28" s="40" t="s">
        <v>72</v>
      </c>
      <c r="C28" s="137" t="s">
        <v>73</v>
      </c>
      <c r="D28" s="137"/>
      <c r="E28" s="137"/>
      <c r="F28" s="137"/>
      <c r="G28" s="137"/>
      <c r="H28" s="137"/>
      <c r="I28" s="137"/>
      <c r="J28" s="137"/>
      <c r="K28" s="137"/>
      <c r="L28" s="41"/>
      <c r="M28" s="42"/>
    </row>
    <row r="29" spans="1:13" s="39" customFormat="1" ht="17.649999999999999" customHeight="1" x14ac:dyDescent="0.2">
      <c r="B29" s="58" t="s">
        <v>74</v>
      </c>
      <c r="C29" s="138" t="s">
        <v>127</v>
      </c>
      <c r="D29" s="138"/>
      <c r="E29" s="138"/>
      <c r="F29" s="138"/>
      <c r="G29" s="138"/>
      <c r="H29" s="138"/>
      <c r="I29" s="138"/>
      <c r="J29" s="138"/>
      <c r="K29" s="138"/>
      <c r="L29" s="59" t="s">
        <v>76</v>
      </c>
      <c r="M29" s="60">
        <f>C48</f>
        <v>49.472999999999999</v>
      </c>
    </row>
    <row r="30" spans="1:13" s="38" customFormat="1" ht="17.649999999999999" customHeight="1" x14ac:dyDescent="0.2">
      <c r="A30" s="43"/>
      <c r="B30" s="61"/>
      <c r="C30" s="62" t="s">
        <v>126</v>
      </c>
      <c r="D30" s="63"/>
      <c r="E30" s="45"/>
      <c r="F30" s="45"/>
      <c r="G30" s="45"/>
      <c r="H30" s="45"/>
      <c r="I30" s="45"/>
      <c r="J30" s="45"/>
      <c r="K30" s="45"/>
      <c r="L30" s="45"/>
      <c r="M30" s="46"/>
    </row>
    <row r="31" spans="1:13" s="38" customFormat="1" ht="17.649999999999999" customHeight="1" x14ac:dyDescent="0.2">
      <c r="A31" s="43"/>
      <c r="B31" s="61" t="s">
        <v>128</v>
      </c>
      <c r="C31" s="28">
        <f>0.9*0.9</f>
        <v>0.81</v>
      </c>
      <c r="D31" s="63" t="s">
        <v>76</v>
      </c>
      <c r="E31" s="45"/>
      <c r="F31" s="45"/>
      <c r="G31" s="45"/>
      <c r="H31" s="45"/>
      <c r="I31" s="45"/>
      <c r="J31" s="45"/>
      <c r="K31" s="45"/>
      <c r="L31" s="45"/>
      <c r="M31" s="46"/>
    </row>
    <row r="32" spans="1:13" s="38" customFormat="1" ht="17.649999999999999" customHeight="1" x14ac:dyDescent="0.25">
      <c r="A32" s="57"/>
      <c r="B32" s="61" t="s">
        <v>129</v>
      </c>
      <c r="C32" s="28">
        <v>1.1499999999999999</v>
      </c>
      <c r="D32" s="63" t="s">
        <v>24</v>
      </c>
      <c r="E32" s="64"/>
      <c r="F32" s="64"/>
      <c r="G32" s="64"/>
      <c r="H32" s="65"/>
      <c r="I32" s="50"/>
      <c r="J32" s="50"/>
      <c r="K32" s="50"/>
      <c r="L32" s="51"/>
      <c r="M32" s="46"/>
    </row>
    <row r="33" spans="1:13" s="38" customFormat="1" ht="17.649999999999999" customHeight="1" x14ac:dyDescent="0.25">
      <c r="A33" s="57"/>
      <c r="B33" s="61" t="s">
        <v>88</v>
      </c>
      <c r="C33" s="28">
        <f>C32*C31</f>
        <v>0.93149999999999999</v>
      </c>
      <c r="D33" s="63" t="s">
        <v>85</v>
      </c>
      <c r="E33" s="64"/>
      <c r="F33" s="64"/>
      <c r="G33" s="64"/>
      <c r="H33" s="65"/>
      <c r="I33" s="50"/>
      <c r="J33" s="50"/>
      <c r="K33" s="50"/>
      <c r="L33" s="51"/>
      <c r="M33" s="46"/>
    </row>
    <row r="34" spans="1:13" s="38" customFormat="1" ht="17.649999999999999" customHeight="1" x14ac:dyDescent="0.2">
      <c r="A34" s="43"/>
      <c r="B34" s="44" t="s">
        <v>80</v>
      </c>
      <c r="C34" s="66">
        <v>9</v>
      </c>
      <c r="D34" s="64" t="s">
        <v>67</v>
      </c>
      <c r="E34" s="64"/>
      <c r="F34" s="64"/>
      <c r="G34" s="64"/>
      <c r="H34" s="65"/>
      <c r="I34" s="50"/>
      <c r="J34" s="50"/>
      <c r="K34" s="50"/>
      <c r="L34" s="51"/>
      <c r="M34" s="46"/>
    </row>
    <row r="35" spans="1:13" s="38" customFormat="1" ht="17.649999999999999" customHeight="1" x14ac:dyDescent="0.2">
      <c r="A35" s="43"/>
      <c r="B35" s="44"/>
      <c r="C35" s="66"/>
      <c r="D35" s="64"/>
      <c r="E35" s="64"/>
      <c r="F35" s="64"/>
      <c r="G35" s="64"/>
      <c r="H35" s="65"/>
      <c r="I35" s="50"/>
      <c r="J35" s="50"/>
      <c r="K35" s="50"/>
      <c r="L35" s="51"/>
      <c r="M35" s="46"/>
    </row>
    <row r="36" spans="1:13" s="38" customFormat="1" ht="17.649999999999999" customHeight="1" x14ac:dyDescent="0.2">
      <c r="A36" s="43"/>
      <c r="B36" s="61"/>
      <c r="C36" s="62" t="s">
        <v>130</v>
      </c>
      <c r="D36" s="63"/>
      <c r="E36" s="45"/>
      <c r="F36" s="45"/>
      <c r="G36" s="45"/>
      <c r="H36" s="45"/>
      <c r="I36" s="45"/>
      <c r="J36" s="45"/>
      <c r="K36" s="45"/>
      <c r="L36" s="45"/>
      <c r="M36" s="46"/>
    </row>
    <row r="37" spans="1:13" s="38" customFormat="1" ht="17.649999999999999" customHeight="1" x14ac:dyDescent="0.2">
      <c r="A37" s="43"/>
      <c r="B37" s="61" t="s">
        <v>128</v>
      </c>
      <c r="C37" s="28">
        <f>0.9*1.9</f>
        <v>1.71</v>
      </c>
      <c r="D37" s="63" t="s">
        <v>76</v>
      </c>
      <c r="E37" s="45"/>
      <c r="F37" s="45"/>
      <c r="G37" s="45"/>
      <c r="H37" s="45"/>
      <c r="I37" s="45"/>
      <c r="J37" s="45"/>
      <c r="K37" s="45"/>
      <c r="L37" s="45"/>
      <c r="M37" s="46"/>
    </row>
    <row r="38" spans="1:13" s="38" customFormat="1" ht="17.649999999999999" customHeight="1" x14ac:dyDescent="0.25">
      <c r="A38" s="57"/>
      <c r="B38" s="61" t="s">
        <v>129</v>
      </c>
      <c r="C38" s="28">
        <v>1.1499999999999999</v>
      </c>
      <c r="D38" s="63" t="s">
        <v>24</v>
      </c>
      <c r="E38" s="64"/>
      <c r="F38" s="64"/>
      <c r="G38" s="64"/>
      <c r="H38" s="65"/>
      <c r="I38" s="50"/>
      <c r="J38" s="50"/>
      <c r="K38" s="50"/>
      <c r="L38" s="51"/>
      <c r="M38" s="46"/>
    </row>
    <row r="39" spans="1:13" s="38" customFormat="1" ht="17.649999999999999" customHeight="1" x14ac:dyDescent="0.25">
      <c r="A39" s="57"/>
      <c r="B39" s="61" t="s">
        <v>88</v>
      </c>
      <c r="C39" s="28">
        <f>C38*C37</f>
        <v>1.9664999999999999</v>
      </c>
      <c r="D39" s="63" t="s">
        <v>85</v>
      </c>
      <c r="E39" s="64"/>
      <c r="F39" s="64"/>
      <c r="G39" s="64"/>
      <c r="H39" s="65"/>
      <c r="I39" s="50"/>
      <c r="J39" s="50"/>
      <c r="K39" s="50"/>
      <c r="L39" s="51"/>
      <c r="M39" s="46"/>
    </row>
    <row r="40" spans="1:13" s="38" customFormat="1" ht="17.649999999999999" customHeight="1" x14ac:dyDescent="0.2">
      <c r="A40" s="43"/>
      <c r="B40" s="44" t="s">
        <v>80</v>
      </c>
      <c r="C40" s="66">
        <v>3</v>
      </c>
      <c r="D40" s="64" t="s">
        <v>67</v>
      </c>
      <c r="E40" s="64"/>
      <c r="F40" s="64"/>
      <c r="G40" s="64"/>
      <c r="H40" s="65"/>
      <c r="I40" s="50"/>
      <c r="J40" s="50"/>
      <c r="K40" s="50"/>
      <c r="L40" s="51"/>
      <c r="M40" s="46"/>
    </row>
    <row r="41" spans="1:13" s="38" customFormat="1" ht="17.649999999999999" customHeight="1" x14ac:dyDescent="0.2">
      <c r="A41" s="43"/>
      <c r="B41" s="44"/>
      <c r="C41" s="66"/>
      <c r="D41" s="64"/>
      <c r="E41" s="64"/>
      <c r="F41" s="64"/>
      <c r="G41" s="64"/>
      <c r="H41" s="65"/>
      <c r="I41" s="50"/>
      <c r="J41" s="50"/>
      <c r="K41" s="50"/>
      <c r="L41" s="51"/>
      <c r="M41" s="46"/>
    </row>
    <row r="42" spans="1:13" s="38" customFormat="1" ht="17.649999999999999" customHeight="1" x14ac:dyDescent="0.2">
      <c r="A42" s="43"/>
      <c r="B42" s="61"/>
      <c r="C42" s="62" t="s">
        <v>131</v>
      </c>
      <c r="D42" s="63"/>
      <c r="E42" s="45"/>
      <c r="F42" s="45"/>
      <c r="G42" s="45"/>
      <c r="H42" s="45"/>
      <c r="I42" s="45"/>
      <c r="J42" s="45"/>
      <c r="K42" s="45"/>
      <c r="L42" s="45"/>
      <c r="M42" s="46"/>
    </row>
    <row r="43" spans="1:13" s="38" customFormat="1" ht="17.649999999999999" customHeight="1" x14ac:dyDescent="0.2">
      <c r="A43" s="43"/>
      <c r="B43" s="61" t="s">
        <v>128</v>
      </c>
      <c r="C43" s="28">
        <f>(0.6*2+2.2)*(0.6*2+3.3)</f>
        <v>15.3</v>
      </c>
      <c r="D43" s="63" t="s">
        <v>76</v>
      </c>
      <c r="E43" s="45"/>
      <c r="F43" s="45"/>
      <c r="G43" s="45"/>
      <c r="H43" s="45"/>
      <c r="I43" s="45"/>
      <c r="J43" s="45"/>
      <c r="K43" s="45"/>
      <c r="L43" s="45"/>
      <c r="M43" s="46"/>
    </row>
    <row r="44" spans="1:13" s="38" customFormat="1" ht="17.649999999999999" customHeight="1" x14ac:dyDescent="0.25">
      <c r="A44" s="57"/>
      <c r="B44" s="61" t="s">
        <v>129</v>
      </c>
      <c r="C44" s="28">
        <v>1.1499999999999999</v>
      </c>
      <c r="D44" s="63" t="s">
        <v>24</v>
      </c>
      <c r="E44" s="64"/>
      <c r="F44" s="64"/>
      <c r="G44" s="64"/>
      <c r="H44" s="65"/>
      <c r="I44" s="50"/>
      <c r="J44" s="50"/>
      <c r="K44" s="50"/>
      <c r="L44" s="51"/>
      <c r="M44" s="46"/>
    </row>
    <row r="45" spans="1:13" s="38" customFormat="1" ht="17.649999999999999" customHeight="1" x14ac:dyDescent="0.25">
      <c r="A45" s="57"/>
      <c r="B45" s="61" t="s">
        <v>88</v>
      </c>
      <c r="C45" s="28">
        <f>C44*C43</f>
        <v>17.594999999999999</v>
      </c>
      <c r="D45" s="63" t="s">
        <v>85</v>
      </c>
      <c r="E45" s="64"/>
      <c r="F45" s="64"/>
      <c r="G45" s="64"/>
      <c r="H45" s="65"/>
      <c r="I45" s="50"/>
      <c r="J45" s="50"/>
      <c r="K45" s="50"/>
      <c r="L45" s="51"/>
      <c r="M45" s="46"/>
    </row>
    <row r="46" spans="1:13" s="38" customFormat="1" ht="17.649999999999999" customHeight="1" x14ac:dyDescent="0.2">
      <c r="A46" s="43"/>
      <c r="B46" s="44" t="s">
        <v>80</v>
      </c>
      <c r="C46" s="66">
        <v>2</v>
      </c>
      <c r="D46" s="64" t="s">
        <v>67</v>
      </c>
      <c r="E46" s="64"/>
      <c r="F46" s="64"/>
      <c r="G46" s="64"/>
      <c r="H46" s="65"/>
      <c r="I46" s="50"/>
      <c r="J46" s="50"/>
      <c r="K46" s="50"/>
      <c r="L46" s="51"/>
      <c r="M46" s="46"/>
    </row>
    <row r="47" spans="1:13" s="38" customFormat="1" ht="17.649999999999999" customHeight="1" x14ac:dyDescent="0.2">
      <c r="A47" s="43"/>
      <c r="B47" s="44"/>
      <c r="C47" s="66"/>
      <c r="D47" s="64"/>
      <c r="E47" s="64"/>
      <c r="F47" s="64"/>
      <c r="G47" s="64"/>
      <c r="H47" s="65"/>
      <c r="I47" s="50"/>
      <c r="J47" s="50"/>
      <c r="K47" s="50"/>
      <c r="L47" s="51"/>
      <c r="M47" s="46"/>
    </row>
    <row r="48" spans="1:13" s="38" customFormat="1" ht="17.649999999999999" customHeight="1" x14ac:dyDescent="0.25">
      <c r="A48" s="57"/>
      <c r="B48" s="44" t="s">
        <v>99</v>
      </c>
      <c r="C48" s="67">
        <f>C34*C33+C40*C39+C46*C45</f>
        <v>49.472999999999999</v>
      </c>
      <c r="D48" s="52" t="s">
        <v>85</v>
      </c>
      <c r="E48" s="45"/>
      <c r="F48" s="45"/>
      <c r="G48" s="53"/>
      <c r="H48" s="54"/>
      <c r="I48" s="55"/>
      <c r="J48" s="55"/>
      <c r="K48" s="55"/>
      <c r="L48" s="56"/>
      <c r="M48" s="46"/>
    </row>
    <row r="49" spans="1:13" s="39" customFormat="1" ht="17.649999999999999" customHeight="1" x14ac:dyDescent="0.2">
      <c r="B49" s="68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6"/>
    </row>
    <row r="50" spans="1:13" s="38" customFormat="1" ht="17.649999999999999" customHeight="1" x14ac:dyDescent="0.2">
      <c r="A50" s="43"/>
      <c r="B50" s="58" t="s">
        <v>83</v>
      </c>
      <c r="C50" s="138" t="s">
        <v>75</v>
      </c>
      <c r="D50" s="138"/>
      <c r="E50" s="138"/>
      <c r="F50" s="138"/>
      <c r="G50" s="138"/>
      <c r="H50" s="138"/>
      <c r="I50" s="138"/>
      <c r="J50" s="138"/>
      <c r="K50" s="138"/>
      <c r="L50" s="59" t="s">
        <v>76</v>
      </c>
      <c r="M50" s="60">
        <f>C71</f>
        <v>50.36</v>
      </c>
    </row>
    <row r="51" spans="1:13" s="38" customFormat="1" ht="17.649999999999999" customHeight="1" x14ac:dyDescent="0.2">
      <c r="A51" s="43"/>
      <c r="B51" s="61"/>
      <c r="C51" s="62"/>
      <c r="D51" s="63"/>
      <c r="E51" s="45"/>
      <c r="F51" s="45"/>
      <c r="G51" s="45"/>
      <c r="H51" s="45"/>
      <c r="I51" s="45"/>
      <c r="J51" s="45"/>
      <c r="K51" s="45"/>
      <c r="L51" s="45"/>
      <c r="M51" s="46"/>
    </row>
    <row r="52" spans="1:13" s="38" customFormat="1" ht="17.649999999999999" customHeight="1" x14ac:dyDescent="0.2">
      <c r="A52" s="43"/>
      <c r="B52" s="61"/>
      <c r="C52" s="62" t="s">
        <v>126</v>
      </c>
      <c r="D52" s="63"/>
      <c r="E52" s="45"/>
      <c r="F52" s="45"/>
      <c r="G52" s="45"/>
      <c r="H52" s="45"/>
      <c r="I52" s="45"/>
      <c r="J52" s="45"/>
      <c r="K52" s="45"/>
      <c r="L52" s="45"/>
      <c r="M52" s="46"/>
    </row>
    <row r="53" spans="1:13" s="38" customFormat="1" ht="17.649999999999999" customHeight="1" x14ac:dyDescent="0.2">
      <c r="A53" s="43"/>
      <c r="B53" s="61" t="s">
        <v>77</v>
      </c>
      <c r="C53" s="28">
        <f>0.6*4</f>
        <v>2.4</v>
      </c>
      <c r="D53" s="63" t="s">
        <v>24</v>
      </c>
      <c r="E53" s="45"/>
      <c r="F53" s="45"/>
      <c r="G53" s="45"/>
      <c r="H53" s="45"/>
      <c r="I53" s="45"/>
      <c r="J53" s="45"/>
      <c r="K53" s="45"/>
      <c r="L53" s="45"/>
      <c r="M53" s="46"/>
    </row>
    <row r="54" spans="1:13" s="38" customFormat="1" ht="17.649999999999999" customHeight="1" x14ac:dyDescent="0.25">
      <c r="A54" s="57"/>
      <c r="B54" s="61" t="s">
        <v>78</v>
      </c>
      <c r="C54" s="28">
        <v>0.6</v>
      </c>
      <c r="D54" s="63" t="s">
        <v>24</v>
      </c>
      <c r="E54" s="64"/>
      <c r="F54" s="64"/>
      <c r="G54" s="64"/>
      <c r="H54" s="65"/>
      <c r="I54" s="50"/>
      <c r="J54" s="50"/>
      <c r="K54" s="50"/>
      <c r="L54" s="51"/>
      <c r="M54" s="46"/>
    </row>
    <row r="55" spans="1:13" s="38" customFormat="1" ht="17.649999999999999" customHeight="1" x14ac:dyDescent="0.25">
      <c r="A55" s="57"/>
      <c r="B55" s="61" t="s">
        <v>79</v>
      </c>
      <c r="C55" s="28">
        <f>C54*C53</f>
        <v>1.44</v>
      </c>
      <c r="D55" s="63" t="s">
        <v>76</v>
      </c>
      <c r="E55" s="64"/>
      <c r="F55" s="64"/>
      <c r="G55" s="64"/>
      <c r="H55" s="65"/>
      <c r="I55" s="50"/>
      <c r="J55" s="50"/>
      <c r="K55" s="50"/>
      <c r="L55" s="51"/>
      <c r="M55" s="46"/>
    </row>
    <row r="56" spans="1:13" s="38" customFormat="1" ht="17.649999999999999" customHeight="1" x14ac:dyDescent="0.2">
      <c r="A56" s="43"/>
      <c r="B56" s="44" t="s">
        <v>80</v>
      </c>
      <c r="C56" s="66">
        <v>9</v>
      </c>
      <c r="D56" s="64" t="s">
        <v>67</v>
      </c>
      <c r="E56" s="64"/>
      <c r="F56" s="64"/>
      <c r="G56" s="64"/>
      <c r="H56" s="65"/>
      <c r="I56" s="50"/>
      <c r="J56" s="50"/>
      <c r="K56" s="50"/>
      <c r="L56" s="51"/>
      <c r="M56" s="46"/>
    </row>
    <row r="57" spans="1:13" s="38" customFormat="1" ht="17.649999999999999" customHeight="1" x14ac:dyDescent="0.2">
      <c r="A57" s="43"/>
      <c r="B57" s="44"/>
      <c r="C57" s="66"/>
      <c r="D57" s="64"/>
      <c r="E57" s="64"/>
      <c r="F57" s="64"/>
      <c r="G57" s="64"/>
      <c r="H57" s="65"/>
      <c r="I57" s="50"/>
      <c r="J57" s="50"/>
      <c r="K57" s="50"/>
      <c r="L57" s="51"/>
      <c r="M57" s="46"/>
    </row>
    <row r="58" spans="1:13" s="38" customFormat="1" ht="17.649999999999999" customHeight="1" x14ac:dyDescent="0.2">
      <c r="A58" s="43"/>
      <c r="B58" s="61"/>
      <c r="C58" s="62" t="s">
        <v>130</v>
      </c>
      <c r="D58" s="63"/>
      <c r="E58" s="45"/>
      <c r="F58" s="45"/>
      <c r="G58" s="45"/>
      <c r="H58" s="45"/>
      <c r="I58" s="45"/>
      <c r="J58" s="45"/>
      <c r="K58" s="45"/>
      <c r="L58" s="45"/>
      <c r="M58" s="46"/>
    </row>
    <row r="59" spans="1:13" s="38" customFormat="1" ht="17.649999999999999" customHeight="1" x14ac:dyDescent="0.2">
      <c r="A59" s="43"/>
      <c r="B59" s="61" t="s">
        <v>77</v>
      </c>
      <c r="C59" s="28">
        <f>0.6*2+1.6*2</f>
        <v>4.4000000000000004</v>
      </c>
      <c r="D59" s="63" t="s">
        <v>24</v>
      </c>
      <c r="E59" s="45"/>
      <c r="F59" s="45"/>
      <c r="G59" s="45"/>
      <c r="H59" s="45"/>
      <c r="I59" s="45"/>
      <c r="J59" s="45"/>
      <c r="K59" s="45"/>
      <c r="L59" s="45"/>
      <c r="M59" s="46"/>
    </row>
    <row r="60" spans="1:13" s="38" customFormat="1" ht="17.649999999999999" customHeight="1" x14ac:dyDescent="0.25">
      <c r="A60" s="57"/>
      <c r="B60" s="61" t="s">
        <v>78</v>
      </c>
      <c r="C60" s="28">
        <v>1</v>
      </c>
      <c r="D60" s="63" t="s">
        <v>24</v>
      </c>
      <c r="E60" s="64"/>
      <c r="F60" s="64"/>
      <c r="G60" s="64"/>
      <c r="H60" s="65"/>
      <c r="I60" s="50"/>
      <c r="J60" s="50"/>
      <c r="K60" s="50"/>
      <c r="L60" s="51"/>
      <c r="M60" s="46"/>
    </row>
    <row r="61" spans="1:13" s="38" customFormat="1" ht="17.649999999999999" customHeight="1" x14ac:dyDescent="0.25">
      <c r="A61" s="57"/>
      <c r="B61" s="61" t="s">
        <v>79</v>
      </c>
      <c r="C61" s="28">
        <f>C60*C59</f>
        <v>4.4000000000000004</v>
      </c>
      <c r="D61" s="63" t="s">
        <v>76</v>
      </c>
      <c r="E61" s="64"/>
      <c r="F61" s="64"/>
      <c r="G61" s="64"/>
      <c r="H61" s="65"/>
      <c r="I61" s="50"/>
      <c r="J61" s="50"/>
      <c r="K61" s="50"/>
      <c r="L61" s="51"/>
      <c r="M61" s="46"/>
    </row>
    <row r="62" spans="1:13" s="38" customFormat="1" ht="17.649999999999999" customHeight="1" x14ac:dyDescent="0.2">
      <c r="A62" s="43"/>
      <c r="B62" s="44" t="s">
        <v>80</v>
      </c>
      <c r="C62" s="66">
        <v>3</v>
      </c>
      <c r="D62" s="64" t="s">
        <v>67</v>
      </c>
      <c r="E62" s="64"/>
      <c r="F62" s="64"/>
      <c r="G62" s="64"/>
      <c r="H62" s="65"/>
      <c r="I62" s="50"/>
      <c r="J62" s="50"/>
      <c r="K62" s="50"/>
      <c r="L62" s="51"/>
      <c r="M62" s="46"/>
    </row>
    <row r="63" spans="1:13" s="38" customFormat="1" ht="17.649999999999999" customHeight="1" x14ac:dyDescent="0.2">
      <c r="A63" s="43"/>
      <c r="B63" s="44"/>
      <c r="C63" s="66"/>
      <c r="D63" s="64"/>
      <c r="E63" s="64"/>
      <c r="F63" s="64"/>
      <c r="G63" s="64"/>
      <c r="H63" s="65"/>
      <c r="I63" s="50"/>
      <c r="J63" s="50"/>
      <c r="K63" s="50"/>
      <c r="L63" s="51"/>
      <c r="M63" s="46"/>
    </row>
    <row r="64" spans="1:13" s="38" customFormat="1" ht="17.649999999999999" customHeight="1" x14ac:dyDescent="0.2">
      <c r="A64" s="43"/>
      <c r="B64" s="61"/>
      <c r="C64" s="62" t="s">
        <v>131</v>
      </c>
      <c r="D64" s="63"/>
      <c r="E64" s="45"/>
      <c r="F64" s="45"/>
      <c r="G64" s="45"/>
      <c r="H64" s="45"/>
      <c r="I64" s="45"/>
      <c r="J64" s="45"/>
      <c r="K64" s="45"/>
      <c r="L64" s="45"/>
      <c r="M64" s="46"/>
    </row>
    <row r="65" spans="1:13" s="38" customFormat="1" ht="17.649999999999999" customHeight="1" x14ac:dyDescent="0.2">
      <c r="A65" s="43"/>
      <c r="B65" s="61" t="s">
        <v>77</v>
      </c>
      <c r="C65" s="28">
        <f>2.2*2+3.3*2</f>
        <v>11</v>
      </c>
      <c r="D65" s="63" t="s">
        <v>24</v>
      </c>
      <c r="E65" s="45"/>
      <c r="F65" s="45"/>
      <c r="G65" s="45"/>
      <c r="H65" s="45"/>
      <c r="I65" s="45"/>
      <c r="J65" s="45"/>
      <c r="K65" s="45"/>
      <c r="L65" s="45"/>
      <c r="M65" s="46"/>
    </row>
    <row r="66" spans="1:13" s="38" customFormat="1" ht="17.649999999999999" customHeight="1" x14ac:dyDescent="0.25">
      <c r="A66" s="57"/>
      <c r="B66" s="61" t="s">
        <v>78</v>
      </c>
      <c r="C66" s="28">
        <v>1.1000000000000001</v>
      </c>
      <c r="D66" s="63" t="s">
        <v>24</v>
      </c>
      <c r="E66" s="64"/>
      <c r="F66" s="64"/>
      <c r="G66" s="64"/>
      <c r="H66" s="65"/>
      <c r="I66" s="50"/>
      <c r="J66" s="50"/>
      <c r="K66" s="50"/>
      <c r="L66" s="51"/>
      <c r="M66" s="46"/>
    </row>
    <row r="67" spans="1:13" s="38" customFormat="1" ht="17.649999999999999" customHeight="1" x14ac:dyDescent="0.25">
      <c r="A67" s="57"/>
      <c r="B67" s="61" t="s">
        <v>79</v>
      </c>
      <c r="C67" s="28">
        <f>C66*C65</f>
        <v>12.100000000000001</v>
      </c>
      <c r="D67" s="63" t="s">
        <v>76</v>
      </c>
      <c r="E67" s="64"/>
      <c r="F67" s="64"/>
      <c r="G67" s="64"/>
      <c r="H67" s="65"/>
      <c r="I67" s="50"/>
      <c r="J67" s="50"/>
      <c r="K67" s="50"/>
      <c r="L67" s="51"/>
      <c r="M67" s="46"/>
    </row>
    <row r="68" spans="1:13" s="38" customFormat="1" ht="17.649999999999999" customHeight="1" x14ac:dyDescent="0.2">
      <c r="A68" s="43"/>
      <c r="B68" s="44" t="s">
        <v>80</v>
      </c>
      <c r="C68" s="66">
        <v>2</v>
      </c>
      <c r="D68" s="64" t="s">
        <v>67</v>
      </c>
      <c r="E68" s="64"/>
      <c r="F68" s="64"/>
      <c r="G68" s="64"/>
      <c r="H68" s="65"/>
      <c r="I68" s="50"/>
      <c r="J68" s="50"/>
      <c r="K68" s="50"/>
      <c r="L68" s="51"/>
      <c r="M68" s="46"/>
    </row>
    <row r="69" spans="1:13" s="38" customFormat="1" ht="17.649999999999999" customHeight="1" x14ac:dyDescent="0.2">
      <c r="A69" s="43"/>
      <c r="B69" s="44"/>
      <c r="C69" s="66"/>
      <c r="D69" s="64"/>
      <c r="E69" s="64"/>
      <c r="F69" s="64"/>
      <c r="G69" s="64"/>
      <c r="H69" s="65"/>
      <c r="I69" s="50"/>
      <c r="J69" s="50"/>
      <c r="K69" s="50"/>
      <c r="L69" s="51"/>
      <c r="M69" s="46"/>
    </row>
    <row r="70" spans="1:13" s="38" customFormat="1" ht="17.649999999999999" customHeight="1" x14ac:dyDescent="0.2">
      <c r="A70" s="43"/>
      <c r="B70" s="44"/>
      <c r="C70" s="66"/>
      <c r="D70" s="64"/>
      <c r="E70" s="64"/>
      <c r="F70" s="64"/>
      <c r="G70" s="64"/>
      <c r="H70" s="65"/>
      <c r="I70" s="50"/>
      <c r="J70" s="50"/>
      <c r="K70" s="50"/>
      <c r="L70" s="51"/>
      <c r="M70" s="46"/>
    </row>
    <row r="71" spans="1:13" s="38" customFormat="1" ht="17.649999999999999" customHeight="1" x14ac:dyDescent="0.25">
      <c r="A71" s="57"/>
      <c r="B71" s="44" t="s">
        <v>81</v>
      </c>
      <c r="C71" s="67">
        <f>C56*C55+C62*C61+C68*C67</f>
        <v>50.36</v>
      </c>
      <c r="D71" s="52" t="s">
        <v>82</v>
      </c>
      <c r="E71" s="45"/>
      <c r="F71" s="45"/>
      <c r="G71" s="53"/>
      <c r="H71" s="54"/>
      <c r="I71" s="55"/>
      <c r="J71" s="55"/>
      <c r="K71" s="55"/>
      <c r="L71" s="56"/>
      <c r="M71" s="46"/>
    </row>
    <row r="72" spans="1:13" s="38" customFormat="1" ht="17.649999999999999" customHeight="1" x14ac:dyDescent="0.25">
      <c r="A72" s="57"/>
      <c r="B72" s="58" t="s">
        <v>89</v>
      </c>
      <c r="C72" s="138" t="s">
        <v>84</v>
      </c>
      <c r="D72" s="138"/>
      <c r="E72" s="138"/>
      <c r="F72" s="138"/>
      <c r="G72" s="138"/>
      <c r="H72" s="138"/>
      <c r="I72" s="138"/>
      <c r="J72" s="138"/>
      <c r="K72" s="138"/>
      <c r="L72" s="59" t="s">
        <v>85</v>
      </c>
      <c r="M72" s="60">
        <f>C92</f>
        <v>19.644000000000002</v>
      </c>
    </row>
    <row r="73" spans="1:13" s="38" customFormat="1" ht="17.649999999999999" customHeight="1" x14ac:dyDescent="0.25">
      <c r="A73" s="57"/>
      <c r="B73" s="68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6"/>
    </row>
    <row r="74" spans="1:13" s="38" customFormat="1" ht="17.649999999999999" customHeight="1" x14ac:dyDescent="0.2">
      <c r="A74" s="43"/>
      <c r="B74" s="61"/>
      <c r="C74" s="62" t="s">
        <v>126</v>
      </c>
      <c r="D74" s="63"/>
      <c r="E74" s="45"/>
      <c r="F74" s="45"/>
      <c r="G74" s="45"/>
      <c r="H74" s="45"/>
      <c r="I74" s="45"/>
      <c r="J74" s="45"/>
      <c r="K74" s="45"/>
      <c r="L74" s="45"/>
      <c r="M74" s="46"/>
    </row>
    <row r="75" spans="1:13" s="38" customFormat="1" ht="17.649999999999999" customHeight="1" x14ac:dyDescent="0.2">
      <c r="A75" s="43"/>
      <c r="B75" s="61" t="s">
        <v>128</v>
      </c>
      <c r="C75" s="28">
        <f>0.6*0.6</f>
        <v>0.36</v>
      </c>
      <c r="D75" s="63" t="s">
        <v>76</v>
      </c>
      <c r="E75" s="45"/>
      <c r="F75" s="45"/>
      <c r="G75" s="45"/>
      <c r="H75" s="45"/>
      <c r="I75" s="45"/>
      <c r="J75" s="45"/>
      <c r="K75" s="45"/>
      <c r="L75" s="45"/>
      <c r="M75" s="46"/>
    </row>
    <row r="76" spans="1:13" s="38" customFormat="1" ht="17.649999999999999" customHeight="1" x14ac:dyDescent="0.25">
      <c r="A76" s="57"/>
      <c r="B76" s="61" t="s">
        <v>87</v>
      </c>
      <c r="C76" s="28">
        <v>0.6</v>
      </c>
      <c r="D76" s="63" t="s">
        <v>24</v>
      </c>
      <c r="E76" s="64"/>
      <c r="F76" s="64"/>
      <c r="G76" s="64"/>
      <c r="H76" s="65"/>
      <c r="I76" s="50"/>
      <c r="J76" s="50"/>
      <c r="K76" s="50"/>
      <c r="L76" s="51"/>
      <c r="M76" s="46"/>
    </row>
    <row r="77" spans="1:13" s="38" customFormat="1" ht="17.649999999999999" customHeight="1" x14ac:dyDescent="0.25">
      <c r="A77" s="57"/>
      <c r="B77" s="61" t="s">
        <v>88</v>
      </c>
      <c r="C77" s="28">
        <f>C76*C75</f>
        <v>0.216</v>
      </c>
      <c r="D77" s="63" t="s">
        <v>85</v>
      </c>
      <c r="E77" s="64"/>
      <c r="F77" s="64"/>
      <c r="G77" s="64"/>
      <c r="H77" s="65"/>
      <c r="I77" s="50"/>
      <c r="J77" s="50"/>
      <c r="K77" s="50"/>
      <c r="L77" s="51"/>
      <c r="M77" s="46"/>
    </row>
    <row r="78" spans="1:13" s="38" customFormat="1" ht="17.649999999999999" customHeight="1" x14ac:dyDescent="0.2">
      <c r="A78" s="43"/>
      <c r="B78" s="44" t="s">
        <v>80</v>
      </c>
      <c r="C78" s="66">
        <v>9</v>
      </c>
      <c r="D78" s="64" t="s">
        <v>67</v>
      </c>
      <c r="E78" s="64"/>
      <c r="F78" s="64"/>
      <c r="G78" s="64"/>
      <c r="H78" s="65"/>
      <c r="I78" s="50"/>
      <c r="J78" s="50"/>
      <c r="K78" s="50"/>
      <c r="L78" s="51"/>
      <c r="M78" s="46"/>
    </row>
    <row r="79" spans="1:13" s="38" customFormat="1" ht="17.649999999999999" customHeight="1" x14ac:dyDescent="0.2">
      <c r="A79" s="43"/>
      <c r="B79" s="44"/>
      <c r="C79" s="66"/>
      <c r="D79" s="64"/>
      <c r="E79" s="64"/>
      <c r="F79" s="64"/>
      <c r="G79" s="64"/>
      <c r="H79" s="65"/>
      <c r="I79" s="50"/>
      <c r="J79" s="50"/>
      <c r="K79" s="50"/>
      <c r="L79" s="51"/>
      <c r="M79" s="46"/>
    </row>
    <row r="80" spans="1:13" s="38" customFormat="1" ht="17.649999999999999" customHeight="1" x14ac:dyDescent="0.2">
      <c r="A80" s="43"/>
      <c r="B80" s="61"/>
      <c r="C80" s="62" t="s">
        <v>130</v>
      </c>
      <c r="D80" s="63"/>
      <c r="E80" s="45"/>
      <c r="F80" s="45"/>
      <c r="G80" s="45"/>
      <c r="H80" s="45"/>
      <c r="I80" s="45"/>
      <c r="J80" s="45"/>
      <c r="K80" s="45"/>
      <c r="L80" s="45"/>
      <c r="M80" s="46"/>
    </row>
    <row r="81" spans="1:15" s="38" customFormat="1" ht="17.649999999999999" customHeight="1" x14ac:dyDescent="0.2">
      <c r="A81" s="43"/>
      <c r="B81" s="61" t="s">
        <v>128</v>
      </c>
      <c r="C81" s="28">
        <f>0.6*1.6</f>
        <v>0.96</v>
      </c>
      <c r="D81" s="63" t="s">
        <v>76</v>
      </c>
      <c r="E81" s="45"/>
      <c r="F81" s="45"/>
      <c r="G81" s="45"/>
      <c r="H81" s="45"/>
      <c r="I81" s="45"/>
      <c r="J81" s="45"/>
      <c r="K81" s="45"/>
      <c r="L81" s="45"/>
      <c r="M81" s="46"/>
    </row>
    <row r="82" spans="1:15" s="38" customFormat="1" ht="17.649999999999999" customHeight="1" x14ac:dyDescent="0.25">
      <c r="A82" s="57"/>
      <c r="B82" s="61" t="s">
        <v>87</v>
      </c>
      <c r="C82" s="28">
        <v>0.6</v>
      </c>
      <c r="D82" s="63" t="s">
        <v>24</v>
      </c>
      <c r="E82" s="64"/>
      <c r="F82" s="64"/>
      <c r="G82" s="64"/>
      <c r="H82" s="65"/>
      <c r="I82" s="50"/>
      <c r="J82" s="50"/>
      <c r="K82" s="50"/>
      <c r="L82" s="51"/>
      <c r="M82" s="46"/>
    </row>
    <row r="83" spans="1:15" s="38" customFormat="1" ht="17.649999999999999" customHeight="1" x14ac:dyDescent="0.25">
      <c r="A83" s="57"/>
      <c r="B83" s="61" t="s">
        <v>88</v>
      </c>
      <c r="C83" s="28">
        <f>C82*C81</f>
        <v>0.57599999999999996</v>
      </c>
      <c r="D83" s="63" t="s">
        <v>85</v>
      </c>
      <c r="E83" s="64"/>
      <c r="F83" s="64"/>
      <c r="G83" s="64"/>
      <c r="H83" s="65"/>
      <c r="I83" s="50"/>
      <c r="J83" s="50"/>
      <c r="K83" s="50"/>
      <c r="L83" s="51"/>
      <c r="M83" s="46"/>
    </row>
    <row r="84" spans="1:15" s="38" customFormat="1" ht="17.649999999999999" customHeight="1" x14ac:dyDescent="0.2">
      <c r="A84" s="43"/>
      <c r="B84" s="44" t="s">
        <v>80</v>
      </c>
      <c r="C84" s="66">
        <v>3</v>
      </c>
      <c r="D84" s="64" t="s">
        <v>67</v>
      </c>
      <c r="E84" s="64"/>
      <c r="F84" s="64"/>
      <c r="G84" s="64"/>
      <c r="H84" s="65"/>
      <c r="I84" s="50"/>
      <c r="J84" s="50"/>
      <c r="K84" s="50"/>
      <c r="L84" s="51"/>
      <c r="M84" s="46"/>
    </row>
    <row r="85" spans="1:15" s="38" customFormat="1" ht="17.649999999999999" customHeight="1" x14ac:dyDescent="0.2">
      <c r="A85" s="43"/>
      <c r="B85" s="44"/>
      <c r="C85" s="66"/>
      <c r="D85" s="64"/>
      <c r="E85" s="64"/>
      <c r="F85" s="64"/>
      <c r="G85" s="64"/>
      <c r="H85" s="65"/>
      <c r="I85" s="50"/>
      <c r="J85" s="50"/>
      <c r="K85" s="50"/>
      <c r="L85" s="51"/>
      <c r="M85" s="46"/>
    </row>
    <row r="86" spans="1:15" s="38" customFormat="1" ht="17.649999999999999" customHeight="1" x14ac:dyDescent="0.2">
      <c r="A86" s="43"/>
      <c r="B86" s="61"/>
      <c r="C86" s="62" t="s">
        <v>131</v>
      </c>
      <c r="D86" s="63"/>
      <c r="E86" s="45"/>
      <c r="F86" s="45"/>
      <c r="G86" s="45"/>
      <c r="H86" s="45"/>
      <c r="I86" s="45"/>
      <c r="J86" s="45"/>
      <c r="K86" s="45"/>
      <c r="L86" s="45"/>
      <c r="M86" s="46"/>
    </row>
    <row r="87" spans="1:15" s="38" customFormat="1" ht="17.649999999999999" customHeight="1" x14ac:dyDescent="0.2">
      <c r="A87" s="43"/>
      <c r="B87" s="61" t="s">
        <v>128</v>
      </c>
      <c r="C87" s="28">
        <f>2.2*3.3</f>
        <v>7.26</v>
      </c>
      <c r="D87" s="63" t="s">
        <v>76</v>
      </c>
      <c r="E87" s="45"/>
      <c r="F87" s="45"/>
      <c r="G87" s="45"/>
      <c r="H87" s="45"/>
      <c r="I87" s="45"/>
      <c r="J87" s="45"/>
      <c r="K87" s="45"/>
      <c r="L87" s="45"/>
      <c r="M87" s="46"/>
    </row>
    <row r="88" spans="1:15" s="38" customFormat="1" ht="17.649999999999999" customHeight="1" x14ac:dyDescent="0.25">
      <c r="A88" s="57"/>
      <c r="B88" s="61" t="s">
        <v>87</v>
      </c>
      <c r="C88" s="28">
        <v>1.1000000000000001</v>
      </c>
      <c r="D88" s="63" t="s">
        <v>24</v>
      </c>
      <c r="E88" s="64"/>
      <c r="F88" s="64"/>
      <c r="G88" s="64"/>
      <c r="H88" s="65"/>
      <c r="I88" s="50"/>
      <c r="J88" s="50"/>
      <c r="K88" s="50"/>
      <c r="L88" s="51"/>
      <c r="M88" s="46"/>
    </row>
    <row r="89" spans="1:15" s="38" customFormat="1" ht="17.649999999999999" customHeight="1" x14ac:dyDescent="0.25">
      <c r="A89" s="57"/>
      <c r="B89" s="61" t="s">
        <v>88</v>
      </c>
      <c r="C89" s="28">
        <f>C88*C87</f>
        <v>7.9860000000000007</v>
      </c>
      <c r="D89" s="63" t="s">
        <v>85</v>
      </c>
      <c r="E89" s="64"/>
      <c r="F89" s="64"/>
      <c r="G89" s="64"/>
      <c r="H89" s="65"/>
      <c r="I89" s="50"/>
      <c r="J89" s="50"/>
      <c r="K89" s="50"/>
      <c r="L89" s="51"/>
      <c r="M89" s="46"/>
    </row>
    <row r="90" spans="1:15" s="38" customFormat="1" ht="17.649999999999999" customHeight="1" x14ac:dyDescent="0.2">
      <c r="A90" s="43"/>
      <c r="B90" s="44" t="s">
        <v>80</v>
      </c>
      <c r="C90" s="66">
        <v>2</v>
      </c>
      <c r="D90" s="64" t="s">
        <v>67</v>
      </c>
      <c r="E90" s="64"/>
      <c r="F90" s="64"/>
      <c r="G90" s="64"/>
      <c r="H90" s="65"/>
      <c r="I90" s="50"/>
      <c r="J90" s="50"/>
      <c r="K90" s="50"/>
      <c r="L90" s="51"/>
      <c r="M90" s="46"/>
    </row>
    <row r="91" spans="1:15" s="38" customFormat="1" ht="17.649999999999999" customHeight="1" x14ac:dyDescent="0.2">
      <c r="A91" s="43"/>
      <c r="B91" s="44"/>
      <c r="C91" s="66"/>
      <c r="D91" s="64"/>
      <c r="E91" s="64"/>
      <c r="F91" s="64"/>
      <c r="G91" s="64"/>
      <c r="H91" s="65"/>
      <c r="I91" s="50"/>
      <c r="J91" s="50"/>
      <c r="K91" s="50"/>
      <c r="L91" s="51"/>
      <c r="M91" s="46"/>
    </row>
    <row r="92" spans="1:15" s="38" customFormat="1" ht="17.649999999999999" customHeight="1" x14ac:dyDescent="0.25">
      <c r="A92" s="57"/>
      <c r="B92" s="44" t="s">
        <v>88</v>
      </c>
      <c r="C92" s="67">
        <f>C78*C77+C84*C83+C90*C89</f>
        <v>19.644000000000002</v>
      </c>
      <c r="D92" s="52" t="s">
        <v>85</v>
      </c>
      <c r="E92" s="45"/>
      <c r="F92" s="45"/>
      <c r="G92" s="53"/>
      <c r="H92" s="54"/>
      <c r="I92" s="55"/>
      <c r="J92" s="55"/>
      <c r="K92" s="55"/>
      <c r="L92" s="56"/>
      <c r="M92" s="46"/>
    </row>
    <row r="93" spans="1:15" s="38" customFormat="1" ht="17.649999999999999" customHeight="1" x14ac:dyDescent="0.25">
      <c r="A93" s="57"/>
      <c r="B93" s="44"/>
      <c r="C93" s="45"/>
      <c r="D93" s="52"/>
      <c r="E93" s="45"/>
      <c r="F93" s="45"/>
      <c r="G93" s="53"/>
      <c r="H93" s="54"/>
      <c r="I93" s="55"/>
      <c r="J93" s="55"/>
      <c r="K93" s="55"/>
      <c r="L93" s="56"/>
      <c r="M93" s="46"/>
    </row>
    <row r="94" spans="1:15" s="38" customFormat="1" ht="17.649999999999999" customHeight="1" x14ac:dyDescent="0.25">
      <c r="A94" s="57"/>
      <c r="B94" s="58" t="s">
        <v>140</v>
      </c>
      <c r="C94" s="138" t="s">
        <v>70</v>
      </c>
      <c r="D94" s="138"/>
      <c r="E94" s="138"/>
      <c r="F94" s="138"/>
      <c r="G94" s="138"/>
      <c r="H94" s="138"/>
      <c r="I94" s="138"/>
      <c r="J94" s="138"/>
      <c r="K94" s="138"/>
      <c r="L94" s="59" t="s">
        <v>27</v>
      </c>
      <c r="M94" s="60">
        <f>C95</f>
        <v>1702.7</v>
      </c>
    </row>
    <row r="95" spans="1:15" s="38" customFormat="1" ht="17.649999999999999" customHeight="1" x14ac:dyDescent="0.25">
      <c r="A95" s="43"/>
      <c r="B95" s="44" t="s">
        <v>71</v>
      </c>
      <c r="C95" s="45">
        <f>214.68+160.03+1225.33+102.66</f>
        <v>1702.7</v>
      </c>
      <c r="D95" s="52" t="s">
        <v>27</v>
      </c>
      <c r="F95" s="45"/>
      <c r="G95" s="53"/>
      <c r="H95" s="54"/>
      <c r="I95" s="55"/>
      <c r="J95" s="55"/>
      <c r="K95" s="55"/>
      <c r="L95" s="56"/>
      <c r="M95" s="46"/>
      <c r="O95" s="62"/>
    </row>
    <row r="96" spans="1:15" s="38" customFormat="1" ht="17.649999999999999" customHeight="1" x14ac:dyDescent="0.25">
      <c r="A96" s="57"/>
      <c r="B96" s="44"/>
      <c r="C96" s="45"/>
      <c r="D96" s="52"/>
      <c r="E96" s="45"/>
      <c r="F96" s="45"/>
      <c r="G96" s="53"/>
      <c r="H96" s="54"/>
      <c r="I96" s="55"/>
      <c r="J96" s="55"/>
      <c r="K96" s="55"/>
      <c r="L96" s="56"/>
      <c r="M96" s="46"/>
    </row>
    <row r="97" spans="1:13" s="38" customFormat="1" ht="33" customHeight="1" x14ac:dyDescent="0.25">
      <c r="A97" s="57"/>
      <c r="B97" s="58" t="s">
        <v>141</v>
      </c>
      <c r="C97" s="138" t="s">
        <v>139</v>
      </c>
      <c r="D97" s="138"/>
      <c r="E97" s="138"/>
      <c r="F97" s="138"/>
      <c r="G97" s="138"/>
      <c r="H97" s="138"/>
      <c r="I97" s="138"/>
      <c r="J97" s="138"/>
      <c r="K97" s="138"/>
      <c r="L97" s="59" t="s">
        <v>85</v>
      </c>
      <c r="M97" s="60">
        <f>C100</f>
        <v>0.33599999999999997</v>
      </c>
    </row>
    <row r="98" spans="1:13" s="38" customFormat="1" ht="17.649999999999999" customHeight="1" x14ac:dyDescent="0.25">
      <c r="A98" s="57"/>
      <c r="B98" s="61" t="s">
        <v>128</v>
      </c>
      <c r="C98" s="28">
        <f>0.3*0.8</f>
        <v>0.24</v>
      </c>
      <c r="D98" s="63" t="s">
        <v>76</v>
      </c>
      <c r="F98" s="45"/>
      <c r="G98" s="53"/>
      <c r="H98" s="54"/>
      <c r="I98" s="55"/>
      <c r="J98" s="55"/>
      <c r="K98" s="55"/>
      <c r="L98" s="56"/>
      <c r="M98" s="46"/>
    </row>
    <row r="99" spans="1:13" s="38" customFormat="1" ht="17.649999999999999" customHeight="1" x14ac:dyDescent="0.25">
      <c r="A99" s="57"/>
      <c r="B99" s="61" t="s">
        <v>65</v>
      </c>
      <c r="C99" s="28">
        <v>1.4</v>
      </c>
      <c r="D99" s="63" t="s">
        <v>24</v>
      </c>
      <c r="E99" s="45"/>
      <c r="F99" s="45"/>
      <c r="G99" s="53"/>
      <c r="H99" s="54"/>
      <c r="I99" s="55"/>
      <c r="J99" s="55"/>
      <c r="K99" s="55"/>
      <c r="L99" s="56"/>
      <c r="M99" s="46"/>
    </row>
    <row r="100" spans="1:13" s="38" customFormat="1" ht="17.649999999999999" customHeight="1" x14ac:dyDescent="0.25">
      <c r="A100" s="57"/>
      <c r="B100" s="123" t="s">
        <v>88</v>
      </c>
      <c r="C100" s="124">
        <f>C99*C98</f>
        <v>0.33599999999999997</v>
      </c>
      <c r="D100" s="113" t="s">
        <v>85</v>
      </c>
      <c r="E100" s="45"/>
      <c r="F100" s="45"/>
      <c r="G100" s="53"/>
      <c r="H100" s="54"/>
      <c r="I100" s="55"/>
      <c r="J100" s="55"/>
      <c r="K100" s="55"/>
      <c r="L100" s="56"/>
      <c r="M100" s="46"/>
    </row>
    <row r="101" spans="1:13" s="38" customFormat="1" ht="17.649999999999999" customHeight="1" x14ac:dyDescent="0.25">
      <c r="A101" s="57"/>
      <c r="B101" s="44"/>
      <c r="C101" s="45"/>
      <c r="D101" s="52"/>
      <c r="E101" s="45"/>
      <c r="F101" s="45"/>
      <c r="G101" s="53"/>
      <c r="H101" s="54"/>
      <c r="I101" s="55"/>
      <c r="J101" s="55"/>
      <c r="K101" s="55"/>
      <c r="L101" s="56"/>
      <c r="M101" s="46"/>
    </row>
    <row r="102" spans="1:13" s="38" customFormat="1" ht="33" customHeight="1" x14ac:dyDescent="0.25">
      <c r="A102" s="57"/>
      <c r="B102" s="58" t="s">
        <v>184</v>
      </c>
      <c r="C102" s="138" t="str">
        <f>'ORÇAMENTO CONSTRUÇÃO PASSARELA '!D20</f>
        <v>Reaterro e compactação com soquete vibratório</v>
      </c>
      <c r="D102" s="138"/>
      <c r="E102" s="138"/>
      <c r="F102" s="138"/>
      <c r="G102" s="138"/>
      <c r="H102" s="138"/>
      <c r="I102" s="138"/>
      <c r="J102" s="138"/>
      <c r="K102" s="138"/>
      <c r="L102" s="59" t="s">
        <v>85</v>
      </c>
      <c r="M102" s="60">
        <f>C105</f>
        <v>12.971</v>
      </c>
    </row>
    <row r="103" spans="1:13" s="38" customFormat="1" ht="17.649999999999999" customHeight="1" x14ac:dyDescent="0.25">
      <c r="A103" s="57"/>
      <c r="B103" s="61" t="s">
        <v>128</v>
      </c>
      <c r="C103" s="28">
        <v>4.6325000000000003</v>
      </c>
      <c r="D103" s="63" t="s">
        <v>76</v>
      </c>
      <c r="F103" s="45"/>
      <c r="G103" s="53"/>
      <c r="H103" s="54"/>
      <c r="I103" s="55"/>
      <c r="J103" s="55"/>
      <c r="K103" s="55"/>
      <c r="L103" s="56"/>
      <c r="M103" s="46"/>
    </row>
    <row r="104" spans="1:13" s="38" customFormat="1" ht="17.649999999999999" customHeight="1" x14ac:dyDescent="0.25">
      <c r="A104" s="57"/>
      <c r="B104" s="61" t="s">
        <v>65</v>
      </c>
      <c r="C104" s="28">
        <v>1.4</v>
      </c>
      <c r="D104" s="63" t="s">
        <v>24</v>
      </c>
      <c r="E104" s="45"/>
      <c r="F104" s="45"/>
      <c r="G104" s="53"/>
      <c r="H104" s="54"/>
      <c r="I104" s="55"/>
      <c r="J104" s="55"/>
      <c r="K104" s="55"/>
      <c r="L104" s="56"/>
      <c r="M104" s="46"/>
    </row>
    <row r="105" spans="1:13" s="38" customFormat="1" ht="17.649999999999999" customHeight="1" x14ac:dyDescent="0.25">
      <c r="A105" s="57"/>
      <c r="B105" s="123" t="s">
        <v>88</v>
      </c>
      <c r="C105" s="124">
        <f>C104*C103*2</f>
        <v>12.971</v>
      </c>
      <c r="D105" s="113" t="s">
        <v>85</v>
      </c>
      <c r="E105" s="45"/>
      <c r="F105" s="45"/>
      <c r="G105" s="53"/>
      <c r="H105" s="54"/>
      <c r="I105" s="55"/>
      <c r="J105" s="55"/>
      <c r="K105" s="55"/>
      <c r="L105" s="56"/>
      <c r="M105" s="46"/>
    </row>
    <row r="106" spans="1:13" s="38" customFormat="1" ht="17.649999999999999" customHeight="1" x14ac:dyDescent="0.25">
      <c r="A106" s="57"/>
      <c r="B106" s="44"/>
      <c r="C106" s="45"/>
      <c r="D106" s="52"/>
      <c r="E106" s="45"/>
      <c r="F106" s="45"/>
      <c r="G106" s="53"/>
      <c r="H106" s="54"/>
      <c r="I106" s="55"/>
      <c r="J106" s="55"/>
      <c r="K106" s="55"/>
      <c r="L106" s="56"/>
      <c r="M106" s="46"/>
    </row>
    <row r="107" spans="1:13" s="38" customFormat="1" ht="17.649999999999999" customHeight="1" x14ac:dyDescent="0.2">
      <c r="A107" s="34"/>
      <c r="B107" s="35" t="s">
        <v>90</v>
      </c>
      <c r="C107" s="142" t="s">
        <v>91</v>
      </c>
      <c r="D107" s="142"/>
      <c r="E107" s="142"/>
      <c r="F107" s="142"/>
      <c r="G107" s="142"/>
      <c r="H107" s="142"/>
      <c r="I107" s="142"/>
      <c r="J107" s="142"/>
      <c r="K107" s="142"/>
      <c r="L107" s="36"/>
      <c r="M107" s="37"/>
    </row>
    <row r="108" spans="1:13" s="38" customFormat="1" ht="17.649999999999999" customHeight="1" x14ac:dyDescent="0.2">
      <c r="A108" s="43"/>
      <c r="B108" s="58" t="s">
        <v>92</v>
      </c>
      <c r="C108" s="138" t="s">
        <v>93</v>
      </c>
      <c r="D108" s="138"/>
      <c r="E108" s="138"/>
      <c r="F108" s="138"/>
      <c r="G108" s="138"/>
      <c r="H108" s="138"/>
      <c r="I108" s="138"/>
      <c r="J108" s="138"/>
      <c r="K108" s="138"/>
      <c r="L108" s="59" t="s">
        <v>76</v>
      </c>
      <c r="M108" s="60">
        <f>C170</f>
        <v>166.3664</v>
      </c>
    </row>
    <row r="109" spans="1:13" s="38" customFormat="1" ht="17.649999999999999" customHeight="1" x14ac:dyDescent="0.25">
      <c r="A109" s="43"/>
      <c r="B109" s="44"/>
      <c r="C109" s="45"/>
      <c r="D109" s="52"/>
      <c r="E109" s="45"/>
      <c r="F109" s="45"/>
      <c r="G109" s="53"/>
      <c r="H109" s="54"/>
      <c r="I109" s="55"/>
      <c r="J109" s="55"/>
      <c r="K109" s="55"/>
      <c r="L109" s="56"/>
      <c r="M109" s="46"/>
    </row>
    <row r="110" spans="1:13" s="38" customFormat="1" ht="17.649999999999999" customHeight="1" x14ac:dyDescent="0.2">
      <c r="A110" s="43"/>
      <c r="B110" s="72" t="s">
        <v>142</v>
      </c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6"/>
    </row>
    <row r="111" spans="1:13" s="38" customFormat="1" ht="17.649999999999999" customHeight="1" x14ac:dyDescent="0.2">
      <c r="A111" s="43"/>
      <c r="B111" s="44" t="s">
        <v>94</v>
      </c>
      <c r="C111" s="47">
        <f>0.3*2+0.3*2</f>
        <v>1.2</v>
      </c>
      <c r="D111" s="47" t="s">
        <v>24</v>
      </c>
      <c r="E111" s="47"/>
      <c r="F111" s="47"/>
      <c r="G111" s="47"/>
      <c r="H111" s="48"/>
      <c r="I111" s="49"/>
      <c r="J111" s="49"/>
      <c r="K111" s="50"/>
      <c r="L111" s="51"/>
      <c r="M111" s="46"/>
    </row>
    <row r="112" spans="1:13" s="38" customFormat="1" ht="17.649999999999999" customHeight="1" x14ac:dyDescent="0.2">
      <c r="A112" s="43"/>
      <c r="B112" s="44" t="s">
        <v>143</v>
      </c>
      <c r="C112" s="47">
        <f>(173+148+117+86+55+24+173+199+231+262+293+324)/12*0.01</f>
        <v>1.7375</v>
      </c>
      <c r="D112" s="47" t="s">
        <v>24</v>
      </c>
      <c r="E112" s="47"/>
      <c r="F112" s="47"/>
      <c r="G112" s="47"/>
      <c r="H112" s="48"/>
      <c r="I112" s="49"/>
      <c r="J112" s="49"/>
      <c r="K112" s="50"/>
      <c r="L112" s="51"/>
      <c r="M112" s="46"/>
    </row>
    <row r="113" spans="1:13" s="38" customFormat="1" ht="17.649999999999999" customHeight="1" x14ac:dyDescent="0.2">
      <c r="A113" s="43"/>
      <c r="B113" s="44" t="s">
        <v>95</v>
      </c>
      <c r="C113" s="47">
        <f>C112*C111</f>
        <v>2.085</v>
      </c>
      <c r="D113" s="47" t="s">
        <v>76</v>
      </c>
      <c r="E113" s="47"/>
      <c r="F113" s="47"/>
      <c r="G113" s="47"/>
      <c r="H113" s="48"/>
      <c r="I113" s="49"/>
      <c r="J113" s="49"/>
      <c r="K113" s="50"/>
      <c r="L113" s="51"/>
      <c r="M113" s="46"/>
    </row>
    <row r="114" spans="1:13" s="38" customFormat="1" ht="17.649999999999999" customHeight="1" x14ac:dyDescent="0.2">
      <c r="A114" s="43"/>
      <c r="B114" s="44" t="s">
        <v>96</v>
      </c>
      <c r="C114" s="64">
        <v>12</v>
      </c>
      <c r="D114" s="64" t="s">
        <v>67</v>
      </c>
      <c r="E114" s="64"/>
      <c r="F114" s="64"/>
      <c r="G114" s="64"/>
      <c r="H114" s="65"/>
      <c r="I114" s="50"/>
      <c r="J114" s="50"/>
      <c r="K114" s="50"/>
      <c r="L114" s="51"/>
      <c r="M114" s="46"/>
    </row>
    <row r="115" spans="1:13" s="38" customFormat="1" ht="17.649999999999999" customHeight="1" x14ac:dyDescent="0.25">
      <c r="A115" s="43"/>
      <c r="B115" s="44" t="s">
        <v>97</v>
      </c>
      <c r="C115" s="45">
        <f>C113*C114</f>
        <v>25.02</v>
      </c>
      <c r="D115" s="52" t="s">
        <v>76</v>
      </c>
      <c r="E115" s="45"/>
      <c r="F115" s="45"/>
      <c r="G115" s="53"/>
      <c r="H115" s="54"/>
      <c r="I115" s="55"/>
      <c r="J115" s="55"/>
      <c r="K115" s="55"/>
      <c r="L115" s="56"/>
      <c r="M115" s="46"/>
    </row>
    <row r="116" spans="1:13" s="38" customFormat="1" ht="17.649999999999999" customHeight="1" x14ac:dyDescent="0.25">
      <c r="A116" s="43"/>
      <c r="B116" s="44"/>
      <c r="C116" s="45"/>
      <c r="D116" s="52"/>
      <c r="E116" s="45"/>
      <c r="F116" s="45"/>
      <c r="G116" s="53"/>
      <c r="H116" s="54"/>
      <c r="I116" s="55"/>
      <c r="J116" s="55"/>
      <c r="K116" s="55"/>
      <c r="L116" s="56"/>
      <c r="M116" s="46"/>
    </row>
    <row r="117" spans="1:13" s="38" customFormat="1" ht="17.649999999999999" customHeight="1" x14ac:dyDescent="0.2">
      <c r="A117" s="43"/>
      <c r="B117" s="72" t="s">
        <v>144</v>
      </c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13" s="38" customFormat="1" ht="17.649999999999999" customHeight="1" x14ac:dyDescent="0.2">
      <c r="A118" s="43"/>
      <c r="B118" s="44" t="s">
        <v>94</v>
      </c>
      <c r="C118" s="47">
        <f>0.3*2+0.3*2</f>
        <v>1.2</v>
      </c>
      <c r="D118" s="47" t="s">
        <v>24</v>
      </c>
      <c r="E118" s="47"/>
      <c r="F118" s="47"/>
      <c r="G118" s="47"/>
      <c r="H118" s="48"/>
      <c r="I118" s="49"/>
      <c r="J118" s="49"/>
      <c r="K118" s="50"/>
      <c r="L118" s="51"/>
      <c r="M118" s="46"/>
    </row>
    <row r="119" spans="1:13" s="38" customFormat="1" ht="17.649999999999999" customHeight="1" x14ac:dyDescent="0.2">
      <c r="A119" s="43"/>
      <c r="B119" s="44" t="s">
        <v>146</v>
      </c>
      <c r="C119" s="47">
        <v>3.05</v>
      </c>
      <c r="D119" s="47" t="s">
        <v>24</v>
      </c>
      <c r="E119" s="47"/>
      <c r="F119" s="47"/>
      <c r="G119" s="47"/>
      <c r="H119" s="48"/>
      <c r="I119" s="49"/>
      <c r="J119" s="49"/>
      <c r="K119" s="50"/>
      <c r="L119" s="51"/>
      <c r="M119" s="46"/>
    </row>
    <row r="120" spans="1:13" s="38" customFormat="1" ht="17.649999999999999" customHeight="1" x14ac:dyDescent="0.2">
      <c r="A120" s="43"/>
      <c r="B120" s="44" t="s">
        <v>95</v>
      </c>
      <c r="C120" s="47">
        <f>C119*C118</f>
        <v>3.6599999999999997</v>
      </c>
      <c r="D120" s="47" t="s">
        <v>76</v>
      </c>
      <c r="E120" s="47"/>
      <c r="F120" s="47"/>
      <c r="G120" s="47"/>
      <c r="H120" s="48"/>
      <c r="I120" s="49"/>
      <c r="J120" s="49"/>
      <c r="K120" s="50"/>
      <c r="L120" s="51"/>
      <c r="M120" s="46"/>
    </row>
    <row r="121" spans="1:13" s="38" customFormat="1" ht="17.649999999999999" customHeight="1" x14ac:dyDescent="0.2">
      <c r="A121" s="43"/>
      <c r="B121" s="44" t="s">
        <v>96</v>
      </c>
      <c r="C121" s="64">
        <v>4</v>
      </c>
      <c r="D121" s="64" t="s">
        <v>67</v>
      </c>
      <c r="E121" s="64"/>
      <c r="F121" s="64"/>
      <c r="G121" s="64"/>
      <c r="H121" s="65"/>
      <c r="I121" s="50"/>
      <c r="J121" s="50"/>
      <c r="K121" s="50"/>
      <c r="L121" s="51"/>
      <c r="M121" s="46"/>
    </row>
    <row r="122" spans="1:13" s="38" customFormat="1" ht="17.649999999999999" customHeight="1" x14ac:dyDescent="0.2">
      <c r="A122" s="43"/>
      <c r="B122" s="44" t="s">
        <v>147</v>
      </c>
      <c r="C122" s="64">
        <f>2*(2*0.1375+(0.4+0.39)*0.3)</f>
        <v>1.024</v>
      </c>
      <c r="D122" s="64" t="s">
        <v>76</v>
      </c>
      <c r="E122" s="64"/>
      <c r="F122" s="64"/>
      <c r="G122" s="64"/>
      <c r="H122" s="65"/>
      <c r="I122" s="50"/>
      <c r="J122" s="50"/>
      <c r="K122" s="50"/>
      <c r="L122" s="51"/>
      <c r="M122" s="46"/>
    </row>
    <row r="123" spans="1:13" s="38" customFormat="1" ht="17.649999999999999" customHeight="1" x14ac:dyDescent="0.25">
      <c r="A123" s="43"/>
      <c r="B123" s="44" t="s">
        <v>97</v>
      </c>
      <c r="C123" s="45">
        <f>C120*C121+C122</f>
        <v>15.663999999999998</v>
      </c>
      <c r="D123" s="52" t="str">
        <f>D115</f>
        <v>m2</v>
      </c>
      <c r="E123" s="45"/>
      <c r="F123" s="45"/>
      <c r="G123" s="53"/>
      <c r="H123" s="54"/>
      <c r="I123" s="55"/>
      <c r="J123" s="55"/>
      <c r="K123" s="55"/>
      <c r="L123" s="56"/>
      <c r="M123" s="46"/>
    </row>
    <row r="124" spans="1:13" s="38" customFormat="1" ht="17.649999999999999" customHeight="1" x14ac:dyDescent="0.25">
      <c r="A124" s="43"/>
      <c r="B124" s="44"/>
      <c r="C124" s="45"/>
      <c r="D124" s="52"/>
      <c r="E124" s="45"/>
      <c r="F124" s="45"/>
      <c r="G124" s="53"/>
      <c r="H124" s="54"/>
      <c r="I124" s="55"/>
      <c r="J124" s="55"/>
      <c r="K124" s="55"/>
      <c r="L124" s="56"/>
      <c r="M124" s="46"/>
    </row>
    <row r="125" spans="1:13" s="38" customFormat="1" ht="17.649999999999999" customHeight="1" x14ac:dyDescent="0.2">
      <c r="A125" s="43"/>
      <c r="B125" s="72" t="s">
        <v>145</v>
      </c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6"/>
    </row>
    <row r="126" spans="1:13" s="38" customFormat="1" ht="17.649999999999999" customHeight="1" x14ac:dyDescent="0.2">
      <c r="A126" s="43"/>
      <c r="B126" s="44" t="s">
        <v>94</v>
      </c>
      <c r="C126" s="47">
        <f>0.3*2+0.3*2</f>
        <v>1.2</v>
      </c>
      <c r="D126" s="47" t="s">
        <v>24</v>
      </c>
      <c r="E126" s="47"/>
      <c r="F126" s="47"/>
      <c r="G126" s="47"/>
      <c r="H126" s="48"/>
      <c r="I126" s="49"/>
      <c r="J126" s="49"/>
      <c r="K126" s="50"/>
      <c r="L126" s="51"/>
      <c r="M126" s="46"/>
    </row>
    <row r="127" spans="1:13" s="38" customFormat="1" ht="17.649999999999999" customHeight="1" x14ac:dyDescent="0.2">
      <c r="A127" s="43"/>
      <c r="B127" s="44" t="s">
        <v>146</v>
      </c>
      <c r="C127" s="47">
        <v>0.8</v>
      </c>
      <c r="D127" s="47" t="s">
        <v>24</v>
      </c>
      <c r="E127" s="47"/>
      <c r="F127" s="47"/>
      <c r="G127" s="47"/>
      <c r="H127" s="48"/>
      <c r="I127" s="49"/>
      <c r="J127" s="49"/>
      <c r="K127" s="50"/>
      <c r="L127" s="51"/>
      <c r="M127" s="46"/>
    </row>
    <row r="128" spans="1:13" s="38" customFormat="1" ht="17.649999999999999" customHeight="1" x14ac:dyDescent="0.2">
      <c r="A128" s="43"/>
      <c r="B128" s="44" t="s">
        <v>95</v>
      </c>
      <c r="C128" s="47">
        <f>C127*C126</f>
        <v>0.96</v>
      </c>
      <c r="D128" s="47" t="s">
        <v>76</v>
      </c>
      <c r="E128" s="47"/>
      <c r="F128" s="47"/>
      <c r="G128" s="47"/>
      <c r="H128" s="48"/>
      <c r="I128" s="49"/>
      <c r="J128" s="49"/>
      <c r="K128" s="50"/>
      <c r="L128" s="51"/>
      <c r="M128" s="46"/>
    </row>
    <row r="129" spans="1:13" s="38" customFormat="1" ht="17.649999999999999" customHeight="1" x14ac:dyDescent="0.2">
      <c r="A129" s="43"/>
      <c r="B129" s="44" t="s">
        <v>96</v>
      </c>
      <c r="C129" s="64">
        <v>4</v>
      </c>
      <c r="D129" s="64" t="s">
        <v>67</v>
      </c>
      <c r="E129" s="64"/>
      <c r="F129" s="64"/>
      <c r="G129" s="64"/>
      <c r="H129" s="65"/>
      <c r="I129" s="50"/>
      <c r="J129" s="50"/>
      <c r="K129" s="50"/>
      <c r="L129" s="51"/>
      <c r="M129" s="46"/>
    </row>
    <row r="130" spans="1:13" s="38" customFormat="1" ht="17.649999999999999" customHeight="1" x14ac:dyDescent="0.2">
      <c r="A130" s="43"/>
      <c r="B130" s="44" t="s">
        <v>147</v>
      </c>
      <c r="C130" s="64">
        <f>2*(2*0.1375+(0.4+0.39)*0.3)</f>
        <v>1.024</v>
      </c>
      <c r="D130" s="64" t="s">
        <v>76</v>
      </c>
      <c r="E130" s="64"/>
      <c r="F130" s="64"/>
      <c r="G130" s="64"/>
      <c r="H130" s="65"/>
      <c r="I130" s="50"/>
      <c r="J130" s="50"/>
      <c r="K130" s="50"/>
      <c r="L130" s="51"/>
      <c r="M130" s="46"/>
    </row>
    <row r="131" spans="1:13" s="38" customFormat="1" ht="17.649999999999999" customHeight="1" x14ac:dyDescent="0.25">
      <c r="A131" s="43"/>
      <c r="B131" s="44" t="s">
        <v>97</v>
      </c>
      <c r="C131" s="45">
        <f>C128*C129+C130</f>
        <v>4.8639999999999999</v>
      </c>
      <c r="D131" s="52" t="str">
        <f>D123</f>
        <v>m2</v>
      </c>
      <c r="E131" s="45"/>
      <c r="F131" s="45"/>
      <c r="G131" s="53"/>
      <c r="H131" s="54"/>
      <c r="I131" s="55"/>
      <c r="J131" s="55"/>
      <c r="K131" s="55"/>
      <c r="L131" s="56"/>
      <c r="M131" s="46"/>
    </row>
    <row r="132" spans="1:13" s="38" customFormat="1" ht="17.649999999999999" customHeight="1" x14ac:dyDescent="0.25">
      <c r="A132" s="43"/>
      <c r="B132" s="44"/>
      <c r="C132" s="45"/>
      <c r="D132" s="52"/>
      <c r="E132" s="45"/>
      <c r="F132" s="45"/>
      <c r="G132" s="53"/>
      <c r="H132" s="54"/>
      <c r="I132" s="55"/>
      <c r="J132" s="55"/>
      <c r="K132" s="55"/>
      <c r="L132" s="56"/>
      <c r="M132" s="46"/>
    </row>
    <row r="133" spans="1:13" s="38" customFormat="1" ht="17.649999999999999" customHeight="1" x14ac:dyDescent="0.25">
      <c r="A133" s="43"/>
      <c r="B133" s="44" t="s">
        <v>157</v>
      </c>
      <c r="C133" s="45">
        <f>C131+C123+C115</f>
        <v>45.548000000000002</v>
      </c>
      <c r="D133" s="52" t="s">
        <v>82</v>
      </c>
      <c r="E133" s="45"/>
      <c r="F133" s="45"/>
      <c r="G133" s="53"/>
      <c r="H133" s="54"/>
      <c r="I133" s="55"/>
      <c r="J133" s="55"/>
      <c r="K133" s="55"/>
      <c r="L133" s="56"/>
      <c r="M133" s="46"/>
    </row>
    <row r="134" spans="1:13" s="38" customFormat="1" ht="17.649999999999999" customHeight="1" x14ac:dyDescent="0.25">
      <c r="A134" s="43"/>
      <c r="B134" s="44"/>
      <c r="C134" s="45"/>
      <c r="D134" s="52"/>
      <c r="E134" s="45"/>
      <c r="F134" s="45"/>
      <c r="G134" s="53"/>
      <c r="H134" s="54"/>
      <c r="I134" s="55"/>
      <c r="J134" s="55"/>
      <c r="K134" s="55"/>
      <c r="L134" s="56"/>
      <c r="M134" s="46"/>
    </row>
    <row r="135" spans="1:13" s="38" customFormat="1" ht="17.649999999999999" customHeight="1" x14ac:dyDescent="0.2">
      <c r="A135" s="43"/>
      <c r="B135" s="72" t="s">
        <v>149</v>
      </c>
      <c r="C135" s="45"/>
      <c r="D135" s="45"/>
      <c r="E135" s="45"/>
      <c r="F135" s="45"/>
      <c r="G135" s="53"/>
      <c r="H135" s="54"/>
      <c r="I135" s="55"/>
      <c r="J135" s="55"/>
      <c r="K135" s="55"/>
      <c r="L135" s="56"/>
      <c r="M135" s="46"/>
    </row>
    <row r="136" spans="1:13" s="38" customFormat="1" ht="17.649999999999999" customHeight="1" x14ac:dyDescent="0.2">
      <c r="A136" s="43"/>
      <c r="B136" s="44" t="s">
        <v>94</v>
      </c>
      <c r="C136" s="47">
        <f>0.2+0.4*2</f>
        <v>1</v>
      </c>
      <c r="D136" s="47" t="s">
        <v>24</v>
      </c>
      <c r="E136" s="45"/>
      <c r="F136" s="45"/>
      <c r="G136" s="53"/>
      <c r="H136" s="54"/>
      <c r="I136" s="55"/>
      <c r="J136" s="55"/>
      <c r="K136" s="55"/>
      <c r="L136" s="56"/>
      <c r="M136" s="46"/>
    </row>
    <row r="137" spans="1:13" s="38" customFormat="1" ht="17.649999999999999" customHeight="1" x14ac:dyDescent="0.2">
      <c r="A137" s="43"/>
      <c r="B137" s="44" t="s">
        <v>150</v>
      </c>
      <c r="C137" s="47">
        <f>1.4*2+0.8*2</f>
        <v>4.4000000000000004</v>
      </c>
      <c r="D137" s="47" t="s">
        <v>24</v>
      </c>
      <c r="E137" s="45"/>
      <c r="F137" s="45"/>
      <c r="G137" s="53"/>
      <c r="H137" s="54"/>
      <c r="I137" s="55"/>
      <c r="J137" s="55"/>
      <c r="K137" s="55"/>
      <c r="L137" s="56"/>
      <c r="M137" s="46"/>
    </row>
    <row r="138" spans="1:13" s="38" customFormat="1" ht="17.649999999999999" customHeight="1" x14ac:dyDescent="0.2">
      <c r="A138" s="43"/>
      <c r="B138" s="44" t="s">
        <v>95</v>
      </c>
      <c r="C138" s="47">
        <f>C137*C136</f>
        <v>4.4000000000000004</v>
      </c>
      <c r="D138" s="47" t="s">
        <v>76</v>
      </c>
      <c r="E138" s="45"/>
      <c r="F138" s="45"/>
      <c r="G138" s="53"/>
      <c r="H138" s="54"/>
      <c r="I138" s="55"/>
      <c r="J138" s="55"/>
      <c r="K138" s="55"/>
      <c r="L138" s="56"/>
      <c r="M138" s="46"/>
    </row>
    <row r="139" spans="1:13" s="38" customFormat="1" ht="17.649999999999999" customHeight="1" x14ac:dyDescent="0.2">
      <c r="A139" s="43"/>
      <c r="B139" s="72" t="s">
        <v>188</v>
      </c>
      <c r="C139" s="45"/>
      <c r="D139" s="45"/>
      <c r="E139" s="45"/>
      <c r="F139" s="45"/>
      <c r="G139" s="53"/>
      <c r="H139" s="54"/>
      <c r="I139" s="55"/>
      <c r="J139" s="55"/>
      <c r="K139" s="55"/>
      <c r="L139" s="56"/>
      <c r="M139" s="46"/>
    </row>
    <row r="140" spans="1:13" s="38" customFormat="1" ht="17.649999999999999" customHeight="1" x14ac:dyDescent="0.2">
      <c r="A140" s="43"/>
      <c r="B140" s="44" t="s">
        <v>94</v>
      </c>
      <c r="C140" s="47">
        <f>0.35*2+0.3</f>
        <v>1</v>
      </c>
      <c r="D140" s="47" t="s">
        <v>24</v>
      </c>
      <c r="E140" s="45"/>
      <c r="F140" s="45"/>
      <c r="G140" s="53"/>
      <c r="H140" s="54"/>
      <c r="I140" s="55"/>
      <c r="J140" s="55"/>
      <c r="K140" s="55"/>
      <c r="L140" s="56"/>
      <c r="M140" s="46"/>
    </row>
    <row r="141" spans="1:13" s="38" customFormat="1" ht="17.649999999999999" customHeight="1" x14ac:dyDescent="0.2">
      <c r="A141" s="43"/>
      <c r="B141" s="44" t="s">
        <v>150</v>
      </c>
      <c r="C141" s="47">
        <f>(1.4*2+0.8*2)*2</f>
        <v>8.8000000000000007</v>
      </c>
      <c r="D141" s="47" t="s">
        <v>24</v>
      </c>
      <c r="E141" s="45"/>
      <c r="F141" s="45"/>
      <c r="G141" s="53"/>
      <c r="H141" s="54"/>
      <c r="I141" s="55"/>
      <c r="J141" s="55"/>
      <c r="K141" s="55"/>
      <c r="L141" s="56"/>
      <c r="M141" s="46"/>
    </row>
    <row r="142" spans="1:13" s="38" customFormat="1" ht="17.649999999999999" customHeight="1" x14ac:dyDescent="0.2">
      <c r="A142" s="43"/>
      <c r="B142" s="44" t="s">
        <v>95</v>
      </c>
      <c r="C142" s="47">
        <f>C141*C140</f>
        <v>8.8000000000000007</v>
      </c>
      <c r="D142" s="47" t="s">
        <v>76</v>
      </c>
      <c r="E142" s="45"/>
      <c r="F142" s="45"/>
      <c r="G142" s="53"/>
      <c r="H142" s="54"/>
      <c r="I142" s="55"/>
      <c r="J142" s="55"/>
      <c r="K142" s="55"/>
      <c r="L142" s="56"/>
      <c r="M142" s="46"/>
    </row>
    <row r="143" spans="1:13" s="38" customFormat="1" ht="17.649999999999999" customHeight="1" x14ac:dyDescent="0.2">
      <c r="A143" s="43"/>
      <c r="B143" s="72" t="s">
        <v>189</v>
      </c>
      <c r="C143" s="45"/>
      <c r="D143" s="45"/>
      <c r="E143" s="45"/>
      <c r="F143" s="45"/>
      <c r="G143" s="53"/>
      <c r="H143" s="54"/>
      <c r="I143" s="55"/>
      <c r="J143" s="55"/>
      <c r="K143" s="55"/>
      <c r="L143" s="56"/>
      <c r="M143" s="46"/>
    </row>
    <row r="144" spans="1:13" s="38" customFormat="1" ht="17.649999999999999" customHeight="1" x14ac:dyDescent="0.2">
      <c r="A144" s="43"/>
      <c r="B144" s="44" t="s">
        <v>94</v>
      </c>
      <c r="C144" s="47">
        <v>2.3199999999999998</v>
      </c>
      <c r="D144" s="47" t="s">
        <v>24</v>
      </c>
      <c r="E144" s="45"/>
      <c r="F144" s="45"/>
      <c r="G144" s="53"/>
      <c r="H144" s="54"/>
      <c r="I144" s="55"/>
      <c r="J144" s="55"/>
      <c r="K144" s="55"/>
      <c r="L144" s="56"/>
      <c r="M144" s="46"/>
    </row>
    <row r="145" spans="1:13" s="38" customFormat="1" ht="17.649999999999999" customHeight="1" x14ac:dyDescent="0.2">
      <c r="A145" s="43"/>
      <c r="B145" s="44" t="s">
        <v>150</v>
      </c>
      <c r="C145" s="47">
        <f>22.01+1.4+18.26+1.4</f>
        <v>43.07</v>
      </c>
      <c r="D145" s="47" t="s">
        <v>24</v>
      </c>
      <c r="E145" s="45"/>
      <c r="F145" s="45"/>
      <c r="G145" s="53"/>
      <c r="H145" s="54"/>
      <c r="I145" s="55"/>
      <c r="J145" s="55"/>
      <c r="K145" s="55"/>
      <c r="L145" s="56"/>
      <c r="M145" s="46"/>
    </row>
    <row r="146" spans="1:13" s="38" customFormat="1" ht="17.649999999999999" customHeight="1" x14ac:dyDescent="0.2">
      <c r="A146" s="43"/>
      <c r="B146" s="44" t="s">
        <v>95</v>
      </c>
      <c r="C146" s="47">
        <f>C145*C144</f>
        <v>99.922399999999996</v>
      </c>
      <c r="D146" s="47" t="s">
        <v>76</v>
      </c>
      <c r="E146" s="45"/>
      <c r="F146" s="45"/>
      <c r="G146" s="53"/>
      <c r="H146" s="54"/>
      <c r="I146" s="55"/>
      <c r="J146" s="55"/>
      <c r="K146" s="55"/>
      <c r="L146" s="56"/>
      <c r="M146" s="46"/>
    </row>
    <row r="147" spans="1:13" s="38" customFormat="1" ht="17.649999999999999" customHeight="1" x14ac:dyDescent="0.2">
      <c r="A147" s="43"/>
      <c r="B147" s="72" t="s">
        <v>190</v>
      </c>
      <c r="C147" s="45"/>
      <c r="D147" s="45"/>
      <c r="E147" s="45"/>
      <c r="F147" s="45"/>
      <c r="G147" s="53"/>
      <c r="H147" s="54"/>
      <c r="I147" s="55"/>
      <c r="J147" s="55"/>
      <c r="K147" s="55"/>
      <c r="L147" s="56"/>
      <c r="M147" s="46"/>
    </row>
    <row r="148" spans="1:13" s="38" customFormat="1" ht="17.649999999999999" customHeight="1" x14ac:dyDescent="0.2">
      <c r="A148" s="43"/>
      <c r="B148" s="44" t="s">
        <v>94</v>
      </c>
      <c r="C148" s="47">
        <f>0.3+0.34*2</f>
        <v>0.98</v>
      </c>
      <c r="D148" s="47" t="s">
        <v>24</v>
      </c>
      <c r="E148" s="45"/>
      <c r="F148" s="45"/>
      <c r="G148" s="53"/>
      <c r="H148" s="54"/>
      <c r="I148" s="55"/>
      <c r="J148" s="55"/>
      <c r="K148" s="55"/>
      <c r="L148" s="56"/>
      <c r="M148" s="46"/>
    </row>
    <row r="149" spans="1:13" s="38" customFormat="1" ht="17.649999999999999" customHeight="1" x14ac:dyDescent="0.2">
      <c r="A149" s="43"/>
      <c r="B149" s="44" t="s">
        <v>150</v>
      </c>
      <c r="C149" s="47">
        <f>0.55+0.55+1.1</f>
        <v>2.2000000000000002</v>
      </c>
      <c r="D149" s="47" t="s">
        <v>24</v>
      </c>
      <c r="E149" s="45"/>
      <c r="F149" s="45"/>
      <c r="G149" s="53"/>
      <c r="H149" s="54"/>
      <c r="I149" s="55"/>
      <c r="J149" s="55"/>
      <c r="K149" s="55"/>
      <c r="L149" s="56"/>
      <c r="M149" s="46"/>
    </row>
    <row r="150" spans="1:13" s="38" customFormat="1" ht="17.649999999999999" customHeight="1" x14ac:dyDescent="0.2">
      <c r="A150" s="43"/>
      <c r="B150" s="44" t="s">
        <v>95</v>
      </c>
      <c r="C150" s="47">
        <f>C149*C148</f>
        <v>2.1560000000000001</v>
      </c>
      <c r="D150" s="47" t="s">
        <v>76</v>
      </c>
      <c r="E150" s="45"/>
      <c r="F150" s="45"/>
      <c r="G150" s="53"/>
      <c r="H150" s="54"/>
      <c r="I150" s="55"/>
      <c r="J150" s="55"/>
      <c r="K150" s="55"/>
      <c r="L150" s="56"/>
      <c r="M150" s="46"/>
    </row>
    <row r="151" spans="1:13" s="38" customFormat="1" ht="17.649999999999999" customHeight="1" x14ac:dyDescent="0.2">
      <c r="A151" s="43"/>
      <c r="B151" s="44"/>
      <c r="C151" s="47"/>
      <c r="D151" s="47"/>
      <c r="E151" s="45"/>
      <c r="F151" s="45"/>
      <c r="G151" s="53"/>
      <c r="H151" s="54"/>
      <c r="I151" s="55"/>
      <c r="J151" s="55"/>
      <c r="K151" s="55"/>
      <c r="L151" s="56"/>
      <c r="M151" s="46"/>
    </row>
    <row r="152" spans="1:13" s="38" customFormat="1" ht="17.649999999999999" customHeight="1" x14ac:dyDescent="0.2">
      <c r="A152" s="43"/>
      <c r="B152" s="44" t="s">
        <v>156</v>
      </c>
      <c r="C152" s="62">
        <f>C150+C146+C142+C138</f>
        <v>115.2784</v>
      </c>
      <c r="D152" s="62" t="s">
        <v>82</v>
      </c>
      <c r="E152" s="45"/>
      <c r="F152" s="45"/>
      <c r="G152" s="53"/>
      <c r="H152" s="54"/>
      <c r="I152" s="55"/>
      <c r="J152" s="55"/>
      <c r="K152" s="55"/>
      <c r="L152" s="56"/>
      <c r="M152" s="46"/>
    </row>
    <row r="153" spans="1:13" s="38" customFormat="1" ht="17.649999999999999" customHeight="1" x14ac:dyDescent="0.2">
      <c r="A153" s="43"/>
      <c r="B153" s="44"/>
      <c r="C153" s="47"/>
      <c r="D153" s="47"/>
      <c r="E153" s="45"/>
      <c r="F153" s="45"/>
      <c r="G153" s="53"/>
      <c r="H153" s="54"/>
      <c r="I153" s="55"/>
      <c r="J153" s="55"/>
      <c r="K153" s="55"/>
      <c r="L153" s="56"/>
      <c r="M153" s="46"/>
    </row>
    <row r="154" spans="1:13" s="38" customFormat="1" ht="17.649999999999999" customHeight="1" x14ac:dyDescent="0.2">
      <c r="A154" s="43"/>
      <c r="B154" s="44" t="s">
        <v>152</v>
      </c>
      <c r="C154" s="47"/>
      <c r="D154" s="47"/>
      <c r="E154" s="45"/>
      <c r="F154" s="45"/>
      <c r="G154" s="53"/>
      <c r="H154" s="54"/>
      <c r="I154" s="55"/>
      <c r="J154" s="55"/>
      <c r="K154" s="55"/>
      <c r="L154" s="56"/>
      <c r="M154" s="46"/>
    </row>
    <row r="155" spans="1:13" s="38" customFormat="1" ht="17.649999999999999" customHeight="1" x14ac:dyDescent="0.2">
      <c r="A155" s="43"/>
      <c r="B155" s="44" t="s">
        <v>94</v>
      </c>
      <c r="C155" s="47">
        <f>2*2+1.4*2</f>
        <v>6.8</v>
      </c>
      <c r="D155" s="47" t="s">
        <v>24</v>
      </c>
      <c r="E155" s="45"/>
      <c r="F155" s="45"/>
      <c r="G155" s="53"/>
      <c r="H155" s="54"/>
      <c r="I155" s="55"/>
      <c r="J155" s="55"/>
      <c r="K155" s="55"/>
      <c r="L155" s="56"/>
      <c r="M155" s="46"/>
    </row>
    <row r="156" spans="1:13" s="38" customFormat="1" ht="17.649999999999999" customHeight="1" x14ac:dyDescent="0.2">
      <c r="A156" s="43"/>
      <c r="B156" s="44" t="s">
        <v>107</v>
      </c>
      <c r="C156" s="47">
        <v>0.15</v>
      </c>
      <c r="D156" s="47" t="s">
        <v>24</v>
      </c>
      <c r="E156" s="45"/>
      <c r="F156" s="45"/>
      <c r="G156" s="53"/>
      <c r="H156" s="54"/>
      <c r="I156" s="55"/>
      <c r="J156" s="55"/>
      <c r="K156" s="55"/>
      <c r="L156" s="56"/>
      <c r="M156" s="46"/>
    </row>
    <row r="157" spans="1:13" s="38" customFormat="1" ht="17.649999999999999" customHeight="1" x14ac:dyDescent="0.2">
      <c r="A157" s="43"/>
      <c r="B157" s="44" t="s">
        <v>151</v>
      </c>
      <c r="C157" s="47">
        <f>0.8*1.4</f>
        <v>1.1199999999999999</v>
      </c>
      <c r="D157" s="47" t="s">
        <v>76</v>
      </c>
      <c r="E157" s="45"/>
      <c r="F157" s="45"/>
      <c r="G157" s="53"/>
      <c r="H157" s="54"/>
      <c r="I157" s="55"/>
      <c r="J157" s="55"/>
      <c r="K157" s="55"/>
      <c r="L157" s="56"/>
      <c r="M157" s="46"/>
    </row>
    <row r="158" spans="1:13" s="38" customFormat="1" ht="17.649999999999999" customHeight="1" x14ac:dyDescent="0.2">
      <c r="A158" s="43"/>
      <c r="B158" s="44" t="s">
        <v>153</v>
      </c>
      <c r="C158" s="47">
        <v>2</v>
      </c>
      <c r="D158" s="47" t="s">
        <v>67</v>
      </c>
      <c r="E158" s="45"/>
      <c r="F158" s="45"/>
      <c r="G158" s="53"/>
      <c r="H158" s="54"/>
      <c r="I158" s="55"/>
      <c r="J158" s="55"/>
      <c r="K158" s="55"/>
      <c r="L158" s="56"/>
      <c r="M158" s="46"/>
    </row>
    <row r="159" spans="1:13" s="38" customFormat="1" ht="17.649999999999999" customHeight="1" x14ac:dyDescent="0.2">
      <c r="A159" s="43"/>
      <c r="B159" s="44" t="s">
        <v>154</v>
      </c>
      <c r="C159" s="47">
        <f>(C156*C155+C157)*C158</f>
        <v>4.2799999999999994</v>
      </c>
      <c r="D159" s="47" t="s">
        <v>76</v>
      </c>
      <c r="E159" s="45"/>
      <c r="F159" s="45"/>
      <c r="G159" s="53"/>
      <c r="H159" s="54"/>
      <c r="I159" s="55"/>
      <c r="J159" s="55"/>
      <c r="K159" s="55"/>
      <c r="L159" s="56"/>
      <c r="M159" s="46"/>
    </row>
    <row r="160" spans="1:13" s="38" customFormat="1" ht="17.649999999999999" customHeight="1" x14ac:dyDescent="0.2">
      <c r="A160" s="43"/>
      <c r="B160" s="44"/>
      <c r="C160" s="47"/>
      <c r="D160" s="47"/>
      <c r="E160" s="45"/>
      <c r="F160" s="45"/>
      <c r="G160" s="53"/>
      <c r="H160" s="54"/>
      <c r="I160" s="55"/>
      <c r="J160" s="55"/>
      <c r="K160" s="55"/>
      <c r="L160" s="56"/>
      <c r="M160" s="46"/>
    </row>
    <row r="161" spans="1:13" s="38" customFormat="1" ht="17.649999999999999" customHeight="1" x14ac:dyDescent="0.2">
      <c r="A161" s="43"/>
      <c r="B161" s="44" t="s">
        <v>155</v>
      </c>
      <c r="C161" s="47"/>
      <c r="D161" s="47"/>
      <c r="E161" s="45"/>
      <c r="F161" s="45"/>
      <c r="G161" s="53"/>
      <c r="H161" s="54"/>
      <c r="I161" s="55"/>
      <c r="J161" s="55"/>
      <c r="K161" s="55"/>
      <c r="L161" s="56"/>
      <c r="M161" s="46"/>
    </row>
    <row r="162" spans="1:13" s="38" customFormat="1" ht="17.649999999999999" customHeight="1" x14ac:dyDescent="0.2">
      <c r="A162" s="43"/>
      <c r="B162" s="44" t="s">
        <v>94</v>
      </c>
      <c r="C162" s="47">
        <f>2.8*2+1.4*2</f>
        <v>8.3999999999999986</v>
      </c>
      <c r="D162" s="47" t="s">
        <v>24</v>
      </c>
      <c r="E162" s="45"/>
      <c r="F162" s="45"/>
      <c r="G162" s="53"/>
      <c r="H162" s="54"/>
      <c r="I162" s="55"/>
      <c r="J162" s="55"/>
      <c r="K162" s="55"/>
      <c r="L162" s="56"/>
      <c r="M162" s="46"/>
    </row>
    <row r="163" spans="1:13" s="38" customFormat="1" ht="17.649999999999999" customHeight="1" x14ac:dyDescent="0.2">
      <c r="A163" s="43"/>
      <c r="B163" s="44" t="s">
        <v>107</v>
      </c>
      <c r="C163" s="47">
        <v>0.15</v>
      </c>
      <c r="D163" s="47" t="s">
        <v>24</v>
      </c>
      <c r="E163" s="45"/>
      <c r="F163" s="45"/>
      <c r="G163" s="53"/>
      <c r="H163" s="54"/>
      <c r="I163" s="55"/>
      <c r="J163" s="55"/>
      <c r="K163" s="55"/>
      <c r="L163" s="56"/>
      <c r="M163" s="46"/>
    </row>
    <row r="164" spans="1:13" s="38" customFormat="1" ht="17.649999999999999" customHeight="1" x14ac:dyDescent="0.2">
      <c r="A164" s="43"/>
      <c r="B164" s="44" t="s">
        <v>151</v>
      </c>
      <c r="C164" s="47">
        <v>0</v>
      </c>
      <c r="D164" s="47" t="s">
        <v>76</v>
      </c>
      <c r="E164" s="45"/>
      <c r="F164" s="45"/>
      <c r="G164" s="53"/>
      <c r="H164" s="54"/>
      <c r="I164" s="55"/>
      <c r="J164" s="55"/>
      <c r="K164" s="55"/>
      <c r="L164" s="56"/>
      <c r="M164" s="46"/>
    </row>
    <row r="165" spans="1:13" s="38" customFormat="1" ht="17.649999999999999" customHeight="1" x14ac:dyDescent="0.2">
      <c r="A165" s="43"/>
      <c r="B165" s="44" t="s">
        <v>153</v>
      </c>
      <c r="C165" s="47">
        <v>1</v>
      </c>
      <c r="D165" s="47" t="s">
        <v>67</v>
      </c>
      <c r="E165" s="45"/>
      <c r="F165" s="45"/>
      <c r="G165" s="53"/>
      <c r="H165" s="54"/>
      <c r="I165" s="55"/>
      <c r="J165" s="55"/>
      <c r="K165" s="55"/>
      <c r="L165" s="56"/>
      <c r="M165" s="46"/>
    </row>
    <row r="166" spans="1:13" s="38" customFormat="1" ht="17.649999999999999" customHeight="1" x14ac:dyDescent="0.2">
      <c r="A166" s="43"/>
      <c r="B166" s="44" t="s">
        <v>154</v>
      </c>
      <c r="C166" s="47">
        <f>(C163*C162+C164)*C165</f>
        <v>1.2599999999999998</v>
      </c>
      <c r="D166" s="47" t="s">
        <v>76</v>
      </c>
      <c r="E166" s="45"/>
      <c r="F166" s="45"/>
      <c r="G166" s="53"/>
      <c r="H166" s="54"/>
      <c r="I166" s="55"/>
      <c r="J166" s="55"/>
      <c r="K166" s="55"/>
      <c r="L166" s="56"/>
      <c r="M166" s="46"/>
    </row>
    <row r="167" spans="1:13" s="38" customFormat="1" ht="17.649999999999999" customHeight="1" x14ac:dyDescent="0.2">
      <c r="A167" s="43"/>
      <c r="B167" s="44"/>
      <c r="C167" s="47"/>
      <c r="D167" s="47"/>
      <c r="E167" s="45"/>
      <c r="F167" s="45"/>
      <c r="G167" s="53"/>
      <c r="H167" s="54"/>
      <c r="I167" s="55"/>
      <c r="J167" s="55"/>
      <c r="K167" s="55"/>
      <c r="L167" s="56"/>
      <c r="M167" s="46"/>
    </row>
    <row r="168" spans="1:13" s="38" customFormat="1" ht="17.649999999999999" customHeight="1" x14ac:dyDescent="0.2">
      <c r="A168" s="43"/>
      <c r="B168" s="44" t="s">
        <v>158</v>
      </c>
      <c r="C168" s="62">
        <f>C166+C159</f>
        <v>5.5399999999999991</v>
      </c>
      <c r="D168" s="62" t="s">
        <v>82</v>
      </c>
      <c r="E168" s="45"/>
      <c r="F168" s="45"/>
      <c r="G168" s="53"/>
      <c r="H168" s="54"/>
      <c r="I168" s="55"/>
      <c r="J168" s="55"/>
      <c r="K168" s="55"/>
      <c r="L168" s="56"/>
      <c r="M168" s="46"/>
    </row>
    <row r="169" spans="1:13" s="38" customFormat="1" ht="17.649999999999999" customHeight="1" x14ac:dyDescent="0.2">
      <c r="A169" s="43"/>
      <c r="B169" s="44"/>
      <c r="C169" s="62"/>
      <c r="D169" s="62"/>
      <c r="E169" s="45"/>
      <c r="F169" s="45"/>
      <c r="G169" s="53"/>
      <c r="H169" s="54"/>
      <c r="I169" s="55"/>
      <c r="J169" s="55"/>
      <c r="K169" s="55"/>
      <c r="L169" s="56"/>
      <c r="M169" s="46"/>
    </row>
    <row r="170" spans="1:13" s="38" customFormat="1" ht="17.649999999999999" customHeight="1" x14ac:dyDescent="0.2">
      <c r="A170" s="43"/>
      <c r="B170" s="44" t="s">
        <v>159</v>
      </c>
      <c r="C170" s="45">
        <f>C168+C152+C133</f>
        <v>166.3664</v>
      </c>
      <c r="D170" s="62" t="s">
        <v>82</v>
      </c>
      <c r="E170" s="45"/>
      <c r="F170" s="45"/>
      <c r="G170" s="53"/>
      <c r="H170" s="54"/>
      <c r="I170" s="55"/>
      <c r="J170" s="55"/>
      <c r="K170" s="55"/>
      <c r="L170" s="56"/>
      <c r="M170" s="46"/>
    </row>
    <row r="171" spans="1:13" s="38" customFormat="1" ht="17.649999999999999" customHeight="1" x14ac:dyDescent="0.25">
      <c r="A171" s="57"/>
      <c r="B171" s="126" t="s">
        <v>98</v>
      </c>
      <c r="C171" s="143" t="s">
        <v>84</v>
      </c>
      <c r="D171" s="143"/>
      <c r="E171" s="143"/>
      <c r="F171" s="143"/>
      <c r="G171" s="143"/>
      <c r="H171" s="143"/>
      <c r="I171" s="143"/>
      <c r="J171" s="143"/>
      <c r="K171" s="143"/>
      <c r="L171" s="127" t="s">
        <v>85</v>
      </c>
      <c r="M171" s="128">
        <f>C230</f>
        <v>18.510929999999998</v>
      </c>
    </row>
    <row r="172" spans="1:13" s="38" customFormat="1" ht="17.649999999999999" customHeight="1" x14ac:dyDescent="0.2">
      <c r="A172" s="43"/>
      <c r="B172" s="72" t="s">
        <v>142</v>
      </c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6"/>
    </row>
    <row r="173" spans="1:13" s="38" customFormat="1" ht="17.649999999999999" customHeight="1" x14ac:dyDescent="0.2">
      <c r="A173" s="43"/>
      <c r="B173" s="44" t="s">
        <v>86</v>
      </c>
      <c r="C173" s="47">
        <f>0.3*0.3</f>
        <v>0.09</v>
      </c>
      <c r="D173" s="47" t="s">
        <v>76</v>
      </c>
      <c r="E173" s="47"/>
      <c r="F173" s="47"/>
      <c r="G173" s="47"/>
      <c r="H173" s="48"/>
      <c r="I173" s="49"/>
      <c r="J173" s="49"/>
      <c r="K173" s="50"/>
      <c r="L173" s="51"/>
      <c r="M173" s="46"/>
    </row>
    <row r="174" spans="1:13" s="38" customFormat="1" ht="17.649999999999999" customHeight="1" x14ac:dyDescent="0.2">
      <c r="A174" s="43"/>
      <c r="B174" s="44" t="s">
        <v>143</v>
      </c>
      <c r="C174" s="47">
        <f>C112</f>
        <v>1.7375</v>
      </c>
      <c r="D174" s="47" t="s">
        <v>24</v>
      </c>
      <c r="E174" s="47"/>
      <c r="F174" s="47"/>
      <c r="G174" s="47"/>
      <c r="H174" s="48"/>
      <c r="I174" s="49"/>
      <c r="J174" s="49"/>
      <c r="K174" s="50"/>
      <c r="L174" s="51"/>
      <c r="M174" s="46"/>
    </row>
    <row r="175" spans="1:13" s="38" customFormat="1" ht="17.649999999999999" customHeight="1" x14ac:dyDescent="0.2">
      <c r="A175" s="43"/>
      <c r="B175" s="44" t="s">
        <v>115</v>
      </c>
      <c r="C175" s="47">
        <f>C174*C173</f>
        <v>0.15637499999999999</v>
      </c>
      <c r="D175" s="47" t="s">
        <v>85</v>
      </c>
      <c r="E175" s="47"/>
      <c r="F175" s="47"/>
      <c r="G175" s="47"/>
      <c r="H175" s="48"/>
      <c r="I175" s="49"/>
      <c r="J175" s="49"/>
      <c r="K175" s="50"/>
      <c r="L175" s="51"/>
      <c r="M175" s="46"/>
    </row>
    <row r="176" spans="1:13" s="38" customFormat="1" ht="17.649999999999999" customHeight="1" x14ac:dyDescent="0.2">
      <c r="A176" s="43"/>
      <c r="B176" s="44" t="s">
        <v>96</v>
      </c>
      <c r="C176" s="64">
        <v>6</v>
      </c>
      <c r="D176" s="64" t="s">
        <v>67</v>
      </c>
      <c r="E176" s="64"/>
      <c r="F176" s="64"/>
      <c r="G176" s="64"/>
      <c r="H176" s="65"/>
      <c r="I176" s="50"/>
      <c r="J176" s="50"/>
      <c r="K176" s="50"/>
      <c r="L176" s="51"/>
      <c r="M176" s="46"/>
    </row>
    <row r="177" spans="1:13" s="38" customFormat="1" ht="17.649999999999999" customHeight="1" x14ac:dyDescent="0.25">
      <c r="A177" s="43"/>
      <c r="B177" s="44" t="s">
        <v>115</v>
      </c>
      <c r="C177" s="45">
        <f>C175*C176</f>
        <v>0.93824999999999992</v>
      </c>
      <c r="D177" s="52" t="s">
        <v>113</v>
      </c>
      <c r="E177" s="45"/>
      <c r="F177" s="45"/>
      <c r="G177" s="53"/>
      <c r="H177" s="54"/>
      <c r="I177" s="55"/>
      <c r="J177" s="55"/>
      <c r="K177" s="55"/>
      <c r="L177" s="56"/>
      <c r="M177" s="46"/>
    </row>
    <row r="178" spans="1:13" s="38" customFormat="1" ht="17.649999999999999" customHeight="1" x14ac:dyDescent="0.25">
      <c r="A178" s="43"/>
      <c r="B178" s="44"/>
      <c r="C178" s="45"/>
      <c r="D178" s="52"/>
      <c r="E178" s="45"/>
      <c r="F178" s="45"/>
      <c r="G178" s="53"/>
      <c r="H178" s="54"/>
      <c r="I178" s="55"/>
      <c r="J178" s="55"/>
      <c r="K178" s="55"/>
      <c r="L178" s="56"/>
      <c r="M178" s="46"/>
    </row>
    <row r="179" spans="1:13" s="38" customFormat="1" ht="17.649999999999999" customHeight="1" x14ac:dyDescent="0.2">
      <c r="A179" s="43"/>
      <c r="B179" s="72" t="s">
        <v>144</v>
      </c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6"/>
    </row>
    <row r="180" spans="1:13" s="38" customFormat="1" ht="17.649999999999999" customHeight="1" x14ac:dyDescent="0.2">
      <c r="A180" s="43"/>
      <c r="B180" s="44" t="s">
        <v>86</v>
      </c>
      <c r="C180" s="47">
        <f>0.3*0.3</f>
        <v>0.09</v>
      </c>
      <c r="D180" s="47" t="s">
        <v>76</v>
      </c>
      <c r="E180" s="47"/>
      <c r="F180" s="47"/>
      <c r="G180" s="47"/>
      <c r="H180" s="48"/>
      <c r="I180" s="49"/>
      <c r="J180" s="49"/>
      <c r="K180" s="50"/>
      <c r="L180" s="51"/>
      <c r="M180" s="46"/>
    </row>
    <row r="181" spans="1:13" s="38" customFormat="1" ht="17.649999999999999" customHeight="1" x14ac:dyDescent="0.2">
      <c r="A181" s="43"/>
      <c r="B181" s="44" t="s">
        <v>143</v>
      </c>
      <c r="C181" s="47">
        <f>C119</f>
        <v>3.05</v>
      </c>
      <c r="D181" s="47" t="s">
        <v>24</v>
      </c>
      <c r="E181" s="47"/>
      <c r="F181" s="47"/>
      <c r="G181" s="47"/>
      <c r="H181" s="48"/>
      <c r="I181" s="49"/>
      <c r="J181" s="49"/>
      <c r="K181" s="50"/>
      <c r="L181" s="51"/>
      <c r="M181" s="46"/>
    </row>
    <row r="182" spans="1:13" s="38" customFormat="1" ht="17.649999999999999" customHeight="1" x14ac:dyDescent="0.2">
      <c r="A182" s="43"/>
      <c r="B182" s="44" t="s">
        <v>115</v>
      </c>
      <c r="C182" s="47">
        <f>C181*C180</f>
        <v>0.27449999999999997</v>
      </c>
      <c r="D182" s="47" t="s">
        <v>85</v>
      </c>
      <c r="E182" s="47"/>
      <c r="F182" s="47"/>
      <c r="G182" s="47"/>
      <c r="H182" s="48"/>
      <c r="I182" s="49"/>
      <c r="J182" s="49"/>
      <c r="K182" s="50"/>
      <c r="L182" s="51"/>
      <c r="M182" s="46"/>
    </row>
    <row r="183" spans="1:13" s="38" customFormat="1" ht="17.649999999999999" customHeight="1" x14ac:dyDescent="0.2">
      <c r="A183" s="43"/>
      <c r="B183" s="44" t="s">
        <v>96</v>
      </c>
      <c r="C183" s="64">
        <v>4</v>
      </c>
      <c r="D183" s="64" t="s">
        <v>67</v>
      </c>
      <c r="E183" s="64"/>
      <c r="F183" s="64"/>
      <c r="G183" s="64"/>
      <c r="H183" s="65"/>
      <c r="I183" s="50"/>
      <c r="J183" s="50"/>
      <c r="K183" s="50"/>
      <c r="L183" s="51"/>
      <c r="M183" s="46"/>
    </row>
    <row r="184" spans="1:13" s="38" customFormat="1" ht="17.649999999999999" customHeight="1" x14ac:dyDescent="0.2">
      <c r="A184" s="43"/>
      <c r="B184" s="44" t="s">
        <v>147</v>
      </c>
      <c r="C184" s="64">
        <f>0.1375*0.3*2</f>
        <v>8.2500000000000004E-2</v>
      </c>
      <c r="D184" s="64" t="s">
        <v>76</v>
      </c>
      <c r="E184" s="64"/>
      <c r="F184" s="64"/>
      <c r="G184" s="64"/>
      <c r="H184" s="65"/>
      <c r="I184" s="50"/>
      <c r="J184" s="50"/>
      <c r="K184" s="50"/>
      <c r="L184" s="51"/>
      <c r="M184" s="46"/>
    </row>
    <row r="185" spans="1:13" s="38" customFormat="1" ht="17.649999999999999" customHeight="1" x14ac:dyDescent="0.25">
      <c r="A185" s="43"/>
      <c r="B185" s="44" t="s">
        <v>115</v>
      </c>
      <c r="C185" s="45">
        <f>C182*C183+C184</f>
        <v>1.1804999999999999</v>
      </c>
      <c r="D185" s="52" t="str">
        <f>D177</f>
        <v>M3</v>
      </c>
      <c r="E185" s="45"/>
      <c r="F185" s="45"/>
      <c r="G185" s="53"/>
      <c r="H185" s="54"/>
      <c r="I185" s="55"/>
      <c r="J185" s="55"/>
      <c r="K185" s="55"/>
      <c r="L185" s="56"/>
      <c r="M185" s="46"/>
    </row>
    <row r="186" spans="1:13" s="38" customFormat="1" ht="17.649999999999999" customHeight="1" x14ac:dyDescent="0.25">
      <c r="A186" s="43"/>
      <c r="B186" s="44"/>
      <c r="C186" s="45"/>
      <c r="D186" s="52"/>
      <c r="E186" s="45"/>
      <c r="F186" s="45"/>
      <c r="G186" s="53"/>
      <c r="H186" s="54"/>
      <c r="I186" s="55"/>
      <c r="J186" s="55"/>
      <c r="K186" s="55"/>
      <c r="L186" s="56"/>
      <c r="M186" s="46"/>
    </row>
    <row r="187" spans="1:13" s="38" customFormat="1" ht="17.649999999999999" customHeight="1" x14ac:dyDescent="0.2">
      <c r="A187" s="43"/>
      <c r="B187" s="72" t="s">
        <v>145</v>
      </c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6"/>
    </row>
    <row r="188" spans="1:13" s="38" customFormat="1" ht="17.649999999999999" customHeight="1" x14ac:dyDescent="0.2">
      <c r="A188" s="43"/>
      <c r="B188" s="44" t="s">
        <v>86</v>
      </c>
      <c r="C188" s="47">
        <f>0.3*0.3</f>
        <v>0.09</v>
      </c>
      <c r="D188" s="47" t="s">
        <v>76</v>
      </c>
      <c r="E188" s="47"/>
      <c r="F188" s="47"/>
      <c r="G188" s="47"/>
      <c r="H188" s="48"/>
      <c r="I188" s="49"/>
      <c r="J188" s="49"/>
      <c r="K188" s="50"/>
      <c r="L188" s="51"/>
      <c r="M188" s="46"/>
    </row>
    <row r="189" spans="1:13" s="38" customFormat="1" ht="17.649999999999999" customHeight="1" x14ac:dyDescent="0.2">
      <c r="A189" s="43"/>
      <c r="B189" s="44" t="s">
        <v>143</v>
      </c>
      <c r="C189" s="47">
        <f>C127</f>
        <v>0.8</v>
      </c>
      <c r="D189" s="47" t="s">
        <v>24</v>
      </c>
      <c r="E189" s="47"/>
      <c r="F189" s="47"/>
      <c r="G189" s="47"/>
      <c r="H189" s="48"/>
      <c r="I189" s="49"/>
      <c r="J189" s="49"/>
      <c r="K189" s="50"/>
      <c r="L189" s="51"/>
      <c r="M189" s="46"/>
    </row>
    <row r="190" spans="1:13" s="38" customFormat="1" ht="17.649999999999999" customHeight="1" x14ac:dyDescent="0.2">
      <c r="A190" s="43"/>
      <c r="B190" s="44" t="s">
        <v>115</v>
      </c>
      <c r="C190" s="47">
        <f>C189*C188</f>
        <v>7.1999999999999995E-2</v>
      </c>
      <c r="D190" s="47" t="s">
        <v>85</v>
      </c>
      <c r="E190" s="47"/>
      <c r="F190" s="47"/>
      <c r="G190" s="47"/>
      <c r="H190" s="48"/>
      <c r="I190" s="49"/>
      <c r="J190" s="49"/>
      <c r="K190" s="50"/>
      <c r="L190" s="51"/>
      <c r="M190" s="46"/>
    </row>
    <row r="191" spans="1:13" s="38" customFormat="1" ht="17.649999999999999" customHeight="1" x14ac:dyDescent="0.2">
      <c r="A191" s="43"/>
      <c r="B191" s="44" t="s">
        <v>96</v>
      </c>
      <c r="C191" s="64">
        <v>4</v>
      </c>
      <c r="D191" s="64" t="s">
        <v>67</v>
      </c>
      <c r="E191" s="64"/>
      <c r="F191" s="64"/>
      <c r="G191" s="64"/>
      <c r="H191" s="65"/>
      <c r="I191" s="50"/>
      <c r="J191" s="50"/>
      <c r="K191" s="50"/>
      <c r="L191" s="51"/>
      <c r="M191" s="46"/>
    </row>
    <row r="192" spans="1:13" s="38" customFormat="1" ht="17.649999999999999" customHeight="1" x14ac:dyDescent="0.2">
      <c r="A192" s="43"/>
      <c r="B192" s="44" t="s">
        <v>147</v>
      </c>
      <c r="C192" s="64">
        <f>0.1375*0.3*2</f>
        <v>8.2500000000000004E-2</v>
      </c>
      <c r="D192" s="64" t="s">
        <v>76</v>
      </c>
      <c r="E192" s="64"/>
      <c r="F192" s="64"/>
      <c r="G192" s="64"/>
      <c r="H192" s="65"/>
      <c r="I192" s="50"/>
      <c r="J192" s="50"/>
      <c r="K192" s="50"/>
      <c r="L192" s="51"/>
      <c r="M192" s="46"/>
    </row>
    <row r="193" spans="1:13" s="38" customFormat="1" ht="17.649999999999999" customHeight="1" x14ac:dyDescent="0.25">
      <c r="A193" s="43"/>
      <c r="B193" s="44" t="s">
        <v>115</v>
      </c>
      <c r="C193" s="45">
        <f>C190*C191+C192</f>
        <v>0.3705</v>
      </c>
      <c r="D193" s="52" t="str">
        <f>D185</f>
        <v>M3</v>
      </c>
      <c r="E193" s="45"/>
      <c r="F193" s="45"/>
      <c r="G193" s="53"/>
      <c r="H193" s="54"/>
      <c r="I193" s="55"/>
      <c r="J193" s="55"/>
      <c r="K193" s="55"/>
      <c r="L193" s="56"/>
      <c r="M193" s="46"/>
    </row>
    <row r="194" spans="1:13" s="38" customFormat="1" ht="17.649999999999999" customHeight="1" x14ac:dyDescent="0.25">
      <c r="A194" s="43"/>
      <c r="B194" s="44"/>
      <c r="C194" s="45"/>
      <c r="D194" s="52"/>
      <c r="E194" s="45"/>
      <c r="F194" s="45"/>
      <c r="G194" s="53"/>
      <c r="H194" s="54"/>
      <c r="I194" s="55"/>
      <c r="J194" s="55"/>
      <c r="K194" s="55"/>
      <c r="L194" s="56"/>
      <c r="M194" s="46"/>
    </row>
    <row r="195" spans="1:13" s="38" customFormat="1" ht="17.649999999999999" customHeight="1" x14ac:dyDescent="0.25">
      <c r="A195" s="43"/>
      <c r="B195" s="44" t="s">
        <v>165</v>
      </c>
      <c r="C195" s="45">
        <f>C193+C185+C177</f>
        <v>2.4892499999999997</v>
      </c>
      <c r="D195" s="52" t="s">
        <v>85</v>
      </c>
      <c r="E195" s="45"/>
      <c r="F195" s="45"/>
      <c r="G195" s="53"/>
      <c r="H195" s="54"/>
      <c r="I195" s="55"/>
      <c r="J195" s="55"/>
      <c r="K195" s="55"/>
      <c r="L195" s="56"/>
      <c r="M195" s="46"/>
    </row>
    <row r="196" spans="1:13" s="38" customFormat="1" ht="17.649999999999999" customHeight="1" x14ac:dyDescent="0.25">
      <c r="A196" s="43"/>
      <c r="B196" s="44"/>
      <c r="C196" s="45"/>
      <c r="D196" s="52"/>
      <c r="E196" s="45"/>
      <c r="F196" s="45"/>
      <c r="G196" s="53"/>
      <c r="H196" s="54"/>
      <c r="I196" s="55"/>
      <c r="J196" s="55"/>
      <c r="K196" s="55"/>
      <c r="L196" s="56"/>
      <c r="M196" s="46"/>
    </row>
    <row r="197" spans="1:13" s="38" customFormat="1" ht="17.649999999999999" customHeight="1" x14ac:dyDescent="0.2">
      <c r="A197" s="43"/>
      <c r="B197" s="72" t="s">
        <v>149</v>
      </c>
      <c r="C197" s="45"/>
      <c r="D197" s="45"/>
      <c r="E197" s="45"/>
      <c r="F197" s="45"/>
      <c r="G197" s="53"/>
      <c r="H197" s="54"/>
      <c r="I197" s="55"/>
      <c r="J197" s="55"/>
      <c r="K197" s="55"/>
      <c r="L197" s="56"/>
      <c r="M197" s="46"/>
    </row>
    <row r="198" spans="1:13" s="38" customFormat="1" ht="17.649999999999999" customHeight="1" x14ac:dyDescent="0.2">
      <c r="A198" s="43"/>
      <c r="B198" s="44" t="s">
        <v>128</v>
      </c>
      <c r="C198" s="47">
        <f>0.2*0.4</f>
        <v>8.0000000000000016E-2</v>
      </c>
      <c r="D198" s="47" t="s">
        <v>76</v>
      </c>
      <c r="E198" s="45"/>
      <c r="F198" s="45"/>
      <c r="G198" s="53"/>
      <c r="H198" s="54"/>
      <c r="I198" s="55"/>
      <c r="J198" s="55"/>
      <c r="K198" s="55"/>
      <c r="L198" s="56"/>
      <c r="M198" s="46"/>
    </row>
    <row r="199" spans="1:13" s="38" customFormat="1" ht="17.649999999999999" customHeight="1" x14ac:dyDescent="0.2">
      <c r="A199" s="43"/>
      <c r="B199" s="44" t="s">
        <v>150</v>
      </c>
      <c r="C199" s="47">
        <f>1.4*2+0.8*2</f>
        <v>4.4000000000000004</v>
      </c>
      <c r="D199" s="47" t="s">
        <v>24</v>
      </c>
      <c r="E199" s="45"/>
      <c r="F199" s="45"/>
      <c r="G199" s="53"/>
      <c r="H199" s="54"/>
      <c r="I199" s="55"/>
      <c r="J199" s="55"/>
      <c r="K199" s="55"/>
      <c r="L199" s="56"/>
      <c r="M199" s="46"/>
    </row>
    <row r="200" spans="1:13" s="38" customFormat="1" ht="17.649999999999999" customHeight="1" x14ac:dyDescent="0.2">
      <c r="A200" s="43"/>
      <c r="B200" s="44" t="s">
        <v>115</v>
      </c>
      <c r="C200" s="47">
        <f>C199*C198</f>
        <v>0.35200000000000009</v>
      </c>
      <c r="D200" s="47" t="s">
        <v>85</v>
      </c>
      <c r="E200" s="45"/>
      <c r="F200" s="45"/>
      <c r="G200" s="53"/>
      <c r="H200" s="54"/>
      <c r="I200" s="55"/>
      <c r="J200" s="55"/>
      <c r="K200" s="55"/>
      <c r="L200" s="56"/>
      <c r="M200" s="46"/>
    </row>
    <row r="201" spans="1:13" s="38" customFormat="1" ht="17.649999999999999" customHeight="1" x14ac:dyDescent="0.2">
      <c r="A201" s="43"/>
      <c r="B201" s="72" t="s">
        <v>188</v>
      </c>
      <c r="C201" s="45"/>
      <c r="D201" s="45"/>
      <c r="E201" s="45"/>
      <c r="F201" s="45"/>
      <c r="G201" s="53"/>
      <c r="H201" s="54"/>
      <c r="I201" s="55"/>
      <c r="J201" s="55"/>
      <c r="K201" s="55"/>
      <c r="L201" s="56"/>
      <c r="M201" s="46"/>
    </row>
    <row r="202" spans="1:13" s="38" customFormat="1" ht="17.649999999999999" customHeight="1" x14ac:dyDescent="0.2">
      <c r="A202" s="43"/>
      <c r="B202" s="44" t="s">
        <v>128</v>
      </c>
      <c r="C202" s="47">
        <f>0.35*0.3</f>
        <v>0.105</v>
      </c>
      <c r="D202" s="47" t="s">
        <v>76</v>
      </c>
      <c r="E202" s="45"/>
      <c r="F202" s="45"/>
      <c r="G202" s="53"/>
      <c r="H202" s="54"/>
      <c r="I202" s="55"/>
      <c r="J202" s="55"/>
      <c r="K202" s="55"/>
      <c r="L202" s="56"/>
      <c r="M202" s="46"/>
    </row>
    <row r="203" spans="1:13" s="38" customFormat="1" ht="17.649999999999999" customHeight="1" x14ac:dyDescent="0.2">
      <c r="A203" s="43"/>
      <c r="B203" s="44" t="s">
        <v>150</v>
      </c>
      <c r="C203" s="47">
        <f>(1.4*2+0.8*2)*2</f>
        <v>8.8000000000000007</v>
      </c>
      <c r="D203" s="47" t="s">
        <v>24</v>
      </c>
      <c r="E203" s="45"/>
      <c r="F203" s="45"/>
      <c r="G203" s="53"/>
      <c r="H203" s="54"/>
      <c r="I203" s="55"/>
      <c r="J203" s="55"/>
      <c r="K203" s="55"/>
      <c r="L203" s="56"/>
      <c r="M203" s="46"/>
    </row>
    <row r="204" spans="1:13" s="38" customFormat="1" ht="17.649999999999999" customHeight="1" x14ac:dyDescent="0.2">
      <c r="A204" s="43"/>
      <c r="B204" s="44" t="s">
        <v>115</v>
      </c>
      <c r="C204" s="47">
        <f>C203*C202</f>
        <v>0.92400000000000004</v>
      </c>
      <c r="D204" s="47" t="s">
        <v>85</v>
      </c>
      <c r="E204" s="45"/>
      <c r="F204" s="45"/>
      <c r="G204" s="53"/>
      <c r="H204" s="54"/>
      <c r="I204" s="55"/>
      <c r="J204" s="55"/>
      <c r="K204" s="55"/>
      <c r="L204" s="56"/>
      <c r="M204" s="46"/>
    </row>
    <row r="205" spans="1:13" s="38" customFormat="1" ht="17.649999999999999" customHeight="1" x14ac:dyDescent="0.2">
      <c r="A205" s="43"/>
      <c r="B205" s="72" t="s">
        <v>189</v>
      </c>
      <c r="C205" s="45"/>
      <c r="D205" s="45"/>
      <c r="E205" s="45"/>
      <c r="F205" s="45"/>
      <c r="G205" s="53"/>
      <c r="H205" s="54"/>
      <c r="I205" s="55"/>
      <c r="J205" s="55"/>
      <c r="K205" s="55"/>
      <c r="L205" s="56"/>
      <c r="M205" s="46"/>
    </row>
    <row r="206" spans="1:13" s="38" customFormat="1" ht="17.649999999999999" customHeight="1" x14ac:dyDescent="0.2">
      <c r="A206" s="43"/>
      <c r="B206" s="44" t="s">
        <v>128</v>
      </c>
      <c r="C206" s="125">
        <f>0.304</f>
        <v>0.30399999999999999</v>
      </c>
      <c r="D206" s="47" t="s">
        <v>76</v>
      </c>
      <c r="E206" s="45"/>
      <c r="F206" s="45"/>
      <c r="G206" s="53"/>
      <c r="H206" s="54"/>
      <c r="I206" s="55"/>
      <c r="J206" s="55"/>
      <c r="K206" s="55"/>
      <c r="L206" s="56"/>
      <c r="M206" s="46"/>
    </row>
    <row r="207" spans="1:13" s="38" customFormat="1" ht="17.649999999999999" customHeight="1" x14ac:dyDescent="0.2">
      <c r="A207" s="43"/>
      <c r="B207" s="44" t="s">
        <v>150</v>
      </c>
      <c r="C207" s="47">
        <f>C145</f>
        <v>43.07</v>
      </c>
      <c r="D207" s="47" t="s">
        <v>24</v>
      </c>
      <c r="E207" s="45"/>
      <c r="F207" s="45"/>
      <c r="G207" s="53"/>
      <c r="H207" s="54"/>
      <c r="I207" s="55"/>
      <c r="J207" s="55"/>
      <c r="K207" s="55"/>
      <c r="L207" s="56"/>
      <c r="M207" s="46"/>
    </row>
    <row r="208" spans="1:13" s="38" customFormat="1" ht="17.649999999999999" customHeight="1" x14ac:dyDescent="0.2">
      <c r="A208" s="43"/>
      <c r="B208" s="44" t="s">
        <v>115</v>
      </c>
      <c r="C208" s="47">
        <f>C207*C206</f>
        <v>13.09328</v>
      </c>
      <c r="D208" s="47" t="s">
        <v>85</v>
      </c>
      <c r="E208" s="45"/>
      <c r="F208" s="45"/>
      <c r="G208" s="53"/>
      <c r="H208" s="54"/>
      <c r="I208" s="55"/>
      <c r="J208" s="55"/>
      <c r="K208" s="55"/>
      <c r="L208" s="56"/>
      <c r="M208" s="46"/>
    </row>
    <row r="209" spans="1:13" s="38" customFormat="1" ht="17.649999999999999" customHeight="1" x14ac:dyDescent="0.2">
      <c r="A209" s="43"/>
      <c r="B209" s="72" t="s">
        <v>190</v>
      </c>
      <c r="C209" s="45"/>
      <c r="D209" s="45"/>
      <c r="E209" s="45"/>
      <c r="F209" s="45"/>
      <c r="G209" s="53"/>
      <c r="H209" s="54"/>
      <c r="I209" s="55"/>
      <c r="J209" s="55"/>
      <c r="K209" s="55"/>
      <c r="L209" s="56"/>
      <c r="M209" s="46"/>
    </row>
    <row r="210" spans="1:13" s="38" customFormat="1" ht="17.649999999999999" customHeight="1" x14ac:dyDescent="0.2">
      <c r="A210" s="43"/>
      <c r="B210" s="44" t="s">
        <v>128</v>
      </c>
      <c r="C210" s="125">
        <f>0.3*0.34</f>
        <v>0.10200000000000001</v>
      </c>
      <c r="D210" s="47" t="s">
        <v>76</v>
      </c>
      <c r="E210" s="45"/>
      <c r="F210" s="45"/>
      <c r="G210" s="53"/>
      <c r="H210" s="54"/>
      <c r="I210" s="55"/>
      <c r="J210" s="55"/>
      <c r="K210" s="55"/>
      <c r="L210" s="56"/>
      <c r="M210" s="46"/>
    </row>
    <row r="211" spans="1:13" s="38" customFormat="1" ht="17.649999999999999" customHeight="1" x14ac:dyDescent="0.2">
      <c r="A211" s="43"/>
      <c r="B211" s="44" t="s">
        <v>150</v>
      </c>
      <c r="C211" s="47">
        <f>C149</f>
        <v>2.2000000000000002</v>
      </c>
      <c r="D211" s="47" t="s">
        <v>24</v>
      </c>
      <c r="E211" s="45"/>
      <c r="F211" s="45"/>
      <c r="G211" s="53"/>
      <c r="H211" s="54"/>
      <c r="I211" s="55"/>
      <c r="J211" s="55"/>
      <c r="K211" s="55"/>
      <c r="L211" s="56"/>
      <c r="M211" s="46"/>
    </row>
    <row r="212" spans="1:13" s="38" customFormat="1" ht="17.649999999999999" customHeight="1" x14ac:dyDescent="0.2">
      <c r="A212" s="43"/>
      <c r="B212" s="44" t="s">
        <v>115</v>
      </c>
      <c r="C212" s="47">
        <f>C211*C210</f>
        <v>0.22440000000000004</v>
      </c>
      <c r="D212" s="47" t="s">
        <v>85</v>
      </c>
      <c r="E212" s="45"/>
      <c r="F212" s="45"/>
      <c r="G212" s="53"/>
      <c r="H212" s="54"/>
      <c r="I212" s="55"/>
      <c r="J212" s="55"/>
      <c r="K212" s="55"/>
      <c r="L212" s="56"/>
      <c r="M212" s="46"/>
    </row>
    <row r="213" spans="1:13" s="38" customFormat="1" ht="17.649999999999999" customHeight="1" x14ac:dyDescent="0.2">
      <c r="A213" s="43"/>
      <c r="B213" s="44"/>
      <c r="C213" s="47"/>
      <c r="D213" s="47"/>
      <c r="E213" s="45"/>
      <c r="F213" s="45"/>
      <c r="G213" s="53"/>
      <c r="H213" s="54"/>
      <c r="I213" s="55"/>
      <c r="J213" s="55"/>
      <c r="K213" s="55"/>
      <c r="L213" s="56"/>
      <c r="M213" s="46"/>
    </row>
    <row r="214" spans="1:13" s="38" customFormat="1" ht="17.649999999999999" customHeight="1" x14ac:dyDescent="0.2">
      <c r="A214" s="43"/>
      <c r="B214" s="44" t="s">
        <v>160</v>
      </c>
      <c r="C214" s="62">
        <f>C212+C208+C204+C200</f>
        <v>14.593679999999999</v>
      </c>
      <c r="D214" s="62" t="s">
        <v>85</v>
      </c>
      <c r="E214" s="45"/>
      <c r="F214" s="45"/>
      <c r="G214" s="53"/>
      <c r="H214" s="54"/>
      <c r="I214" s="55"/>
      <c r="J214" s="55"/>
      <c r="K214" s="55"/>
      <c r="L214" s="56"/>
      <c r="M214" s="46"/>
    </row>
    <row r="215" spans="1:13" s="38" customFormat="1" ht="17.649999999999999" customHeight="1" x14ac:dyDescent="0.2">
      <c r="A215" s="43"/>
      <c r="B215" s="44"/>
      <c r="C215" s="47"/>
      <c r="D215" s="47"/>
      <c r="E215" s="45"/>
      <c r="F215" s="45"/>
      <c r="G215" s="53"/>
      <c r="H215" s="54"/>
      <c r="I215" s="55"/>
      <c r="J215" s="55"/>
      <c r="K215" s="55"/>
      <c r="L215" s="56"/>
      <c r="M215" s="46"/>
    </row>
    <row r="216" spans="1:13" s="38" customFormat="1" ht="17.649999999999999" customHeight="1" x14ac:dyDescent="0.2">
      <c r="A216" s="43"/>
      <c r="B216" s="44" t="s">
        <v>152</v>
      </c>
      <c r="C216" s="47"/>
      <c r="D216" s="47"/>
      <c r="E216" s="45"/>
      <c r="F216" s="45"/>
      <c r="G216" s="53"/>
      <c r="H216" s="54"/>
      <c r="I216" s="55"/>
      <c r="J216" s="55"/>
      <c r="K216" s="55"/>
      <c r="L216" s="56"/>
      <c r="M216" s="46"/>
    </row>
    <row r="217" spans="1:13" s="38" customFormat="1" ht="17.649999999999999" customHeight="1" x14ac:dyDescent="0.2">
      <c r="A217" s="43"/>
      <c r="B217" s="44" t="s">
        <v>86</v>
      </c>
      <c r="C217" s="47">
        <f>2*1.4</f>
        <v>2.8</v>
      </c>
      <c r="D217" s="47" t="s">
        <v>76</v>
      </c>
      <c r="E217" s="45"/>
      <c r="F217" s="45"/>
      <c r="G217" s="53"/>
      <c r="H217" s="54"/>
      <c r="I217" s="55"/>
      <c r="J217" s="55"/>
      <c r="K217" s="55"/>
      <c r="L217" s="56"/>
      <c r="M217" s="46"/>
    </row>
    <row r="218" spans="1:13" s="38" customFormat="1" ht="17.649999999999999" customHeight="1" x14ac:dyDescent="0.2">
      <c r="A218" s="43"/>
      <c r="B218" s="44" t="s">
        <v>107</v>
      </c>
      <c r="C218" s="47">
        <v>0.15</v>
      </c>
      <c r="D218" s="47" t="s">
        <v>24</v>
      </c>
      <c r="E218" s="45"/>
      <c r="F218" s="45"/>
      <c r="G218" s="53"/>
      <c r="H218" s="54"/>
      <c r="I218" s="55"/>
      <c r="J218" s="55"/>
      <c r="K218" s="55"/>
      <c r="L218" s="56"/>
      <c r="M218" s="46"/>
    </row>
    <row r="219" spans="1:13" s="38" customFormat="1" ht="17.649999999999999" customHeight="1" x14ac:dyDescent="0.2">
      <c r="A219" s="43"/>
      <c r="B219" s="44" t="s">
        <v>153</v>
      </c>
      <c r="C219" s="47">
        <v>2</v>
      </c>
      <c r="D219" s="47" t="s">
        <v>67</v>
      </c>
      <c r="E219" s="45"/>
      <c r="F219" s="45"/>
      <c r="G219" s="53"/>
      <c r="H219" s="54"/>
      <c r="I219" s="55"/>
      <c r="J219" s="55"/>
      <c r="K219" s="55"/>
      <c r="L219" s="56"/>
      <c r="M219" s="46"/>
    </row>
    <row r="220" spans="1:13" s="38" customFormat="1" ht="17.649999999999999" customHeight="1" x14ac:dyDescent="0.2">
      <c r="A220" s="43"/>
      <c r="B220" s="44" t="s">
        <v>161</v>
      </c>
      <c r="C220" s="47">
        <f>(C218*C217)*C219</f>
        <v>0.84</v>
      </c>
      <c r="D220" s="47" t="s">
        <v>85</v>
      </c>
      <c r="E220" s="45"/>
      <c r="F220" s="45"/>
      <c r="G220" s="53"/>
      <c r="H220" s="54"/>
      <c r="I220" s="55"/>
      <c r="J220" s="55"/>
      <c r="K220" s="55"/>
      <c r="L220" s="56"/>
      <c r="M220" s="46"/>
    </row>
    <row r="221" spans="1:13" s="38" customFormat="1" ht="17.649999999999999" customHeight="1" x14ac:dyDescent="0.2">
      <c r="A221" s="43"/>
      <c r="B221" s="44"/>
      <c r="C221" s="47"/>
      <c r="D221" s="47"/>
      <c r="E221" s="45"/>
      <c r="F221" s="45"/>
      <c r="G221" s="53"/>
      <c r="H221" s="54"/>
      <c r="I221" s="55"/>
      <c r="J221" s="55"/>
      <c r="K221" s="55"/>
      <c r="L221" s="56"/>
      <c r="M221" s="46"/>
    </row>
    <row r="222" spans="1:13" s="38" customFormat="1" ht="17.649999999999999" customHeight="1" x14ac:dyDescent="0.2">
      <c r="A222" s="43"/>
      <c r="B222" s="44" t="s">
        <v>155</v>
      </c>
      <c r="C222" s="47"/>
      <c r="D222" s="47"/>
      <c r="E222" s="45"/>
      <c r="F222" s="45"/>
      <c r="G222" s="53"/>
      <c r="H222" s="54"/>
      <c r="I222" s="55"/>
      <c r="J222" s="55"/>
      <c r="K222" s="55"/>
      <c r="L222" s="56"/>
      <c r="M222" s="46"/>
    </row>
    <row r="223" spans="1:13" s="38" customFormat="1" ht="17.649999999999999" customHeight="1" x14ac:dyDescent="0.2">
      <c r="A223" s="43"/>
      <c r="B223" s="44" t="s">
        <v>86</v>
      </c>
      <c r="C223" s="47">
        <f>2.8*1.4</f>
        <v>3.9199999999999995</v>
      </c>
      <c r="D223" s="47" t="s">
        <v>76</v>
      </c>
      <c r="E223" s="45"/>
      <c r="F223" s="45"/>
      <c r="G223" s="53"/>
      <c r="H223" s="54"/>
      <c r="I223" s="55"/>
      <c r="J223" s="55"/>
      <c r="K223" s="55"/>
      <c r="L223" s="56"/>
      <c r="M223" s="46"/>
    </row>
    <row r="224" spans="1:13" s="38" customFormat="1" ht="17.649999999999999" customHeight="1" x14ac:dyDescent="0.2">
      <c r="A224" s="43"/>
      <c r="B224" s="44" t="s">
        <v>107</v>
      </c>
      <c r="C224" s="47">
        <v>0.15</v>
      </c>
      <c r="D224" s="47" t="s">
        <v>24</v>
      </c>
      <c r="E224" s="45"/>
      <c r="F224" s="45"/>
      <c r="G224" s="53"/>
      <c r="H224" s="54"/>
      <c r="I224" s="55"/>
      <c r="J224" s="55"/>
      <c r="K224" s="55"/>
      <c r="L224" s="56"/>
      <c r="M224" s="46"/>
    </row>
    <row r="225" spans="1:13" s="38" customFormat="1" ht="17.649999999999999" customHeight="1" x14ac:dyDescent="0.2">
      <c r="A225" s="43"/>
      <c r="B225" s="44" t="s">
        <v>153</v>
      </c>
      <c r="C225" s="47">
        <v>1</v>
      </c>
      <c r="D225" s="47" t="s">
        <v>67</v>
      </c>
      <c r="E225" s="45"/>
      <c r="F225" s="45"/>
      <c r="G225" s="53"/>
      <c r="H225" s="54"/>
      <c r="I225" s="55"/>
      <c r="J225" s="55"/>
      <c r="K225" s="55"/>
      <c r="L225" s="56"/>
      <c r="M225" s="46"/>
    </row>
    <row r="226" spans="1:13" s="38" customFormat="1" ht="17.649999999999999" customHeight="1" x14ac:dyDescent="0.2">
      <c r="A226" s="43"/>
      <c r="B226" s="44" t="s">
        <v>161</v>
      </c>
      <c r="C226" s="47">
        <f>(C224*C223)*C225</f>
        <v>0.58799999999999986</v>
      </c>
      <c r="D226" s="47" t="s">
        <v>85</v>
      </c>
      <c r="E226" s="45"/>
      <c r="F226" s="45"/>
      <c r="G226" s="53"/>
      <c r="H226" s="54"/>
      <c r="I226" s="55"/>
      <c r="J226" s="55"/>
      <c r="K226" s="55"/>
      <c r="L226" s="56"/>
      <c r="M226" s="46"/>
    </row>
    <row r="227" spans="1:13" s="38" customFormat="1" ht="17.649999999999999" customHeight="1" x14ac:dyDescent="0.2">
      <c r="A227" s="43"/>
      <c r="B227" s="44"/>
      <c r="C227" s="47"/>
      <c r="D227" s="47"/>
      <c r="E227" s="45"/>
      <c r="F227" s="45"/>
      <c r="G227" s="53"/>
      <c r="H227" s="54"/>
      <c r="I227" s="55"/>
      <c r="J227" s="55"/>
      <c r="K227" s="55"/>
      <c r="L227" s="56"/>
      <c r="M227" s="46"/>
    </row>
    <row r="228" spans="1:13" s="38" customFormat="1" ht="17.649999999999999" customHeight="1" x14ac:dyDescent="0.2">
      <c r="A228" s="43"/>
      <c r="B228" s="44" t="s">
        <v>162</v>
      </c>
      <c r="C228" s="62">
        <f>C226+C220</f>
        <v>1.4279999999999999</v>
      </c>
      <c r="D228" s="62" t="s">
        <v>85</v>
      </c>
      <c r="E228" s="45"/>
      <c r="F228" s="45"/>
      <c r="G228" s="53"/>
      <c r="H228" s="54"/>
      <c r="I228" s="55"/>
      <c r="J228" s="55"/>
      <c r="K228" s="55"/>
      <c r="L228" s="56"/>
      <c r="M228" s="46"/>
    </row>
    <row r="229" spans="1:13" s="38" customFormat="1" ht="17.649999999999999" customHeight="1" x14ac:dyDescent="0.25">
      <c r="A229" s="43"/>
      <c r="B229" s="44"/>
      <c r="C229" s="45"/>
      <c r="D229" s="52"/>
      <c r="E229" s="45"/>
      <c r="F229" s="45"/>
      <c r="G229" s="53"/>
      <c r="H229" s="54"/>
      <c r="I229" s="55"/>
      <c r="J229" s="55"/>
      <c r="K229" s="55"/>
      <c r="L229" s="56"/>
      <c r="M229" s="46"/>
    </row>
    <row r="230" spans="1:13" s="38" customFormat="1" ht="17.649999999999999" customHeight="1" x14ac:dyDescent="0.2">
      <c r="A230" s="43"/>
      <c r="B230" s="44" t="s">
        <v>164</v>
      </c>
      <c r="C230" s="45">
        <f>C228+C214+C195</f>
        <v>18.510929999999998</v>
      </c>
      <c r="D230" s="62" t="s">
        <v>85</v>
      </c>
      <c r="E230" s="45"/>
      <c r="F230" s="45"/>
      <c r="G230" s="53"/>
      <c r="H230" s="54"/>
      <c r="I230" s="55"/>
      <c r="J230" s="55"/>
      <c r="K230" s="55"/>
      <c r="L230" s="56"/>
      <c r="M230" s="46"/>
    </row>
    <row r="231" spans="1:13" s="38" customFormat="1" ht="17.649999999999999" customHeight="1" x14ac:dyDescent="0.25">
      <c r="A231" s="43"/>
      <c r="B231" s="44"/>
      <c r="C231" s="45"/>
      <c r="D231" s="52"/>
      <c r="E231" s="45"/>
      <c r="F231" s="45"/>
      <c r="G231" s="53"/>
      <c r="H231" s="54"/>
      <c r="I231" s="55"/>
      <c r="J231" s="55"/>
      <c r="K231" s="55"/>
      <c r="L231" s="56"/>
      <c r="M231" s="46"/>
    </row>
    <row r="232" spans="1:13" s="38" customFormat="1" ht="17.649999999999999" customHeight="1" x14ac:dyDescent="0.25">
      <c r="A232" s="57"/>
      <c r="B232" s="58" t="s">
        <v>100</v>
      </c>
      <c r="C232" s="138" t="s">
        <v>70</v>
      </c>
      <c r="D232" s="138"/>
      <c r="E232" s="138"/>
      <c r="F232" s="138"/>
      <c r="G232" s="138"/>
      <c r="H232" s="138"/>
      <c r="I232" s="138"/>
      <c r="J232" s="138"/>
      <c r="K232" s="138"/>
      <c r="L232" s="59" t="s">
        <v>27</v>
      </c>
      <c r="M232" s="60">
        <f>C233</f>
        <v>2219.1799999999998</v>
      </c>
    </row>
    <row r="233" spans="1:13" s="38" customFormat="1" ht="17.649999999999999" customHeight="1" x14ac:dyDescent="0.25">
      <c r="A233" s="43"/>
      <c r="B233" s="44" t="s">
        <v>71</v>
      </c>
      <c r="C233" s="45">
        <f>917.43+30.6+153.97+35.54+130.03+61.84+35.45+854.32</f>
        <v>2219.1799999999998</v>
      </c>
      <c r="D233" s="52" t="s">
        <v>27</v>
      </c>
      <c r="E233" s="45"/>
      <c r="F233" s="45"/>
      <c r="G233" s="53"/>
      <c r="H233" s="54"/>
      <c r="I233" s="55"/>
      <c r="J233" s="55"/>
      <c r="K233" s="55"/>
      <c r="L233" s="56"/>
      <c r="M233" s="46"/>
    </row>
    <row r="234" spans="1:13" s="38" customFormat="1" ht="17.649999999999999" customHeight="1" x14ac:dyDescent="0.25">
      <c r="A234" s="43"/>
      <c r="B234" s="44"/>
      <c r="C234" s="45"/>
      <c r="D234" s="52"/>
      <c r="E234" s="45"/>
      <c r="F234" s="45"/>
      <c r="G234" s="53"/>
      <c r="H234" s="54"/>
      <c r="I234" s="55"/>
      <c r="J234" s="55"/>
      <c r="K234" s="55"/>
      <c r="L234" s="56"/>
      <c r="M234" s="46"/>
    </row>
    <row r="235" spans="1:13" s="38" customFormat="1" ht="17.649999999999999" customHeight="1" x14ac:dyDescent="0.25">
      <c r="A235" s="57"/>
      <c r="B235" s="58" t="s">
        <v>101</v>
      </c>
      <c r="C235" s="138" t="s">
        <v>163</v>
      </c>
      <c r="D235" s="138"/>
      <c r="E235" s="138"/>
      <c r="F235" s="138"/>
      <c r="G235" s="138"/>
      <c r="H235" s="138"/>
      <c r="I235" s="138"/>
      <c r="J235" s="138"/>
      <c r="K235" s="138"/>
      <c r="L235" s="59" t="s">
        <v>27</v>
      </c>
      <c r="M235" s="60">
        <f>C236</f>
        <v>124.59</v>
      </c>
    </row>
    <row r="236" spans="1:13" s="38" customFormat="1" ht="17.649999999999999" customHeight="1" x14ac:dyDescent="0.25">
      <c r="A236" s="43"/>
      <c r="B236" s="44" t="s">
        <v>71</v>
      </c>
      <c r="C236" s="45">
        <f>105.36+19.23</f>
        <v>124.59</v>
      </c>
      <c r="D236" s="52" t="s">
        <v>27</v>
      </c>
      <c r="E236" s="45"/>
      <c r="F236" s="45"/>
      <c r="G236" s="53"/>
      <c r="H236" s="54"/>
      <c r="I236" s="55"/>
      <c r="J236" s="55"/>
      <c r="K236" s="55"/>
      <c r="L236" s="56"/>
      <c r="M236" s="46"/>
    </row>
    <row r="237" spans="1:13" s="38" customFormat="1" ht="17.649999999999999" customHeight="1" x14ac:dyDescent="0.25">
      <c r="A237" s="43"/>
      <c r="B237" s="44"/>
      <c r="C237" s="45"/>
      <c r="D237" s="52"/>
      <c r="E237" s="45"/>
      <c r="F237" s="45"/>
      <c r="G237" s="53"/>
      <c r="H237" s="54"/>
      <c r="I237" s="55"/>
      <c r="J237" s="55"/>
      <c r="K237" s="55"/>
      <c r="L237" s="56"/>
      <c r="M237" s="46"/>
    </row>
    <row r="238" spans="1:13" s="38" customFormat="1" ht="30" customHeight="1" x14ac:dyDescent="0.25">
      <c r="A238" s="43"/>
      <c r="B238" s="69" t="s">
        <v>166</v>
      </c>
      <c r="C238" s="136" t="s">
        <v>46</v>
      </c>
      <c r="D238" s="136"/>
      <c r="E238" s="136"/>
      <c r="F238" s="136"/>
      <c r="G238" s="136"/>
      <c r="H238" s="136"/>
      <c r="I238" s="136"/>
      <c r="J238" s="136"/>
      <c r="K238" s="136"/>
      <c r="L238" s="70" t="s">
        <v>47</v>
      </c>
      <c r="M238" s="71">
        <f>C249</f>
        <v>7.68</v>
      </c>
    </row>
    <row r="239" spans="1:13" s="38" customFormat="1" ht="17.649999999999999" customHeight="1" x14ac:dyDescent="0.25">
      <c r="A239" s="43"/>
      <c r="B239" s="72"/>
      <c r="C239" s="73"/>
      <c r="D239" s="74"/>
      <c r="E239" s="74"/>
      <c r="F239" s="74"/>
      <c r="G239" s="74"/>
      <c r="H239" s="74"/>
      <c r="I239" s="74"/>
      <c r="J239" s="74"/>
      <c r="K239" s="75"/>
      <c r="L239" s="76"/>
      <c r="M239" s="77"/>
    </row>
    <row r="240" spans="1:13" s="38" customFormat="1" ht="17.649999999999999" customHeight="1" x14ac:dyDescent="0.25">
      <c r="A240" s="43"/>
      <c r="B240" s="72"/>
      <c r="C240" s="73" t="s">
        <v>102</v>
      </c>
      <c r="D240" s="74"/>
      <c r="E240" s="74"/>
      <c r="F240" s="74"/>
      <c r="G240" s="74"/>
      <c r="H240" s="74"/>
      <c r="I240" s="74"/>
      <c r="J240" s="74"/>
      <c r="K240" s="75"/>
      <c r="L240" s="76"/>
      <c r="M240" s="77"/>
    </row>
    <row r="241" spans="1:19" s="38" customFormat="1" ht="17.649999999999999" customHeight="1" x14ac:dyDescent="0.25">
      <c r="A241" s="57"/>
      <c r="B241" s="78"/>
      <c r="C241" s="75" t="s">
        <v>103</v>
      </c>
      <c r="D241" s="75"/>
      <c r="E241" s="75"/>
      <c r="F241" s="75"/>
      <c r="G241" s="75"/>
      <c r="H241" s="75"/>
      <c r="I241" s="75"/>
      <c r="J241" s="75"/>
      <c r="K241" s="75"/>
      <c r="L241" s="79"/>
      <c r="M241" s="80"/>
    </row>
    <row r="242" spans="1:19" s="38" customFormat="1" ht="17.649999999999999" customHeight="1" x14ac:dyDescent="0.2">
      <c r="A242" s="43"/>
      <c r="B242" s="78"/>
      <c r="C242" s="75"/>
      <c r="D242" s="75"/>
      <c r="E242" s="75"/>
      <c r="F242" s="75"/>
      <c r="G242" s="75"/>
      <c r="H242" s="75"/>
      <c r="I242" s="75"/>
      <c r="J242" s="75"/>
      <c r="K242" s="75"/>
      <c r="L242" s="79"/>
      <c r="M242" s="80"/>
    </row>
    <row r="243" spans="1:19" s="38" customFormat="1" ht="17.649999999999999" customHeight="1" x14ac:dyDescent="0.2">
      <c r="A243" s="43"/>
      <c r="B243" s="81" t="s">
        <v>104</v>
      </c>
      <c r="C243" s="82">
        <v>2</v>
      </c>
      <c r="D243" s="75" t="s">
        <v>105</v>
      </c>
      <c r="E243" s="75"/>
      <c r="F243" s="75"/>
      <c r="G243" s="75"/>
      <c r="H243" s="75"/>
      <c r="I243" s="75"/>
      <c r="J243" s="75"/>
      <c r="K243" s="75"/>
      <c r="L243" s="79"/>
      <c r="M243" s="80"/>
    </row>
    <row r="244" spans="1:19" s="38" customFormat="1" ht="17.649999999999999" customHeight="1" x14ac:dyDescent="0.2">
      <c r="A244" s="43"/>
      <c r="B244" s="81" t="s">
        <v>106</v>
      </c>
      <c r="C244" s="83">
        <v>2</v>
      </c>
      <c r="D244" s="75" t="s">
        <v>105</v>
      </c>
      <c r="E244" s="75"/>
      <c r="F244" s="75"/>
      <c r="G244" s="75"/>
      <c r="H244" s="75"/>
      <c r="I244" s="75"/>
      <c r="J244" s="75"/>
      <c r="K244" s="75"/>
      <c r="L244" s="79"/>
      <c r="M244" s="80"/>
    </row>
    <row r="245" spans="1:19" s="38" customFormat="1" ht="17.649999999999999" customHeight="1" x14ac:dyDescent="0.25">
      <c r="A245" s="57"/>
      <c r="B245" s="81" t="s">
        <v>107</v>
      </c>
      <c r="C245" s="83">
        <v>0.48</v>
      </c>
      <c r="D245" s="75" t="s">
        <v>105</v>
      </c>
      <c r="E245" s="75"/>
      <c r="F245" s="75"/>
      <c r="G245" s="75"/>
      <c r="H245" s="75"/>
      <c r="I245" s="75"/>
      <c r="J245" s="75"/>
      <c r="K245" s="75"/>
      <c r="L245" s="79"/>
      <c r="M245" s="80"/>
    </row>
    <row r="246" spans="1:19" s="38" customFormat="1" ht="17.649999999999999" customHeight="1" x14ac:dyDescent="0.2">
      <c r="A246" s="43"/>
      <c r="B246" s="81" t="s">
        <v>108</v>
      </c>
      <c r="C246" s="83">
        <f>C243*C244*C245</f>
        <v>1.92</v>
      </c>
      <c r="D246" s="75" t="s">
        <v>109</v>
      </c>
      <c r="E246" s="75"/>
      <c r="F246" s="75"/>
      <c r="G246" s="75"/>
      <c r="H246" s="75"/>
      <c r="I246" s="75"/>
      <c r="J246" s="75"/>
      <c r="K246" s="75"/>
      <c r="L246" s="79"/>
      <c r="M246" s="80"/>
    </row>
    <row r="247" spans="1:19" s="38" customFormat="1" ht="17.649999999999999" customHeight="1" x14ac:dyDescent="0.2">
      <c r="A247" s="43"/>
      <c r="B247" s="81" t="s">
        <v>110</v>
      </c>
      <c r="C247" s="83">
        <v>4</v>
      </c>
      <c r="D247" s="75" t="s">
        <v>111</v>
      </c>
      <c r="E247" s="75"/>
      <c r="F247" s="75"/>
      <c r="G247" s="75"/>
      <c r="H247" s="75"/>
      <c r="I247" s="75"/>
      <c r="J247" s="75"/>
      <c r="K247" s="75"/>
      <c r="L247" s="79"/>
      <c r="M247" s="80"/>
    </row>
    <row r="248" spans="1:19" s="38" customFormat="1" ht="17.649999999999999" customHeight="1" x14ac:dyDescent="0.2">
      <c r="A248" s="43"/>
      <c r="B248" s="81"/>
      <c r="C248" s="84"/>
      <c r="D248" s="75"/>
      <c r="E248" s="75"/>
      <c r="F248" s="75"/>
      <c r="G248" s="75"/>
      <c r="H248" s="75"/>
      <c r="I248" s="75"/>
      <c r="J248" s="75"/>
      <c r="K248" s="75"/>
      <c r="L248" s="79"/>
      <c r="M248" s="80"/>
    </row>
    <row r="249" spans="1:19" s="38" customFormat="1" ht="17.649999999999999" customHeight="1" x14ac:dyDescent="0.25">
      <c r="A249" s="43"/>
      <c r="B249" s="85" t="s">
        <v>112</v>
      </c>
      <c r="C249" s="86">
        <f>C246*C247</f>
        <v>7.68</v>
      </c>
      <c r="D249" s="87" t="str">
        <f>L238</f>
        <v>dm³</v>
      </c>
      <c r="E249" s="88"/>
      <c r="F249" s="88"/>
      <c r="G249" s="88"/>
      <c r="H249" s="88"/>
      <c r="I249" s="88"/>
      <c r="J249" s="88"/>
      <c r="K249" s="88"/>
      <c r="L249" s="89"/>
      <c r="M249" s="90"/>
    </row>
    <row r="250" spans="1:19" s="38" customFormat="1" ht="17.649999999999999" customHeight="1" thickBot="1" x14ac:dyDescent="0.25">
      <c r="A250" s="43"/>
      <c r="B250" s="91"/>
      <c r="C250" s="92"/>
      <c r="D250" s="92"/>
      <c r="E250" s="92"/>
      <c r="F250" s="92"/>
      <c r="G250" s="93"/>
      <c r="H250" s="94"/>
      <c r="I250" s="95"/>
      <c r="J250" s="95"/>
      <c r="K250" s="95"/>
      <c r="L250" s="96"/>
      <c r="M250" s="97"/>
    </row>
    <row r="251" spans="1:19" ht="17.649999999999999" customHeight="1" x14ac:dyDescent="0.2">
      <c r="B251" s="114" t="s">
        <v>114</v>
      </c>
      <c r="C251" s="115" t="s">
        <v>175</v>
      </c>
      <c r="D251" s="116"/>
      <c r="E251" s="116"/>
      <c r="F251" s="116"/>
      <c r="G251" s="116"/>
      <c r="H251" s="116"/>
      <c r="I251" s="117"/>
      <c r="J251" s="117"/>
      <c r="K251" s="117"/>
      <c r="L251" s="118"/>
      <c r="M251" s="119"/>
      <c r="O251" s="120"/>
      <c r="P251" s="98"/>
      <c r="Q251" s="98"/>
      <c r="R251" s="98"/>
      <c r="S251" s="98"/>
    </row>
    <row r="252" spans="1:19" s="26" customFormat="1" ht="15" x14ac:dyDescent="0.2">
      <c r="B252" s="100" t="s">
        <v>172</v>
      </c>
      <c r="C252" s="138" t="str">
        <f>'ORÇAMENTO CONSTRUÇÃO PASSARELA '!D33</f>
        <v>Concreto fck = 40 MPa - confecção em betoneira e lançamento manual - areia e brita comerciais</v>
      </c>
      <c r="D252" s="138"/>
      <c r="E252" s="138"/>
      <c r="F252" s="138"/>
      <c r="G252" s="138"/>
      <c r="H252" s="138"/>
      <c r="I252" s="138"/>
      <c r="J252" s="138"/>
      <c r="K252" s="138"/>
      <c r="L252" s="101" t="s">
        <v>113</v>
      </c>
      <c r="M252" s="102">
        <f>C256</f>
        <v>8.1</v>
      </c>
      <c r="N252" s="103"/>
      <c r="O252" s="63"/>
      <c r="P252" s="63"/>
      <c r="Q252" s="63"/>
      <c r="R252" s="63"/>
      <c r="S252" s="63"/>
    </row>
    <row r="253" spans="1:19" s="26" customFormat="1" ht="17.649999999999999" customHeight="1" x14ac:dyDescent="0.2">
      <c r="B253" s="104"/>
      <c r="C253" s="47"/>
      <c r="D253" s="105"/>
      <c r="E253" s="105"/>
      <c r="F253" s="105"/>
      <c r="G253" s="105"/>
      <c r="H253" s="105"/>
      <c r="I253" s="75"/>
      <c r="J253" s="105"/>
      <c r="K253" s="105"/>
      <c r="L253" s="106"/>
      <c r="M253" s="107"/>
      <c r="N253" s="108"/>
      <c r="O253" s="63"/>
      <c r="P253" s="63"/>
      <c r="Q253" s="63"/>
      <c r="R253" s="63"/>
      <c r="S253" s="63"/>
    </row>
    <row r="254" spans="1:19" s="26" customFormat="1" ht="17.649999999999999" customHeight="1" x14ac:dyDescent="0.2">
      <c r="B254" s="104" t="s">
        <v>176</v>
      </c>
      <c r="C254" s="109">
        <v>0.1125</v>
      </c>
      <c r="D254" s="105" t="s">
        <v>177</v>
      </c>
      <c r="E254" s="105"/>
      <c r="F254" s="105"/>
      <c r="G254" s="105"/>
      <c r="H254" s="105"/>
      <c r="I254" s="75"/>
      <c r="J254" s="105"/>
      <c r="K254" s="105"/>
      <c r="L254" s="106"/>
      <c r="M254" s="107"/>
      <c r="N254" s="108"/>
      <c r="O254" s="63"/>
      <c r="P254" s="63"/>
      <c r="Q254" s="63"/>
      <c r="R254" s="63"/>
      <c r="S254" s="63"/>
    </row>
    <row r="255" spans="1:19" s="26" customFormat="1" ht="17.649999999999999" customHeight="1" x14ac:dyDescent="0.2">
      <c r="B255" s="104" t="s">
        <v>86</v>
      </c>
      <c r="C255" s="47">
        <f>1.6*45</f>
        <v>72</v>
      </c>
      <c r="D255" s="105" t="s">
        <v>76</v>
      </c>
      <c r="E255" s="105"/>
      <c r="F255" s="105"/>
      <c r="G255" s="105"/>
      <c r="H255" s="105"/>
      <c r="I255" s="75"/>
      <c r="J255" s="105"/>
      <c r="K255" s="105"/>
      <c r="L255" s="106"/>
      <c r="M255" s="107"/>
      <c r="N255" s="108"/>
      <c r="O255" s="63"/>
      <c r="P255" s="63"/>
      <c r="Q255" s="63"/>
      <c r="R255" s="63"/>
      <c r="S255" s="63"/>
    </row>
    <row r="256" spans="1:19" s="26" customFormat="1" ht="17.649999999999999" customHeight="1" x14ac:dyDescent="0.2">
      <c r="B256" s="110" t="s">
        <v>99</v>
      </c>
      <c r="C256" s="62">
        <f>C255*C254</f>
        <v>8.1</v>
      </c>
      <c r="D256" s="111" t="s">
        <v>85</v>
      </c>
      <c r="E256" s="105"/>
      <c r="F256" s="105"/>
      <c r="G256" s="105"/>
      <c r="H256" s="105"/>
      <c r="I256" s="75"/>
      <c r="J256" s="105"/>
      <c r="K256" s="105"/>
      <c r="L256" s="106"/>
      <c r="M256" s="107"/>
      <c r="N256" s="108"/>
      <c r="O256" s="63"/>
      <c r="P256" s="63"/>
      <c r="Q256" s="63"/>
      <c r="R256" s="63"/>
      <c r="S256" s="63"/>
    </row>
    <row r="257" spans="2:19" s="26" customFormat="1" ht="15" x14ac:dyDescent="0.2">
      <c r="B257" s="100" t="s">
        <v>172</v>
      </c>
      <c r="C257" s="138" t="str">
        <f>'ORÇAMENTO CONSTRUÇÃO PASSARELA '!D36</f>
        <v>GUARDA-CORPO DE AÇO GALVANIZADO DE 1,10M DE ALTURA, MONTANTES TUBULARES DE 1.1/2  ESPAÇADOS DE 1,20M, TRAVESSA SUPERIOR DE 2 , GRADIL FORMADO POR BARRAS CHATAS EM FERRO DE 32X4,8MM, FIXADO COM CHUMBADOR MECÂNICO. AF_04/2019_PS</v>
      </c>
      <c r="D257" s="138"/>
      <c r="E257" s="138"/>
      <c r="F257" s="138"/>
      <c r="G257" s="138"/>
      <c r="H257" s="138"/>
      <c r="I257" s="138"/>
      <c r="J257" s="138"/>
      <c r="K257" s="138"/>
      <c r="L257" s="101" t="s">
        <v>113</v>
      </c>
      <c r="M257" s="102">
        <f>C261</f>
        <v>97.94</v>
      </c>
      <c r="N257" s="103"/>
      <c r="O257" s="63"/>
      <c r="P257" s="63"/>
      <c r="Q257" s="63"/>
      <c r="R257" s="63"/>
      <c r="S257" s="63"/>
    </row>
    <row r="258" spans="2:19" s="26" customFormat="1" ht="17.649999999999999" customHeight="1" x14ac:dyDescent="0.2">
      <c r="B258" s="104"/>
      <c r="C258" s="47"/>
      <c r="D258" s="105"/>
      <c r="E258" s="105"/>
      <c r="F258" s="105"/>
      <c r="G258" s="105"/>
      <c r="H258" s="105"/>
      <c r="I258" s="75"/>
      <c r="J258" s="105"/>
      <c r="K258" s="105"/>
      <c r="L258" s="106"/>
      <c r="M258" s="107"/>
      <c r="N258" s="108"/>
      <c r="O258" s="63"/>
      <c r="P258" s="63"/>
      <c r="Q258" s="63"/>
      <c r="R258" s="63"/>
      <c r="S258" s="63"/>
    </row>
    <row r="259" spans="2:19" s="26" customFormat="1" ht="17.649999999999999" customHeight="1" x14ac:dyDescent="0.2">
      <c r="B259" s="104" t="s">
        <v>180</v>
      </c>
      <c r="C259" s="109">
        <f>18.26*2+1.4+2.8+1.4+22.01*2+2+1.4</f>
        <v>89.54</v>
      </c>
      <c r="D259" s="105" t="s">
        <v>62</v>
      </c>
      <c r="E259" s="105"/>
      <c r="F259" s="105"/>
      <c r="G259" s="105"/>
      <c r="H259" s="105"/>
      <c r="I259" s="75"/>
      <c r="J259" s="105"/>
      <c r="K259" s="105"/>
      <c r="L259" s="106"/>
      <c r="M259" s="107"/>
      <c r="N259" s="108"/>
      <c r="O259" s="63"/>
      <c r="P259" s="63"/>
      <c r="Q259" s="63"/>
      <c r="R259" s="63"/>
      <c r="S259" s="63"/>
    </row>
    <row r="260" spans="2:19" s="26" customFormat="1" ht="17.649999999999999" customHeight="1" x14ac:dyDescent="0.2">
      <c r="B260" s="104" t="s">
        <v>181</v>
      </c>
      <c r="C260" s="47">
        <f>1.4*2+2.8*2</f>
        <v>8.3999999999999986</v>
      </c>
      <c r="D260" s="105" t="s">
        <v>85</v>
      </c>
      <c r="E260" s="105"/>
      <c r="F260" s="105"/>
      <c r="G260" s="105"/>
      <c r="H260" s="105"/>
      <c r="I260" s="75"/>
      <c r="J260" s="105"/>
      <c r="K260" s="105"/>
      <c r="L260" s="106"/>
      <c r="M260" s="107"/>
      <c r="N260" s="108"/>
      <c r="O260" s="63"/>
      <c r="P260" s="63"/>
      <c r="Q260" s="63"/>
      <c r="R260" s="63"/>
      <c r="S260" s="63"/>
    </row>
    <row r="261" spans="2:19" s="26" customFormat="1" ht="17.649999999999999" customHeight="1" x14ac:dyDescent="0.2">
      <c r="B261" s="110" t="s">
        <v>99</v>
      </c>
      <c r="C261" s="62">
        <f>C260+C259</f>
        <v>97.94</v>
      </c>
      <c r="D261" s="111" t="s">
        <v>85</v>
      </c>
      <c r="E261" s="105"/>
      <c r="F261" s="105"/>
      <c r="G261" s="105"/>
      <c r="H261" s="105"/>
      <c r="I261" s="75"/>
      <c r="J261" s="105"/>
      <c r="K261" s="105"/>
      <c r="L261" s="106"/>
      <c r="M261" s="107"/>
      <c r="N261" s="108"/>
      <c r="O261" s="63"/>
      <c r="P261" s="63"/>
      <c r="Q261" s="63"/>
      <c r="R261" s="63"/>
      <c r="S261" s="63"/>
    </row>
    <row r="262" spans="2:19" s="26" customFormat="1" ht="17.649999999999999" customHeight="1" x14ac:dyDescent="0.2">
      <c r="B262" s="110"/>
      <c r="C262" s="112"/>
      <c r="D262" s="111"/>
      <c r="E262" s="105"/>
      <c r="F262" s="105"/>
      <c r="G262" s="105"/>
      <c r="H262" s="105"/>
      <c r="I262" s="75"/>
      <c r="J262" s="105"/>
      <c r="K262" s="105"/>
      <c r="L262" s="106"/>
      <c r="M262" s="107"/>
      <c r="N262" s="108"/>
      <c r="O262" s="63"/>
      <c r="P262" s="63"/>
      <c r="Q262" s="63"/>
      <c r="R262" s="63"/>
      <c r="S262" s="63"/>
    </row>
  </sheetData>
  <mergeCells count="22">
    <mergeCell ref="C252:K252"/>
    <mergeCell ref="C257:K257"/>
    <mergeCell ref="B2:M2"/>
    <mergeCell ref="C3:K3"/>
    <mergeCell ref="C4:K4"/>
    <mergeCell ref="C26:K26"/>
    <mergeCell ref="C28:K28"/>
    <mergeCell ref="C238:K238"/>
    <mergeCell ref="C9:K9"/>
    <mergeCell ref="C13:K13"/>
    <mergeCell ref="C18:K18"/>
    <mergeCell ref="C29:K29"/>
    <mergeCell ref="C97:K97"/>
    <mergeCell ref="C235:K235"/>
    <mergeCell ref="C102:K102"/>
    <mergeCell ref="C232:K232"/>
    <mergeCell ref="C50:K50"/>
    <mergeCell ref="C72:K72"/>
    <mergeCell ref="C94:K94"/>
    <mergeCell ref="C107:K107"/>
    <mergeCell ref="C108:K108"/>
    <mergeCell ref="C171:K171"/>
  </mergeCells>
  <printOptions horizontalCentered="1"/>
  <pageMargins left="0.78740157480314965" right="0.39370078740157483" top="1.1811023622047245" bottom="0.98425196850393704" header="0.31496062992125984" footer="0.31496062992125984"/>
  <pageSetup paperSize="9" scale="70" fitToHeight="0" orientation="portrait" r:id="rId1"/>
  <rowBreaks count="4" manualBreakCount="4">
    <brk id="49" min="1" max="12" man="1"/>
    <brk id="101" min="1" max="12" man="1"/>
    <brk id="153" min="1" max="12" man="1"/>
    <brk id="196" min="1" max="12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CONSTRUÇÃO PASSARELA </vt:lpstr>
      <vt:lpstr>MEMÓRIA-PASSARELA</vt:lpstr>
      <vt:lpstr>'MEMÓRIA-PASSARELA'!Area_de_impressao</vt:lpstr>
      <vt:lpstr>'MEMÓRIA-PASSARELA'!Titulos_de_impressao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Kelvin Ramone Silva Machado</cp:lastModifiedBy>
  <cp:revision>0</cp:revision>
  <cp:lastPrinted>2024-08-28T20:53:10Z</cp:lastPrinted>
  <dcterms:created xsi:type="dcterms:W3CDTF">2023-12-02T14:31:47Z</dcterms:created>
  <dcterms:modified xsi:type="dcterms:W3CDTF">2024-08-28T20:53:18Z</dcterms:modified>
</cp:coreProperties>
</file>