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0A3FEBAE-9EF5-46BC-8F1B-6DAF806AB9DF}" xr6:coauthVersionLast="47" xr6:coauthVersionMax="47" xr10:uidLastSave="{00000000-0000-0000-0000-000000000000}"/>
  <bookViews>
    <workbookView xWindow="28680" yWindow="-120" windowWidth="16440" windowHeight="28440" tabRatio="500" xr2:uid="{00000000-000D-0000-FFFF-FFFF00000000}"/>
  </bookViews>
  <sheets>
    <sheet name="1.1 Coleta Domiciliar" sheetId="1" r:id="rId1"/>
    <sheet name="1.2 Contêiner Orgânica" sheetId="2" r:id="rId2"/>
    <sheet name="2.Encargos Sociais" sheetId="3" r:id="rId3"/>
    <sheet name="3.CAGED" sheetId="4" r:id="rId4"/>
    <sheet name="4.BDI" sheetId="5" r:id="rId5"/>
    <sheet name="5. Depreciação" sheetId="6" r:id="rId6"/>
    <sheet name="6.Remuneração de capital" sheetId="7" r:id="rId7"/>
  </sheets>
  <definedNames>
    <definedName name="AbaDeprec">'5. Depreciação'!$A$1</definedName>
    <definedName name="AbaRemun">'6.Remuneração de capital'!$A$1</definedName>
    <definedName name="_xlnm.Print_Area" localSheetId="0">'1.1 Coleta Domiciliar'!$A$1:$F$378</definedName>
    <definedName name="_xlnm.Print_Area" localSheetId="1">'1.2 Contêiner Orgânica'!$A$1:$F$246</definedName>
    <definedName name="_xlnm.Print_Area" localSheetId="2">'2.Encargos Sociais'!$A$1:$C$36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2" i="5" l="1"/>
  <c r="C17" i="5" s="1"/>
  <c r="C235" i="2" s="1"/>
  <c r="F10" i="5"/>
  <c r="E10" i="5"/>
  <c r="D10" i="5"/>
  <c r="C21" i="4"/>
  <c r="C19" i="4"/>
  <c r="C17" i="3"/>
  <c r="C14" i="3"/>
  <c r="E226" i="2"/>
  <c r="E213" i="2"/>
  <c r="E212" i="2"/>
  <c r="E211" i="2"/>
  <c r="E206" i="2"/>
  <c r="E205" i="2"/>
  <c r="E204" i="2"/>
  <c r="E203" i="2"/>
  <c r="E202" i="2"/>
  <c r="F207" i="2" s="1"/>
  <c r="C193" i="2"/>
  <c r="E191" i="2"/>
  <c r="C191" i="2"/>
  <c r="E189" i="2"/>
  <c r="D192" i="2" s="1"/>
  <c r="E192" i="2" s="1"/>
  <c r="D193" i="2" s="1"/>
  <c r="D178" i="2"/>
  <c r="D176" i="2"/>
  <c r="D174" i="2"/>
  <c r="D172" i="2"/>
  <c r="D170" i="2"/>
  <c r="D179" i="2" s="1"/>
  <c r="C170" i="2"/>
  <c r="C178" i="2" s="1"/>
  <c r="E178" i="2" s="1"/>
  <c r="E162" i="2"/>
  <c r="D159" i="2"/>
  <c r="E154" i="2"/>
  <c r="D147" i="2"/>
  <c r="C147" i="2"/>
  <c r="E147" i="2" s="1"/>
  <c r="C143" i="2"/>
  <c r="E142" i="2"/>
  <c r="D142" i="2"/>
  <c r="C137" i="2"/>
  <c r="C135" i="2"/>
  <c r="C134" i="2"/>
  <c r="E131" i="2"/>
  <c r="C131" i="2"/>
  <c r="C130" i="2"/>
  <c r="C129" i="2"/>
  <c r="E126" i="2"/>
  <c r="E116" i="2"/>
  <c r="C115" i="2"/>
  <c r="D114" i="2"/>
  <c r="E114" i="2" s="1"/>
  <c r="E110" i="2"/>
  <c r="D110" i="2"/>
  <c r="E104" i="2"/>
  <c r="C103" i="2"/>
  <c r="E102" i="2"/>
  <c r="D102" i="2"/>
  <c r="C102" i="2"/>
  <c r="B102" i="2"/>
  <c r="A102" i="2"/>
  <c r="D101" i="2"/>
  <c r="C101" i="2"/>
  <c r="E101" i="2" s="1"/>
  <c r="B101" i="2"/>
  <c r="A101" i="2"/>
  <c r="D100" i="2"/>
  <c r="E113" i="2" s="1"/>
  <c r="C100" i="2"/>
  <c r="B100" i="2"/>
  <c r="A100" i="2"/>
  <c r="D99" i="2"/>
  <c r="E99" i="2" s="1"/>
  <c r="C99" i="2"/>
  <c r="B99" i="2"/>
  <c r="A99" i="2"/>
  <c r="D98" i="2"/>
  <c r="C98" i="2"/>
  <c r="B98" i="2"/>
  <c r="A98" i="2"/>
  <c r="D97" i="2"/>
  <c r="C97" i="2"/>
  <c r="E97" i="2" s="1"/>
  <c r="B97" i="2"/>
  <c r="A97" i="2"/>
  <c r="D96" i="2"/>
  <c r="C96" i="2"/>
  <c r="B96" i="2"/>
  <c r="A96" i="2"/>
  <c r="D95" i="2"/>
  <c r="C95" i="2"/>
  <c r="E95" i="2" s="1"/>
  <c r="B95" i="2"/>
  <c r="A95" i="2"/>
  <c r="E94" i="2"/>
  <c r="D94" i="2"/>
  <c r="D109" i="2" s="1"/>
  <c r="E109" i="2" s="1"/>
  <c r="C94" i="2"/>
  <c r="B94" i="2"/>
  <c r="A94" i="2"/>
  <c r="E85" i="2"/>
  <c r="F85" i="2" s="1"/>
  <c r="E15" i="2" s="1"/>
  <c r="E84" i="2"/>
  <c r="C84" i="2"/>
  <c r="A84" i="2"/>
  <c r="E83" i="2"/>
  <c r="C83" i="2"/>
  <c r="A83" i="2"/>
  <c r="D78" i="2"/>
  <c r="E71" i="2"/>
  <c r="C70" i="2"/>
  <c r="C78" i="2" s="1"/>
  <c r="E78" i="2" s="1"/>
  <c r="E66" i="2"/>
  <c r="E64" i="2"/>
  <c r="D63" i="2"/>
  <c r="E63" i="2" s="1"/>
  <c r="D62" i="2"/>
  <c r="E62" i="2" s="1"/>
  <c r="D64" i="2" s="1"/>
  <c r="E60" i="2"/>
  <c r="E56" i="2"/>
  <c r="C55" i="2"/>
  <c r="E51" i="2"/>
  <c r="D49" i="2"/>
  <c r="E49" i="2" s="1"/>
  <c r="E48" i="2"/>
  <c r="E47" i="2"/>
  <c r="D77" i="2" s="1"/>
  <c r="A38" i="2"/>
  <c r="E35" i="2"/>
  <c r="A34" i="2"/>
  <c r="A33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C364" i="1"/>
  <c r="E355" i="1"/>
  <c r="E342" i="1"/>
  <c r="E341" i="1"/>
  <c r="E340" i="1"/>
  <c r="E339" i="1"/>
  <c r="E338" i="1"/>
  <c r="F343" i="1" s="1"/>
  <c r="F346" i="1" s="1"/>
  <c r="E27" i="1" s="1"/>
  <c r="E337" i="1"/>
  <c r="C327" i="1"/>
  <c r="E327" i="1" s="1"/>
  <c r="F328" i="1" s="1"/>
  <c r="E325" i="1"/>
  <c r="D326" i="1" s="1"/>
  <c r="E326" i="1" s="1"/>
  <c r="D327" i="1" s="1"/>
  <c r="D314" i="1"/>
  <c r="D312" i="1"/>
  <c r="D310" i="1"/>
  <c r="C310" i="1"/>
  <c r="E310" i="1" s="1"/>
  <c r="E301" i="1"/>
  <c r="C301" i="1"/>
  <c r="D300" i="1"/>
  <c r="C300" i="1"/>
  <c r="E300" i="1" s="1"/>
  <c r="C299" i="1"/>
  <c r="C295" i="1"/>
  <c r="C291" i="1"/>
  <c r="E290" i="1"/>
  <c r="D290" i="1"/>
  <c r="C285" i="1"/>
  <c r="E284" i="1"/>
  <c r="D285" i="1" s="1"/>
  <c r="E285" i="1" s="1"/>
  <c r="D286" i="1" s="1"/>
  <c r="E286" i="1" s="1"/>
  <c r="F287" i="1" s="1"/>
  <c r="C284" i="1"/>
  <c r="E281" i="1"/>
  <c r="D284" i="1" s="1"/>
  <c r="C272" i="1"/>
  <c r="E270" i="1"/>
  <c r="C270" i="1"/>
  <c r="E268" i="1"/>
  <c r="D271" i="1" s="1"/>
  <c r="E271" i="1" s="1"/>
  <c r="D272" i="1" s="1"/>
  <c r="D257" i="1"/>
  <c r="D255" i="1"/>
  <c r="D253" i="1"/>
  <c r="D251" i="1"/>
  <c r="D249" i="1"/>
  <c r="C249" i="1"/>
  <c r="C253" i="1" s="1"/>
  <c r="E253" i="1" s="1"/>
  <c r="E241" i="1"/>
  <c r="D238" i="1"/>
  <c r="E233" i="1"/>
  <c r="C227" i="1"/>
  <c r="D226" i="1"/>
  <c r="E221" i="1"/>
  <c r="D221" i="1"/>
  <c r="C216" i="1"/>
  <c r="C237" i="1" s="1"/>
  <c r="C214" i="1"/>
  <c r="C213" i="1"/>
  <c r="E210" i="1"/>
  <c r="D213" i="1" s="1"/>
  <c r="C210" i="1"/>
  <c r="C226" i="1" s="1"/>
  <c r="E226" i="1" s="1"/>
  <c r="C209" i="1"/>
  <c r="C208" i="1"/>
  <c r="E205" i="1"/>
  <c r="C223" i="1" s="1"/>
  <c r="E195" i="1"/>
  <c r="C194" i="1"/>
  <c r="E193" i="1"/>
  <c r="C193" i="1"/>
  <c r="B193" i="1"/>
  <c r="A193" i="1"/>
  <c r="E192" i="1"/>
  <c r="D192" i="1"/>
  <c r="D191" i="1"/>
  <c r="E191" i="1" s="1"/>
  <c r="E190" i="1"/>
  <c r="D190" i="1"/>
  <c r="A190" i="1"/>
  <c r="D189" i="1"/>
  <c r="E189" i="1" s="1"/>
  <c r="E188" i="1"/>
  <c r="D188" i="1"/>
  <c r="D187" i="1"/>
  <c r="E187" i="1" s="1"/>
  <c r="E182" i="1"/>
  <c r="C181" i="1"/>
  <c r="E180" i="1"/>
  <c r="E179" i="1"/>
  <c r="E178" i="1"/>
  <c r="E177" i="1"/>
  <c r="E176" i="1"/>
  <c r="E175" i="1"/>
  <c r="E174" i="1"/>
  <c r="D181" i="1" s="1"/>
  <c r="E181" i="1" s="1"/>
  <c r="F182" i="1" s="1"/>
  <c r="E173" i="1"/>
  <c r="E172" i="1"/>
  <c r="F163" i="1"/>
  <c r="E17" i="1" s="1"/>
  <c r="E163" i="1"/>
  <c r="E162" i="1"/>
  <c r="D299" i="1" s="1"/>
  <c r="C162" i="1"/>
  <c r="E161" i="1"/>
  <c r="C161" i="1"/>
  <c r="D155" i="1"/>
  <c r="D154" i="1"/>
  <c r="C147" i="1"/>
  <c r="E143" i="1"/>
  <c r="D137" i="1"/>
  <c r="D139" i="1" s="1"/>
  <c r="E139" i="1" s="1"/>
  <c r="D141" i="1" s="1"/>
  <c r="E141" i="1" s="1"/>
  <c r="C132" i="1"/>
  <c r="D125" i="1"/>
  <c r="E125" i="1" s="1"/>
  <c r="D126" i="1" s="1"/>
  <c r="E126" i="1" s="1"/>
  <c r="E124" i="1"/>
  <c r="D124" i="1"/>
  <c r="E122" i="1"/>
  <c r="E118" i="1"/>
  <c r="C117" i="1"/>
  <c r="C113" i="1"/>
  <c r="D110" i="1"/>
  <c r="C110" i="1"/>
  <c r="E110" i="1" s="1"/>
  <c r="E108" i="1"/>
  <c r="D108" i="1"/>
  <c r="E107" i="1"/>
  <c r="D107" i="1"/>
  <c r="C107" i="1"/>
  <c r="D105" i="1"/>
  <c r="E105" i="1" s="1"/>
  <c r="D104" i="1"/>
  <c r="C104" i="1"/>
  <c r="E104" i="1" s="1"/>
  <c r="D102" i="1"/>
  <c r="E101" i="1"/>
  <c r="D101" i="1"/>
  <c r="E97" i="1"/>
  <c r="D90" i="1"/>
  <c r="E90" i="1" s="1"/>
  <c r="D92" i="1" s="1"/>
  <c r="E92" i="1" s="1"/>
  <c r="E89" i="1"/>
  <c r="D89" i="1"/>
  <c r="E88" i="1"/>
  <c r="D88" i="1"/>
  <c r="E86" i="1"/>
  <c r="E82" i="1"/>
  <c r="C81" i="1"/>
  <c r="C77" i="1"/>
  <c r="E77" i="1" s="1"/>
  <c r="C75" i="1"/>
  <c r="C72" i="1"/>
  <c r="C69" i="1"/>
  <c r="D67" i="1"/>
  <c r="D70" i="1" s="1"/>
  <c r="E70" i="1" s="1"/>
  <c r="E63" i="1"/>
  <c r="C62" i="1"/>
  <c r="C154" i="1" s="1"/>
  <c r="E154" i="1" s="1"/>
  <c r="E58" i="1"/>
  <c r="D56" i="1"/>
  <c r="E56" i="1" s="1"/>
  <c r="D57" i="1" s="1"/>
  <c r="E57" i="1" s="1"/>
  <c r="E55" i="1"/>
  <c r="D55" i="1"/>
  <c r="E54" i="1"/>
  <c r="E46" i="1"/>
  <c r="C351" i="1" s="1"/>
  <c r="E351" i="1" s="1"/>
  <c r="D352" i="1" s="1"/>
  <c r="E352" i="1" s="1"/>
  <c r="A45" i="1"/>
  <c r="A44" i="1"/>
  <c r="E41" i="1"/>
  <c r="A40" i="1"/>
  <c r="A39" i="1"/>
  <c r="A38" i="1"/>
  <c r="A37" i="1"/>
  <c r="A36" i="1"/>
  <c r="A35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C255" i="1" l="1"/>
  <c r="E255" i="1" s="1"/>
  <c r="E249" i="1"/>
  <c r="C263" i="1"/>
  <c r="E263" i="1" s="1"/>
  <c r="F264" i="1" s="1"/>
  <c r="E25" i="1" s="1"/>
  <c r="C257" i="1"/>
  <c r="E257" i="1" s="1"/>
  <c r="C251" i="1"/>
  <c r="E251" i="1" s="1"/>
  <c r="E272" i="1"/>
  <c r="F273" i="1" s="1"/>
  <c r="E26" i="1" s="1"/>
  <c r="C312" i="1"/>
  <c r="E312" i="1" s="1"/>
  <c r="F316" i="1" s="1"/>
  <c r="C314" i="1"/>
  <c r="E314" i="1" s="1"/>
  <c r="C320" i="1"/>
  <c r="E320" i="1" s="1"/>
  <c r="F321" i="1" s="1"/>
  <c r="E193" i="2"/>
  <c r="F194" i="2" s="1"/>
  <c r="E24" i="2" s="1"/>
  <c r="E170" i="2"/>
  <c r="C172" i="2"/>
  <c r="E172" i="2" s="1"/>
  <c r="C174" i="2"/>
  <c r="E174" i="2" s="1"/>
  <c r="C176" i="2"/>
  <c r="E176" i="2" s="1"/>
  <c r="F156" i="1"/>
  <c r="E16" i="1" s="1"/>
  <c r="D113" i="1"/>
  <c r="E113" i="1" s="1"/>
  <c r="E114" i="1" s="1"/>
  <c r="C353" i="1"/>
  <c r="E353" i="1" s="1"/>
  <c r="D354" i="1" s="1"/>
  <c r="E354" i="1" s="1"/>
  <c r="F355" i="1" s="1"/>
  <c r="F357" i="1" s="1"/>
  <c r="D72" i="1"/>
  <c r="E72" i="1" s="1"/>
  <c r="E93" i="1"/>
  <c r="D128" i="1"/>
  <c r="E128" i="1" s="1"/>
  <c r="E129" i="1" s="1"/>
  <c r="C155" i="1"/>
  <c r="E155" i="1" s="1"/>
  <c r="E213" i="1"/>
  <c r="D214" i="1" s="1"/>
  <c r="E214" i="1" s="1"/>
  <c r="D208" i="1"/>
  <c r="D237" i="1"/>
  <c r="E237" i="1" s="1"/>
  <c r="D240" i="1" s="1"/>
  <c r="E240" i="1" s="1"/>
  <c r="F241" i="1" s="1"/>
  <c r="E23" i="1" s="1"/>
  <c r="C149" i="2"/>
  <c r="D134" i="2"/>
  <c r="E134" i="2" s="1"/>
  <c r="D135" i="2" s="1"/>
  <c r="E135" i="2" s="1"/>
  <c r="C22" i="4"/>
  <c r="C28" i="3" s="1"/>
  <c r="C23" i="4"/>
  <c r="E59" i="1"/>
  <c r="E67" i="1"/>
  <c r="D73" i="1"/>
  <c r="E73" i="1" s="1"/>
  <c r="E137" i="1"/>
  <c r="E144" i="1" s="1"/>
  <c r="D258" i="1"/>
  <c r="D50" i="2"/>
  <c r="E50" i="2" s="1"/>
  <c r="E52" i="2" s="1"/>
  <c r="E208" i="1"/>
  <c r="D209" i="1" s="1"/>
  <c r="E209" i="1" s="1"/>
  <c r="E215" i="1" s="1"/>
  <c r="D216" i="1" s="1"/>
  <c r="E216" i="1" s="1"/>
  <c r="F217" i="1" s="1"/>
  <c r="D69" i="1"/>
  <c r="E69" i="1" s="1"/>
  <c r="D111" i="1"/>
  <c r="E111" i="1" s="1"/>
  <c r="F259" i="1"/>
  <c r="E24" i="1" s="1"/>
  <c r="E299" i="1"/>
  <c r="D302" i="1" s="1"/>
  <c r="E302" i="1" s="1"/>
  <c r="F303" i="1" s="1"/>
  <c r="D315" i="1"/>
  <c r="E67" i="2"/>
  <c r="C144" i="2"/>
  <c r="D158" i="2"/>
  <c r="D129" i="2"/>
  <c r="E129" i="2" s="1"/>
  <c r="D130" i="2" s="1"/>
  <c r="E130" i="2" s="1"/>
  <c r="E136" i="2" s="1"/>
  <c r="D137" i="2" s="1"/>
  <c r="E137" i="2" s="1"/>
  <c r="F138" i="2" s="1"/>
  <c r="D75" i="1"/>
  <c r="E75" i="1" s="1"/>
  <c r="D76" i="1" s="1"/>
  <c r="E76" i="1" s="1"/>
  <c r="C238" i="1"/>
  <c r="E238" i="1" s="1"/>
  <c r="C232" i="1"/>
  <c r="C228" i="1"/>
  <c r="C229" i="1" s="1"/>
  <c r="D230" i="1" s="1"/>
  <c r="E230" i="1" s="1"/>
  <c r="D111" i="2"/>
  <c r="E111" i="2" s="1"/>
  <c r="D115" i="2" s="1"/>
  <c r="E115" i="2" s="1"/>
  <c r="F116" i="2" s="1"/>
  <c r="E96" i="2"/>
  <c r="D103" i="2" s="1"/>
  <c r="E103" i="2" s="1"/>
  <c r="F104" i="2" s="1"/>
  <c r="D112" i="2"/>
  <c r="E112" i="2" s="1"/>
  <c r="E98" i="2"/>
  <c r="C158" i="2"/>
  <c r="E158" i="2" s="1"/>
  <c r="C160" i="2"/>
  <c r="E160" i="2" s="1"/>
  <c r="C222" i="2"/>
  <c r="C159" i="2"/>
  <c r="E159" i="2" s="1"/>
  <c r="C153" i="2"/>
  <c r="F214" i="2"/>
  <c r="F217" i="2" s="1"/>
  <c r="E25" i="2" s="1"/>
  <c r="D194" i="1"/>
  <c r="E194" i="1" s="1"/>
  <c r="F195" i="1" s="1"/>
  <c r="F197" i="1" s="1"/>
  <c r="E18" i="1" s="1"/>
  <c r="C239" i="1"/>
  <c r="E239" i="1" s="1"/>
  <c r="C292" i="1"/>
  <c r="C293" i="1" s="1"/>
  <c r="D294" i="1" s="1"/>
  <c r="E294" i="1" s="1"/>
  <c r="D295" i="1" s="1"/>
  <c r="E295" i="1" s="1"/>
  <c r="F296" i="1" s="1"/>
  <c r="C77" i="2"/>
  <c r="E77" i="2" s="1"/>
  <c r="F79" i="2" s="1"/>
  <c r="E14" i="2" s="1"/>
  <c r="E100" i="2"/>
  <c r="C148" i="2"/>
  <c r="C184" i="2"/>
  <c r="E184" i="2" s="1"/>
  <c r="F185" i="2" s="1"/>
  <c r="E23" i="2" s="1"/>
  <c r="F330" i="1" l="1"/>
  <c r="F180" i="2"/>
  <c r="E22" i="2" s="1"/>
  <c r="E21" i="1"/>
  <c r="D130" i="1"/>
  <c r="F118" i="2"/>
  <c r="E16" i="2" s="1"/>
  <c r="E28" i="1"/>
  <c r="E19" i="2"/>
  <c r="D115" i="1"/>
  <c r="E232" i="1"/>
  <c r="F233" i="1" s="1"/>
  <c r="E22" i="1" s="1"/>
  <c r="D161" i="2"/>
  <c r="E161" i="2" s="1"/>
  <c r="F162" i="2" s="1"/>
  <c r="E21" i="2" s="1"/>
  <c r="C224" i="1"/>
  <c r="D225" i="1" s="1"/>
  <c r="E225" i="1" s="1"/>
  <c r="E231" i="1" s="1"/>
  <c r="D232" i="1" s="1"/>
  <c r="C29" i="4"/>
  <c r="C24" i="3" s="1"/>
  <c r="C24" i="4"/>
  <c r="C27" i="3"/>
  <c r="D60" i="1"/>
  <c r="D94" i="1"/>
  <c r="D151" i="2"/>
  <c r="E151" i="2" s="1"/>
  <c r="D145" i="1"/>
  <c r="C150" i="2"/>
  <c r="D53" i="2"/>
  <c r="D68" i="2"/>
  <c r="E222" i="2"/>
  <c r="D223" i="2" s="1"/>
  <c r="E223" i="2" s="1"/>
  <c r="C224" i="2"/>
  <c r="E224" i="2" s="1"/>
  <c r="D225" i="2" s="1"/>
  <c r="E225" i="2" s="1"/>
  <c r="C145" i="2"/>
  <c r="D146" i="2" s="1"/>
  <c r="E146" i="2" s="1"/>
  <c r="E78" i="1"/>
  <c r="F226" i="2" l="1"/>
  <c r="F228" i="2" s="1"/>
  <c r="E26" i="2" s="1"/>
  <c r="C25" i="3"/>
  <c r="C16" i="3"/>
  <c r="C22" i="3" s="1"/>
  <c r="C31" i="3" s="1"/>
  <c r="C33" i="3" s="1"/>
  <c r="C32" i="3"/>
  <c r="E20" i="1"/>
  <c r="D79" i="1"/>
  <c r="F275" i="1"/>
  <c r="F332" i="1" s="1"/>
  <c r="E152" i="2"/>
  <c r="D153" i="2" s="1"/>
  <c r="E153" i="2" s="1"/>
  <c r="F154" i="2" s="1"/>
  <c r="C26" i="3" l="1"/>
  <c r="C29" i="3" s="1"/>
  <c r="C34" i="3" s="1"/>
  <c r="E19" i="1"/>
  <c r="E20" i="2"/>
  <c r="F197" i="2"/>
  <c r="E17" i="2" s="1"/>
  <c r="C94" i="1" l="1"/>
  <c r="E94" i="1" s="1"/>
  <c r="E95" i="1" s="1"/>
  <c r="D96" i="1" s="1"/>
  <c r="E96" i="1" s="1"/>
  <c r="F97" i="1" s="1"/>
  <c r="E14" i="1" s="1"/>
  <c r="C60" i="1"/>
  <c r="E60" i="1" s="1"/>
  <c r="E61" i="1" s="1"/>
  <c r="D62" i="1" s="1"/>
  <c r="E62" i="1" s="1"/>
  <c r="F63" i="1" s="1"/>
  <c r="C115" i="1"/>
  <c r="E115" i="1" s="1"/>
  <c r="E116" i="1" s="1"/>
  <c r="D117" i="1" s="1"/>
  <c r="E117" i="1" s="1"/>
  <c r="F118" i="1" s="1"/>
  <c r="E15" i="1" s="1"/>
  <c r="C79" i="1"/>
  <c r="E79" i="1" s="1"/>
  <c r="E80" i="1" s="1"/>
  <c r="D81" i="1" s="1"/>
  <c r="E81" i="1" s="1"/>
  <c r="F82" i="1" s="1"/>
  <c r="E13" i="1" s="1"/>
  <c r="C130" i="1"/>
  <c r="E130" i="1" s="1"/>
  <c r="E131" i="1" s="1"/>
  <c r="D132" i="1" s="1"/>
  <c r="E132" i="1" s="1"/>
  <c r="F133" i="1" s="1"/>
  <c r="C68" i="2"/>
  <c r="E68" i="2" s="1"/>
  <c r="E69" i="2" s="1"/>
  <c r="D70" i="2" s="1"/>
  <c r="E70" i="2" s="1"/>
  <c r="F71" i="2" s="1"/>
  <c r="C145" i="1"/>
  <c r="E145" i="1" s="1"/>
  <c r="E146" i="1" s="1"/>
  <c r="D147" i="1" s="1"/>
  <c r="E147" i="1" s="1"/>
  <c r="F148" i="1" s="1"/>
  <c r="C53" i="2"/>
  <c r="E53" i="2" s="1"/>
  <c r="E54" i="2" s="1"/>
  <c r="D55" i="2" s="1"/>
  <c r="E55" i="2" s="1"/>
  <c r="F56" i="2" s="1"/>
  <c r="E12" i="2" s="1"/>
  <c r="E18" i="2"/>
  <c r="E13" i="2" l="1"/>
  <c r="F87" i="2"/>
  <c r="F165" i="1"/>
  <c r="E12" i="1"/>
  <c r="E11" i="1" l="1"/>
  <c r="F359" i="1"/>
  <c r="F230" i="2"/>
  <c r="E11" i="2"/>
  <c r="D235" i="2" l="1"/>
  <c r="E235" i="2" s="1"/>
  <c r="F236" i="2" s="1"/>
  <c r="F238" i="2" s="1"/>
  <c r="E27" i="2" s="1"/>
  <c r="E28" i="2" s="1"/>
  <c r="D364" i="1"/>
  <c r="E364" i="1" s="1"/>
  <c r="F365" i="1" s="1"/>
  <c r="F367" i="1" s="1"/>
  <c r="E29" i="1" s="1"/>
  <c r="E30" i="1" s="1"/>
  <c r="F22" i="2" l="1"/>
  <c r="F15" i="2"/>
  <c r="F24" i="2"/>
  <c r="F14" i="2"/>
  <c r="F25" i="2"/>
  <c r="F23" i="2"/>
  <c r="F21" i="2"/>
  <c r="F16" i="2"/>
  <c r="F19" i="2"/>
  <c r="F26" i="2"/>
  <c r="F17" i="2"/>
  <c r="F20" i="2"/>
  <c r="F12" i="2"/>
  <c r="F18" i="2"/>
  <c r="F13" i="2"/>
  <c r="F11" i="2"/>
  <c r="F25" i="1"/>
  <c r="F17" i="1"/>
  <c r="F27" i="1"/>
  <c r="F26" i="1"/>
  <c r="F18" i="1"/>
  <c r="F16" i="1"/>
  <c r="F23" i="1"/>
  <c r="F24" i="1"/>
  <c r="F22" i="1"/>
  <c r="F21" i="1"/>
  <c r="F28" i="1"/>
  <c r="F20" i="1"/>
  <c r="F19" i="1"/>
  <c r="F14" i="1"/>
  <c r="F15" i="1"/>
  <c r="F13" i="1"/>
  <c r="F12" i="1"/>
  <c r="F11" i="1"/>
  <c r="F29" i="1"/>
  <c r="F370" i="1"/>
  <c r="F375" i="1" s="1"/>
  <c r="F27" i="2"/>
  <c r="F241" i="2"/>
  <c r="F245" i="2" s="1"/>
  <c r="F28" i="2" l="1"/>
  <c r="F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B48" authorId="0" shapeId="0" xr:uid="{00000000-0006-0000-0000-000008000000}">
      <text>
        <r>
          <rPr>
            <sz val="10"/>
            <rFont val="Arial"/>
            <family val="2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54" authorId="0" shapeId="0" xr:uid="{00000000-0006-0000-0000-00005E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C55" authorId="0" shapeId="0" xr:uid="{00000000-0006-0000-0000-00000B000000}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56" authorId="0" shapeId="0" xr:uid="{00000000-0006-0000-0000-00000C000000}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A57" authorId="0" shapeId="0" xr:uid="{00000000-0006-0000-0000-000001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60" authorId="0" shapeId="0" xr:uid="{00000000-0006-0000-0000-00000D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62" authorId="0" shapeId="0" xr:uid="{00000000-0006-0000-0000-00000E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C68" authorId="0" shapeId="0" xr:uid="{00000000-0006-0000-0000-00000F000000}">
      <text>
        <r>
          <rPr>
            <sz val="10"/>
            <rFont val="Arial"/>
            <family val="2"/>
          </rPr>
          <t>Informar o número de horas noturnas trabalhadas no intervalo das 22:00h as 5:00h</t>
        </r>
      </text>
    </comment>
    <comment ref="C70" authorId="0" shapeId="0" xr:uid="{00000000-0006-0000-0000-000010000000}">
      <text>
        <r>
          <rPr>
            <sz val="10"/>
            <rFont val="Arial"/>
            <family val="2"/>
          </rPr>
          <t>Informar o número de horas extras trabalhadas em horário diurno nos domingos e feriados</t>
        </r>
      </text>
    </comment>
    <comment ref="C71" authorId="0" shapeId="0" xr:uid="{00000000-0006-0000-0000-000011000000}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</comment>
    <comment ref="C73" authorId="0" shapeId="0" xr:uid="{00000000-0006-0000-0000-000012000000}">
      <text>
        <r>
          <rPr>
            <sz val="10"/>
            <rFont val="Arial"/>
            <family val="2"/>
          </rPr>
          <t>Informar o número de horas extras trabalhadas em horário noturno de segunda à sábado</t>
        </r>
      </text>
    </comment>
    <comment ref="C74" authorId="0" shapeId="0" xr:uid="{00000000-0006-0000-0000-000013000000}">
      <text>
        <r>
          <rPr>
            <sz val="10"/>
            <rFont val="Arial"/>
            <family val="2"/>
          </rPr>
          <t>Informar o número de horas extras trabalhadas em horário noturno (das 22:00h as 5h) de segunda a sábado</t>
        </r>
      </text>
    </comment>
    <comment ref="A76" authorId="0" shapeId="0" xr:uid="{00000000-0006-0000-0000-000002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79" authorId="0" shapeId="0" xr:uid="{00000000-0006-0000-0000-000014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81" authorId="0" shapeId="0" xr:uid="{00000000-0006-0000-0000-000015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86" authorId="0" shapeId="0" xr:uid="{00000000-0006-0000-0000-00005F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D87" authorId="0" shapeId="0" xr:uid="{00000000-0006-0000-0000-000060000000}">
      <text>
        <r>
          <rPr>
            <sz val="10"/>
            <rFont val="Arial"/>
            <family val="2"/>
          </rPr>
          <t>Informar o valor do salário Mínimo Nacional</t>
        </r>
      </text>
    </comment>
    <comment ref="C88" authorId="0" shapeId="0" xr:uid="{00000000-0006-0000-0000-000016000000}">
      <text>
        <r>
          <rPr>
            <sz val="10"/>
            <rFont val="Arial"/>
            <family val="2"/>
          </rPr>
          <t>Informar o número de horas extras trabalhadas em horário diurno nos domingos e feriados</t>
        </r>
      </text>
    </comment>
    <comment ref="C89" authorId="0" shapeId="0" xr:uid="{00000000-0006-0000-0000-000017000000}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A90" authorId="0" shapeId="0" xr:uid="{00000000-0006-0000-0000-000003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91" authorId="0" shapeId="0" xr:uid="{00000000-0006-0000-0000-000018000000}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92" authorId="0" shapeId="0" xr:uid="{00000000-0006-0000-0000-000019000000}">
      <text>
        <r>
          <rPr>
            <sz val="10"/>
            <rFont val="Arial"/>
            <family val="2"/>
          </rPr>
          <t>Percentual estabelecido nas Normas de Segurança de Trabalho ou pelo laudo de responsável técnico devidamente habilitado</t>
        </r>
      </text>
    </comment>
    <comment ref="C94" authorId="0" shapeId="0" xr:uid="{00000000-0006-0000-0000-00001A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96" authorId="0" shapeId="0" xr:uid="{00000000-0006-0000-0000-00001B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C103" authorId="0" shapeId="0" xr:uid="{00000000-0006-0000-0000-00001C000000}">
      <text>
        <r>
          <rPr>
            <sz val="10"/>
            <rFont val="Arial"/>
            <family val="2"/>
          </rPr>
          <t>Informar o número de horas noturnas trabalhadas no intervalo das 22:00h as 5:00h</t>
        </r>
      </text>
    </comment>
    <comment ref="C105" authorId="0" shapeId="0" xr:uid="{00000000-0006-0000-0000-00001D000000}">
      <text>
        <r>
          <rPr>
            <sz val="10"/>
            <rFont val="Arial"/>
            <family val="2"/>
          </rPr>
          <t>Informar o número de horas extras trabalhadas em horário noturno nos domingos e feriados</t>
        </r>
      </text>
    </comment>
    <comment ref="C106" authorId="0" shapeId="0" xr:uid="{00000000-0006-0000-0000-00001E000000}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</comment>
    <comment ref="C108" authorId="0" shapeId="0" xr:uid="{00000000-0006-0000-0000-00001F000000}">
      <text>
        <r>
          <rPr>
            <sz val="10"/>
            <rFont val="Arial"/>
            <family val="2"/>
          </rPr>
          <t>Informar o número de horas extras trabalhadas em horário noturno de segunda à sábado</t>
        </r>
      </text>
    </comment>
    <comment ref="C109" authorId="0" shapeId="0" xr:uid="{00000000-0006-0000-0000-000020000000}">
      <text>
        <r>
          <rPr>
            <sz val="10"/>
            <rFont val="Arial"/>
            <family val="2"/>
          </rPr>
          <t>Informar o número de horas extras trabalhadas em horário noturno (das 22:00h as 5h) de segunda a sábado</t>
        </r>
      </text>
    </comment>
    <comment ref="A111" authorId="0" shapeId="0" xr:uid="{00000000-0006-0000-0000-000004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112" authorId="0" shapeId="0" xr:uid="{00000000-0006-0000-0000-000021000000}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115" authorId="0" shapeId="0" xr:uid="{00000000-0006-0000-0000-000022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117" authorId="0" shapeId="0" xr:uid="{00000000-0006-0000-0000-000023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122" authorId="0" shapeId="0" xr:uid="{00000000-0006-0000-0000-000061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D123" authorId="0" shapeId="0" xr:uid="{00000000-0006-0000-0000-000062000000}">
      <text>
        <r>
          <rPr>
            <sz val="10"/>
            <rFont val="Arial"/>
            <family val="2"/>
          </rPr>
          <t>Informar o valor do salário Mínimo Nacional</t>
        </r>
      </text>
    </comment>
    <comment ref="C124" authorId="0" shapeId="0" xr:uid="{00000000-0006-0000-0000-000024000000}">
      <text>
        <r>
          <rPr>
            <sz val="10"/>
            <rFont val="Arial"/>
            <family val="2"/>
          </rPr>
          <t>Informar o número de horas extras trabalhadas em horário diurno nos domingos e feriados</t>
        </r>
      </text>
    </comment>
    <comment ref="C125" authorId="0" shapeId="0" xr:uid="{00000000-0006-0000-0000-000025000000}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A126" authorId="0" shapeId="0" xr:uid="{00000000-0006-0000-0000-000005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127" authorId="0" shapeId="0" xr:uid="{00000000-0006-0000-0000-000026000000}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128" authorId="0" shapeId="0" xr:uid="{00000000-0006-0000-0000-000027000000}">
      <text>
        <r>
          <rPr>
            <sz val="10"/>
            <rFont val="Arial"/>
            <family val="2"/>
          </rPr>
          <t>Percentual estabelecido nas Normas de Segurança de Trabalho ou pelo laudo de responsável técnico devidamente habilitado</t>
        </r>
      </text>
    </comment>
    <comment ref="C130" authorId="0" shapeId="0" xr:uid="{00000000-0006-0000-0000-000028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132" authorId="0" shapeId="0" xr:uid="{00000000-0006-0000-0000-000029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C139" authorId="0" shapeId="0" xr:uid="{00000000-0006-0000-0000-00002A000000}">
      <text>
        <r>
          <rPr>
            <sz val="10"/>
            <rFont val="Arial"/>
            <family val="2"/>
          </rPr>
          <t>Informar o número de horas extras trabalhadas em horário noturno nos domingos e feriados</t>
        </r>
      </text>
    </comment>
    <comment ref="C140" authorId="0" shapeId="0" xr:uid="{00000000-0006-0000-0000-00002B000000}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</comment>
    <comment ref="A141" authorId="0" shapeId="0" xr:uid="{00000000-0006-0000-0000-000006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142" authorId="0" shapeId="0" xr:uid="{00000000-0006-0000-0000-00002C000000}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145" authorId="0" shapeId="0" xr:uid="{00000000-0006-0000-0000-00002D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147" authorId="0" shapeId="0" xr:uid="{00000000-0006-0000-0000-00002E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152" authorId="0" shapeId="0" xr:uid="{00000000-0006-0000-0000-000063000000}">
      <text>
        <r>
          <rPr>
            <sz val="10"/>
            <rFont val="Arial"/>
            <family val="2"/>
          </rPr>
          <t>Informar o valor unitário do VT no município</t>
        </r>
      </text>
    </comment>
    <comment ref="C153" authorId="0" shapeId="0" xr:uid="{00000000-0006-0000-0000-00002F000000}">
      <text>
        <r>
          <rPr>
            <sz val="10"/>
            <rFont val="Arial"/>
            <family val="2"/>
          </rPr>
          <t>Informar o número médio de dias trabalhados por mês</t>
        </r>
      </text>
    </comment>
    <comment ref="D154" authorId="0" shapeId="0" xr:uid="{00000000-0006-0000-0000-000064000000}">
      <text>
        <r>
          <rPr>
            <sz val="10"/>
            <rFont val="Arial"/>
            <family val="2"/>
          </rPr>
          <t>Valor Unitário considerando o desconto legal de até 6% do salário</t>
        </r>
      </text>
    </comment>
    <comment ref="D155" authorId="0" shapeId="0" xr:uid="{00000000-0006-0000-0000-000065000000}">
      <text>
        <r>
          <rPr>
            <sz val="10"/>
            <rFont val="Arial"/>
            <family val="2"/>
          </rPr>
          <t xml:space="preserve">Valor Unitário considerando o desconto legal de até 6% do salário
</t>
        </r>
      </text>
    </comment>
    <comment ref="D161" authorId="0" shapeId="0" xr:uid="{00000000-0006-0000-0000-000066000000}">
      <text>
        <r>
          <rPr>
            <sz val="10"/>
            <rFont val="Arial"/>
            <family val="2"/>
          </rPr>
          <t>Informar o valor mensal do auxilio alimentação, considerando o desconto aplicável ao funcionário, conforme Convenção Coletiva da categoria</t>
        </r>
      </text>
    </comment>
    <comment ref="D162" authorId="0" shapeId="0" xr:uid="{00000000-0006-0000-0000-000067000000}">
      <text>
        <r>
          <rPr>
            <sz val="10"/>
            <rFont val="Arial"/>
            <family val="2"/>
          </rPr>
          <t>Informar o valor mensal do auxilio alimentação, considerando o desconto aplicável ao funcionário, conforme Convenção Coletiva da categoria</t>
        </r>
      </text>
    </comment>
    <comment ref="C172" authorId="0" shapeId="0" xr:uid="{00000000-0006-0000-0000-000030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72" authorId="0" shapeId="0" xr:uid="{00000000-0006-0000-0000-000068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73" authorId="0" shapeId="0" xr:uid="{00000000-0006-0000-0000-000031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73" authorId="0" shapeId="0" xr:uid="{00000000-0006-0000-0000-000069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74" authorId="0" shapeId="0" xr:uid="{00000000-0006-0000-0000-000032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74" authorId="0" shapeId="0" xr:uid="{00000000-0006-0000-0000-00006A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75" authorId="0" shapeId="0" xr:uid="{00000000-0006-0000-0000-000033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75" authorId="0" shapeId="0" xr:uid="{00000000-0006-0000-0000-00006B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76" authorId="0" shapeId="0" xr:uid="{00000000-0006-0000-0000-000034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76" authorId="0" shapeId="0" xr:uid="{00000000-0006-0000-0000-00006C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77" authorId="0" shapeId="0" xr:uid="{00000000-0006-0000-0000-000035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77" authorId="0" shapeId="0" xr:uid="{00000000-0006-0000-0000-00006D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78" authorId="0" shapeId="0" xr:uid="{00000000-0006-0000-0000-000036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78" authorId="0" shapeId="0" xr:uid="{00000000-0006-0000-0000-00006E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79" authorId="0" shapeId="0" xr:uid="{00000000-0006-0000-0000-000037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79" authorId="0" shapeId="0" xr:uid="{00000000-0006-0000-0000-00006F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87" authorId="0" shapeId="0" xr:uid="{00000000-0006-0000-0000-000038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88" authorId="0" shapeId="0" xr:uid="{00000000-0006-0000-0000-000039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89" authorId="0" shapeId="0" xr:uid="{00000000-0006-0000-0000-00003A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0" authorId="0" shapeId="0" xr:uid="{00000000-0006-0000-0000-00003B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1" authorId="0" shapeId="0" xr:uid="{00000000-0006-0000-0000-00003C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2" authorId="0" shapeId="0" xr:uid="{00000000-0006-0000-0000-00003D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205" authorId="0" shapeId="0" xr:uid="{00000000-0006-0000-0000-000070000000}">
      <text>
        <r>
          <rPr>
            <sz val="10"/>
            <rFont val="Arial"/>
            <family val="2"/>
          </rPr>
          <t>Informar o preço unitário do chassis do caminhão de coleta</t>
        </r>
      </text>
    </comment>
    <comment ref="C206" authorId="0" shapeId="0" xr:uid="{00000000-0006-0000-0000-00003E000000}">
      <text>
        <r>
          <rPr>
            <sz val="10"/>
            <rFont val="Arial"/>
            <family val="2"/>
          </rPr>
          <t>Informar a vida útil estimada para o caminhão, em anos</t>
        </r>
      </text>
    </comment>
    <comment ref="C207" authorId="0" shapeId="0" xr:uid="{00000000-0006-0000-0000-00003F000000}">
      <text>
        <r>
          <rPr>
            <sz val="10"/>
            <rFont val="Arial"/>
            <family val="2"/>
          </rPr>
          <t>Na elaboração do orçamento-base da licitação, informar 0 (zero). Na proposta da licitante, informar a idade do veículo proposto.</t>
        </r>
      </text>
    </comment>
    <comment ref="C208" authorId="0" shapeId="0" xr:uid="{00000000-0006-0000-0000-000040000000}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D210" authorId="0" shapeId="0" xr:uid="{00000000-0006-0000-0000-000071000000}">
      <text>
        <r>
          <rPr>
            <sz val="10"/>
            <rFont val="Arial"/>
            <family val="2"/>
          </rPr>
          <t xml:space="preserve">Informar o preço unitário do equipamento compactador
</t>
        </r>
      </text>
    </comment>
    <comment ref="C211" authorId="0" shapeId="0" xr:uid="{00000000-0006-0000-0000-000041000000}">
      <text>
        <r>
          <rPr>
            <sz val="10"/>
            <rFont val="Arial"/>
            <family val="2"/>
          </rPr>
          <t>Informar a vida útil estimada para o compactador, em anos</t>
        </r>
      </text>
    </comment>
    <comment ref="C212" authorId="0" shapeId="0" xr:uid="{00000000-0006-0000-0000-000042000000}">
      <text>
        <r>
          <rPr>
            <sz val="10"/>
            <rFont val="Arial"/>
            <family val="2"/>
          </rPr>
          <t>Na elaboração do orçamento-base da licitação, informar 0 (zero). Na proposta da licitante, informar a idade do compactador proposto.</t>
        </r>
      </text>
    </comment>
    <comment ref="C213" authorId="0" shapeId="0" xr:uid="{00000000-0006-0000-0000-000043000000}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</comment>
    <comment ref="C216" authorId="0" shapeId="0" xr:uid="{00000000-0006-0000-0000-000044000000}">
      <text>
        <r>
          <rPr>
            <sz val="10"/>
            <rFont val="Arial"/>
            <family val="2"/>
          </rPr>
          <t>Informar a quantidade de caminhões compactadores do respectivo modelo</t>
        </r>
      </text>
    </comment>
    <comment ref="C222" authorId="0" shapeId="0" xr:uid="{00000000-0006-0000-0000-000045000000}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D238" authorId="0" shapeId="0" xr:uid="{00000000-0006-0000-0000-000072000000}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</comment>
    <comment ref="D239" authorId="0" shapeId="0" xr:uid="{00000000-0006-0000-0000-000073000000}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</comment>
    <comment ref="B245" authorId="0" shapeId="0" xr:uid="{00000000-0006-0000-0000-000009000000}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C248" authorId="0" shapeId="0" xr:uid="{00000000-0006-0000-0000-000046000000}">
      <text>
        <r>
          <rPr>
            <sz val="10"/>
            <rFont val="Arial"/>
            <family val="2"/>
          </rPr>
          <t>Informar o consumo estimado do veículo em km/l</t>
        </r>
      </text>
    </comment>
    <comment ref="D248" authorId="0" shapeId="0" xr:uid="{00000000-0006-0000-0000-000074000000}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C250" authorId="0" shapeId="0" xr:uid="{00000000-0006-0000-0000-000047000000}">
      <text>
        <r>
          <rPr>
            <sz val="10"/>
            <rFont val="Arial"/>
            <family val="2"/>
          </rPr>
          <t>Informar o consumo de óleo do motor a cada 1000km</t>
        </r>
      </text>
    </comment>
    <comment ref="D250" authorId="0" shapeId="0" xr:uid="{00000000-0006-0000-0000-000075000000}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C252" authorId="0" shapeId="0" xr:uid="{00000000-0006-0000-0000-000048000000}">
      <text>
        <r>
          <rPr>
            <sz val="10"/>
            <rFont val="Arial"/>
            <family val="2"/>
          </rPr>
          <t>Informar o consumo de óleo da transmissão a cada 1000km</t>
        </r>
      </text>
    </comment>
    <comment ref="D252" authorId="0" shapeId="0" xr:uid="{00000000-0006-0000-0000-000076000000}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</comment>
    <comment ref="C254" authorId="0" shapeId="0" xr:uid="{00000000-0006-0000-0000-000049000000}">
      <text>
        <r>
          <rPr>
            <sz val="10"/>
            <rFont val="Arial"/>
            <family val="2"/>
          </rPr>
          <t>Informar o consumo de óleo hidráulico a cada 1000km</t>
        </r>
      </text>
    </comment>
    <comment ref="D254" authorId="0" shapeId="0" xr:uid="{00000000-0006-0000-0000-000077000000}">
      <text>
        <r>
          <rPr>
            <sz val="10"/>
            <rFont val="Arial"/>
            <family val="2"/>
          </rPr>
          <t xml:space="preserve">Informar o preço unitário do litro do óleo hidráulico
</t>
        </r>
      </text>
    </comment>
    <comment ref="C256" authorId="0" shapeId="0" xr:uid="{00000000-0006-0000-0000-00004A000000}">
      <text>
        <r>
          <rPr>
            <sz val="10"/>
            <rFont val="Arial"/>
            <family val="2"/>
          </rPr>
          <t>Informar o consumo de graxa a cada 1000km</t>
        </r>
      </text>
    </comment>
    <comment ref="D256" authorId="0" shapeId="0" xr:uid="{00000000-0006-0000-0000-000078000000}">
      <text>
        <r>
          <rPr>
            <sz val="10"/>
            <rFont val="Arial"/>
            <family val="2"/>
          </rPr>
          <t xml:space="preserve">Informar o preço unitário do litro da graxa
</t>
        </r>
      </text>
    </comment>
    <comment ref="D263" authorId="0" shapeId="0" xr:uid="{00000000-0006-0000-0000-000079000000}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C268" authorId="0" shapeId="0" xr:uid="{00000000-0006-0000-0000-00004B000000}">
      <text>
        <r>
          <rPr>
            <sz val="10"/>
            <rFont val="Arial"/>
            <family val="2"/>
          </rPr>
          <t>Informar a quantidade de pneus novos de 1 caminhão</t>
        </r>
      </text>
    </comment>
    <comment ref="D268" authorId="0" shapeId="0" xr:uid="{00000000-0006-0000-0000-00007A000000}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C269" authorId="0" shapeId="0" xr:uid="{00000000-0006-0000-0000-00004C000000}">
      <text>
        <r>
          <rPr>
            <sz val="10"/>
            <rFont val="Arial"/>
            <family val="2"/>
          </rPr>
          <t>Informar o número de recapagens por pneu</t>
        </r>
      </text>
    </comment>
    <comment ref="D270" authorId="0" shapeId="0" xr:uid="{00000000-0006-0000-0000-00007B000000}">
      <text>
        <r>
          <rPr>
            <sz val="10"/>
            <rFont val="Arial"/>
            <family val="2"/>
          </rPr>
          <t xml:space="preserve">Informar o preço unitário de cada recapagem
</t>
        </r>
      </text>
    </comment>
    <comment ref="C271" authorId="0" shapeId="0" xr:uid="{00000000-0006-0000-0000-00004D000000}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</comment>
    <comment ref="D281" authorId="0" shapeId="0" xr:uid="{00000000-0006-0000-0000-00007C000000}">
      <text>
        <r>
          <rPr>
            <sz val="10"/>
            <rFont val="Arial"/>
            <family val="2"/>
          </rPr>
          <t>Informar o preço unitário do chassis do caminhão de coleta</t>
        </r>
      </text>
    </comment>
    <comment ref="C282" authorId="0" shapeId="0" xr:uid="{00000000-0006-0000-0000-00004E000000}">
      <text>
        <r>
          <rPr>
            <sz val="10"/>
            <rFont val="Arial"/>
            <family val="2"/>
          </rPr>
          <t>Informar a vida útil estimada para o caminhão, em anos</t>
        </r>
      </text>
    </comment>
    <comment ref="C283" authorId="0" shapeId="0" xr:uid="{00000000-0006-0000-0000-00004F000000}">
      <text>
        <r>
          <rPr>
            <sz val="10"/>
            <rFont val="Arial"/>
            <family val="2"/>
          </rPr>
          <t>Na elaboração do orçamento-base da licitação, informar 0 (zero). Na proposta da licitante, informar a idade do veículo proposto.</t>
        </r>
      </text>
    </comment>
    <comment ref="C284" authorId="0" shapeId="0" xr:uid="{00000000-0006-0000-0000-000050000000}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286" authorId="0" shapeId="0" xr:uid="{00000000-0006-0000-0000-000051000000}">
      <text>
        <r>
          <rPr>
            <sz val="10"/>
            <rFont val="Arial"/>
            <family val="2"/>
          </rPr>
          <t>Informar a quantidade de caminhões compactadores do respectivo modelo</t>
        </r>
      </text>
    </comment>
    <comment ref="C291" authorId="0" shapeId="0" xr:uid="{00000000-0006-0000-0000-000052000000}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D300" authorId="0" shapeId="0" xr:uid="{00000000-0006-0000-0000-00007D000000}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</comment>
    <comment ref="D301" authorId="0" shapeId="0" xr:uid="{00000000-0006-0000-0000-00007E000000}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</comment>
    <comment ref="B306" authorId="0" shapeId="0" xr:uid="{00000000-0006-0000-0000-00000A000000}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C309" authorId="0" shapeId="0" xr:uid="{00000000-0006-0000-0000-000053000000}">
      <text>
        <r>
          <rPr>
            <sz val="10"/>
            <rFont val="Arial"/>
            <family val="2"/>
          </rPr>
          <t>Informar o consumo estimado do veículo em km/l</t>
        </r>
      </text>
    </comment>
    <comment ref="D309" authorId="0" shapeId="0" xr:uid="{00000000-0006-0000-0000-00007F000000}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C311" authorId="0" shapeId="0" xr:uid="{00000000-0006-0000-0000-000054000000}">
      <text>
        <r>
          <rPr>
            <sz val="10"/>
            <rFont val="Arial"/>
            <family val="2"/>
          </rPr>
          <t>Informar o consumo de óleo do motor a cada 1000km</t>
        </r>
      </text>
    </comment>
    <comment ref="D311" authorId="0" shapeId="0" xr:uid="{00000000-0006-0000-0000-000080000000}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C313" authorId="0" shapeId="0" xr:uid="{00000000-0006-0000-0000-000055000000}">
      <text>
        <r>
          <rPr>
            <sz val="10"/>
            <rFont val="Arial"/>
            <family val="2"/>
          </rPr>
          <t>Informar o consumo de óleo da transmissão a cada 1000km</t>
        </r>
      </text>
    </comment>
    <comment ref="D313" authorId="0" shapeId="0" xr:uid="{00000000-0006-0000-0000-000081000000}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</comment>
    <comment ref="D320" authorId="0" shapeId="0" xr:uid="{00000000-0006-0000-0000-000082000000}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C325" authorId="0" shapeId="0" xr:uid="{00000000-0006-0000-0000-000056000000}">
      <text>
        <r>
          <rPr>
            <sz val="10"/>
            <rFont val="Arial"/>
            <family val="2"/>
          </rPr>
          <t>Informar a quantidade de pneus novos de 1 caminhão</t>
        </r>
      </text>
    </comment>
    <comment ref="D325" authorId="0" shapeId="0" xr:uid="{00000000-0006-0000-0000-000083000000}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C326" authorId="0" shapeId="0" xr:uid="{00000000-0006-0000-0000-000057000000}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</comment>
    <comment ref="C337" authorId="0" shapeId="0" xr:uid="{00000000-0006-0000-0000-000058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337" authorId="0" shapeId="0" xr:uid="{00000000-0006-0000-0000-000084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338" authorId="0" shapeId="0" xr:uid="{00000000-0006-0000-0000-000059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338" authorId="0" shapeId="0" xr:uid="{00000000-0006-0000-0000-000085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339" authorId="0" shapeId="0" xr:uid="{00000000-0006-0000-0000-00005A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339" authorId="0" shapeId="0" xr:uid="{00000000-0006-0000-0000-000086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340" authorId="0" shapeId="0" xr:uid="{00000000-0006-0000-0000-00005B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340" authorId="0" shapeId="0" xr:uid="{00000000-0006-0000-0000-000087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341" authorId="0" shapeId="0" xr:uid="{00000000-0006-0000-0000-00005C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341" authorId="0" shapeId="0" xr:uid="{00000000-0006-0000-0000-000088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A348" authorId="0" shapeId="0" xr:uid="{00000000-0006-0000-0000-000007000000}">
      <text>
        <r>
          <rPr>
            <sz val="10"/>
            <rFont val="Arial"/>
            <family val="2"/>
          </rPr>
          <t xml:space="preserve">Especificar somente quando for exigido no Projeto Básico
</t>
        </r>
      </text>
    </comment>
    <comment ref="D351" authorId="0" shapeId="0" xr:uid="{00000000-0006-0000-0000-000089000000}">
      <text>
        <r>
          <rPr>
            <sz val="10"/>
            <rFont val="Arial"/>
            <family val="2"/>
          </rPr>
          <t>Informar o valor total para instalação do equipamento de monitoramento da frota, se houver previsão no Projeto Básico</t>
        </r>
      </text>
    </comment>
    <comment ref="D353" authorId="0" shapeId="0" xr:uid="{00000000-0006-0000-0000-00008A000000}">
      <text>
        <r>
          <rPr>
            <sz val="10"/>
            <rFont val="Arial"/>
            <family val="2"/>
          </rPr>
          <t>Informar o valor unitário mensal para manutenção dos equipamentos de monitoramento</t>
        </r>
      </text>
    </comment>
    <comment ref="C364" authorId="0" shapeId="0" xr:uid="{00000000-0006-0000-0000-00005D000000}">
      <text>
        <r>
          <rPr>
            <sz val="10"/>
            <rFont val="Arial"/>
            <family val="2"/>
          </rPr>
          <t>Preencher a aba 4.BDI</t>
        </r>
      </text>
    </comment>
    <comment ref="D373" authorId="0" shapeId="0" xr:uid="{00000000-0006-0000-0000-00008B000000}">
      <text>
        <r>
          <rPr>
            <sz val="10"/>
            <rFont val="Arial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B41" authorId="0" shapeId="0" xr:uid="{00000000-0006-0000-0100-000004000000}">
      <text>
        <r>
          <rPr>
            <sz val="10"/>
            <rFont val="Arial"/>
            <family val="2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47" authorId="0" shapeId="0" xr:uid="{00000000-0006-0000-0100-000039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C48" authorId="0" shapeId="0" xr:uid="{00000000-0006-0000-0100-000006000000}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49" authorId="0" shapeId="0" xr:uid="{00000000-0006-0000-0100-000007000000}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A50" authorId="0" shapeId="0" xr:uid="{00000000-0006-0000-0100-000001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53" authorId="0" shapeId="0" xr:uid="{00000000-0006-0000-0100-000008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55" authorId="0" shapeId="0" xr:uid="{00000000-0006-0000-0100-000009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60" authorId="0" shapeId="0" xr:uid="{00000000-0006-0000-0100-00003A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D61" authorId="0" shapeId="0" xr:uid="{00000000-0006-0000-0100-00003B000000}">
      <text>
        <r>
          <rPr>
            <sz val="10"/>
            <rFont val="Arial"/>
            <family val="2"/>
          </rPr>
          <t>Informar o valor do salário Mínimo Nacional</t>
        </r>
      </text>
    </comment>
    <comment ref="C62" authorId="0" shapeId="0" xr:uid="{00000000-0006-0000-0100-00000A000000}">
      <text>
        <r>
          <rPr>
            <sz val="10"/>
            <rFont val="Arial"/>
            <family val="2"/>
          </rPr>
          <t>Informar o número de horas extras trabalhadas em horário diurno nos domingos e feriados</t>
        </r>
      </text>
    </comment>
    <comment ref="C63" authorId="0" shapeId="0" xr:uid="{00000000-0006-0000-0100-00000B000000}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A64" authorId="0" shapeId="0" xr:uid="{00000000-0006-0000-0100-000002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65" authorId="0" shapeId="0" xr:uid="{00000000-0006-0000-0100-00000C000000}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66" authorId="0" shapeId="0" xr:uid="{00000000-0006-0000-0100-00000D000000}">
      <text>
        <r>
          <rPr>
            <sz val="10"/>
            <rFont val="Arial"/>
            <family val="2"/>
          </rPr>
          <t>Percentual estabelecido nas Normas de Segurança de Trabalho ou pelo laudo de responsável técnico devidamente habilitado</t>
        </r>
      </text>
    </comment>
    <comment ref="C68" authorId="0" shapeId="0" xr:uid="{00000000-0006-0000-0100-00000E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70" authorId="0" shapeId="0" xr:uid="{00000000-0006-0000-0100-00000F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75" authorId="0" shapeId="0" xr:uid="{00000000-0006-0000-0100-00003C000000}">
      <text>
        <r>
          <rPr>
            <sz val="10"/>
            <rFont val="Arial"/>
            <family val="2"/>
          </rPr>
          <t>Informar o valor unitário do VT no município</t>
        </r>
      </text>
    </comment>
    <comment ref="C76" authorId="0" shapeId="0" xr:uid="{00000000-0006-0000-0100-000010000000}">
      <text>
        <r>
          <rPr>
            <sz val="10"/>
            <rFont val="Arial"/>
            <family val="2"/>
          </rPr>
          <t>Informar o número médio de dias trabalhados por mês</t>
        </r>
      </text>
    </comment>
    <comment ref="D77" authorId="0" shapeId="0" xr:uid="{00000000-0006-0000-0100-00003D000000}">
      <text>
        <r>
          <rPr>
            <sz val="10"/>
            <rFont val="Arial"/>
            <family val="2"/>
          </rPr>
          <t>Valor Unitário considerando o desconto legal de até 6% do salário</t>
        </r>
      </text>
    </comment>
    <comment ref="D78" authorId="0" shapeId="0" xr:uid="{00000000-0006-0000-0100-00003E000000}">
      <text>
        <r>
          <rPr>
            <sz val="10"/>
            <rFont val="Arial"/>
            <family val="2"/>
          </rPr>
          <t xml:space="preserve">Valor Unitário considerando o desconto legal de até 6% do salário
</t>
        </r>
      </text>
    </comment>
    <comment ref="D83" authorId="0" shapeId="0" xr:uid="{00000000-0006-0000-0100-00003F000000}">
      <text>
        <r>
          <rPr>
            <sz val="10"/>
            <rFont val="Arial"/>
            <family val="2"/>
          </rPr>
          <t>Informar o valor mensal do auxilio alimentação, considerando o desconto aplicável ao funcionário, conforme Convenção Coletiva da categoria</t>
        </r>
      </text>
    </comment>
    <comment ref="D84" authorId="0" shapeId="0" xr:uid="{00000000-0006-0000-0100-000040000000}">
      <text>
        <r>
          <rPr>
            <sz val="10"/>
            <rFont val="Arial"/>
            <family val="2"/>
          </rPr>
          <t>Informar o valor mensal do auxilio alimentação, considerando o desconto aplicável ao funcionário, conforme Convenção Coletiva da categoria</t>
        </r>
      </text>
    </comment>
    <comment ref="C94" authorId="0" shapeId="0" xr:uid="{00000000-0006-0000-0100-000011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94" authorId="0" shapeId="0" xr:uid="{00000000-0006-0000-0100-000041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95" authorId="0" shapeId="0" xr:uid="{00000000-0006-0000-0100-000012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95" authorId="0" shapeId="0" xr:uid="{00000000-0006-0000-0100-000042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96" authorId="0" shapeId="0" xr:uid="{00000000-0006-0000-0100-000013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96" authorId="0" shapeId="0" xr:uid="{00000000-0006-0000-0100-000043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97" authorId="0" shapeId="0" xr:uid="{00000000-0006-0000-0100-000014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97" authorId="0" shapeId="0" xr:uid="{00000000-0006-0000-0100-000044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98" authorId="0" shapeId="0" xr:uid="{00000000-0006-0000-0100-000015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98" authorId="0" shapeId="0" xr:uid="{00000000-0006-0000-0100-000045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99" authorId="0" shapeId="0" xr:uid="{00000000-0006-0000-0100-000016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99" authorId="0" shapeId="0" xr:uid="{00000000-0006-0000-0100-000046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00" authorId="0" shapeId="0" xr:uid="{00000000-0006-0000-0100-000017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00" authorId="0" shapeId="0" xr:uid="{00000000-0006-0000-0100-000047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01" authorId="0" shapeId="0" xr:uid="{00000000-0006-0000-0100-000018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01" authorId="0" shapeId="0" xr:uid="{00000000-0006-0000-0100-000048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02" authorId="0" shapeId="0" xr:uid="{00000000-0006-0000-0100-000019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02" authorId="0" shapeId="0" xr:uid="{00000000-0006-0000-0100-000049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09" authorId="0" shapeId="0" xr:uid="{00000000-0006-0000-0100-00001A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10" authorId="0" shapeId="0" xr:uid="{00000000-0006-0000-0100-00001B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11" authorId="0" shapeId="0" xr:uid="{00000000-0006-0000-0100-00001C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12" authorId="0" shapeId="0" xr:uid="{00000000-0006-0000-0100-00001D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13" authorId="0" shapeId="0" xr:uid="{00000000-0006-0000-0100-00001E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14" authorId="0" shapeId="0" xr:uid="{00000000-0006-0000-0100-00001F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26" authorId="0" shapeId="0" xr:uid="{00000000-0006-0000-0100-00004A000000}">
      <text>
        <r>
          <rPr>
            <sz val="10"/>
            <rFont val="Arial"/>
            <family val="2"/>
          </rPr>
          <t>Informar o preço unitário do chassis do caminhão de coleta</t>
        </r>
      </text>
    </comment>
    <comment ref="C127" authorId="0" shapeId="0" xr:uid="{00000000-0006-0000-0100-000020000000}">
      <text>
        <r>
          <rPr>
            <sz val="10"/>
            <rFont val="Arial"/>
            <family val="2"/>
          </rPr>
          <t>Informar a vida útil estimada para o caminhão, em anos</t>
        </r>
      </text>
    </comment>
    <comment ref="C128" authorId="0" shapeId="0" xr:uid="{00000000-0006-0000-0100-000021000000}">
      <text>
        <r>
          <rPr>
            <sz val="10"/>
            <rFont val="Arial"/>
            <family val="2"/>
          </rPr>
          <t>Na elaboração do orçamento-base da licitação, informar 0 (zero). Na proposta da licitante, informar a idade do veículo proposto.</t>
        </r>
      </text>
    </comment>
    <comment ref="C129" authorId="0" shapeId="0" xr:uid="{00000000-0006-0000-0100-000022000000}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D131" authorId="0" shapeId="0" xr:uid="{00000000-0006-0000-0100-00004B000000}">
      <text>
        <r>
          <rPr>
            <sz val="10"/>
            <rFont val="Arial"/>
            <family val="2"/>
          </rPr>
          <t xml:space="preserve">Informar o preço unitário do equipamento compactador
</t>
        </r>
      </text>
    </comment>
    <comment ref="C132" authorId="0" shapeId="0" xr:uid="{00000000-0006-0000-0100-000023000000}">
      <text>
        <r>
          <rPr>
            <sz val="10"/>
            <rFont val="Arial"/>
            <family val="2"/>
          </rPr>
          <t>Informar a vida útil estimada para o compactador, em anos</t>
        </r>
      </text>
    </comment>
    <comment ref="C133" authorId="0" shapeId="0" xr:uid="{00000000-0006-0000-0100-000024000000}">
      <text>
        <r>
          <rPr>
            <sz val="10"/>
            <rFont val="Arial"/>
            <family val="2"/>
          </rPr>
          <t>Na elaboração do orçamento-base da licitação, informar 0 (zero). Na proposta da licitante, informar a idade do compactador proposto.</t>
        </r>
      </text>
    </comment>
    <comment ref="C134" authorId="0" shapeId="0" xr:uid="{00000000-0006-0000-0100-000025000000}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</comment>
    <comment ref="C137" authorId="0" shapeId="0" xr:uid="{00000000-0006-0000-0100-000026000000}">
      <text>
        <r>
          <rPr>
            <sz val="10"/>
            <rFont val="Arial"/>
            <family val="2"/>
          </rPr>
          <t>Informar a quantidade de caminhões compactadores do respectivo modelo</t>
        </r>
      </text>
    </comment>
    <comment ref="C143" authorId="0" shapeId="0" xr:uid="{00000000-0006-0000-0100-000027000000}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D159" authorId="0" shapeId="0" xr:uid="{00000000-0006-0000-0100-00004C000000}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</comment>
    <comment ref="D160" authorId="0" shapeId="0" xr:uid="{00000000-0006-0000-0100-00004D000000}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</comment>
    <comment ref="B166" authorId="0" shapeId="0" xr:uid="{00000000-0006-0000-0100-000005000000}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C169" authorId="0" shapeId="0" xr:uid="{00000000-0006-0000-0100-000028000000}">
      <text>
        <r>
          <rPr>
            <sz val="10"/>
            <rFont val="Arial"/>
            <family val="2"/>
          </rPr>
          <t>Informar o consumo estimado do veículo em km/l</t>
        </r>
      </text>
    </comment>
    <comment ref="D169" authorId="0" shapeId="0" xr:uid="{00000000-0006-0000-0100-00004E000000}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C171" authorId="0" shapeId="0" xr:uid="{00000000-0006-0000-0100-000029000000}">
      <text>
        <r>
          <rPr>
            <sz val="10"/>
            <rFont val="Arial"/>
            <family val="2"/>
          </rPr>
          <t>Informar o consumo de óleo do motor a cada 1000km</t>
        </r>
      </text>
    </comment>
    <comment ref="D171" authorId="0" shapeId="0" xr:uid="{00000000-0006-0000-0100-00004F000000}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C173" authorId="0" shapeId="0" xr:uid="{00000000-0006-0000-0100-00002A000000}">
      <text>
        <r>
          <rPr>
            <sz val="10"/>
            <rFont val="Arial"/>
            <family val="2"/>
          </rPr>
          <t>Informar o consumo de óleo da transmissão a cada 1000km</t>
        </r>
      </text>
    </comment>
    <comment ref="D173" authorId="0" shapeId="0" xr:uid="{00000000-0006-0000-0100-000050000000}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</comment>
    <comment ref="C175" authorId="0" shapeId="0" xr:uid="{00000000-0006-0000-0100-00002B000000}">
      <text>
        <r>
          <rPr>
            <sz val="10"/>
            <rFont val="Arial"/>
            <family val="2"/>
          </rPr>
          <t>Informar o consumo de óleo hidráulico a cada 1000km</t>
        </r>
      </text>
    </comment>
    <comment ref="D175" authorId="0" shapeId="0" xr:uid="{00000000-0006-0000-0100-000051000000}">
      <text>
        <r>
          <rPr>
            <sz val="10"/>
            <rFont val="Arial"/>
            <family val="2"/>
          </rPr>
          <t xml:space="preserve">Informar o preço unitário do litro do óleo hidráulico
</t>
        </r>
      </text>
    </comment>
    <comment ref="C177" authorId="0" shapeId="0" xr:uid="{00000000-0006-0000-0100-00002C000000}">
      <text>
        <r>
          <rPr>
            <sz val="10"/>
            <rFont val="Arial"/>
            <family val="2"/>
          </rPr>
          <t>Informar o consumo de graxa a cada 1000km</t>
        </r>
      </text>
    </comment>
    <comment ref="D177" authorId="0" shapeId="0" xr:uid="{00000000-0006-0000-0100-000052000000}">
      <text>
        <r>
          <rPr>
            <sz val="10"/>
            <rFont val="Arial"/>
            <family val="2"/>
          </rPr>
          <t xml:space="preserve">Informar o preço unitário do litro da graxa
</t>
        </r>
      </text>
    </comment>
    <comment ref="D184" authorId="0" shapeId="0" xr:uid="{00000000-0006-0000-0100-000053000000}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C189" authorId="0" shapeId="0" xr:uid="{00000000-0006-0000-0100-00002D000000}">
      <text>
        <r>
          <rPr>
            <sz val="10"/>
            <rFont val="Arial"/>
            <family val="2"/>
          </rPr>
          <t>Informar a quantidade de pneus novos de 1 caminhão</t>
        </r>
      </text>
    </comment>
    <comment ref="D189" authorId="0" shapeId="0" xr:uid="{00000000-0006-0000-0100-000054000000}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C190" authorId="0" shapeId="0" xr:uid="{00000000-0006-0000-0100-00002E000000}">
      <text>
        <r>
          <rPr>
            <sz val="10"/>
            <rFont val="Arial"/>
            <family val="2"/>
          </rPr>
          <t>Informar o número de recapagens por pneu</t>
        </r>
      </text>
    </comment>
    <comment ref="D191" authorId="0" shapeId="0" xr:uid="{00000000-0006-0000-0100-000055000000}">
      <text>
        <r>
          <rPr>
            <sz val="10"/>
            <rFont val="Arial"/>
            <family val="2"/>
          </rPr>
          <t xml:space="preserve">Informar o preço unitário de cada recapagem
</t>
        </r>
      </text>
    </comment>
    <comment ref="C192" authorId="0" shapeId="0" xr:uid="{00000000-0006-0000-0100-00002F000000}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</comment>
    <comment ref="C202" authorId="0" shapeId="0" xr:uid="{00000000-0006-0000-0100-000030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02" authorId="0" shapeId="0" xr:uid="{00000000-0006-0000-0100-000056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203" authorId="0" shapeId="0" xr:uid="{00000000-0006-0000-0100-000031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03" authorId="0" shapeId="0" xr:uid="{00000000-0006-0000-0100-000057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204" authorId="0" shapeId="0" xr:uid="{00000000-0006-0000-0100-000032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04" authorId="0" shapeId="0" xr:uid="{00000000-0006-0000-0100-000058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205" authorId="0" shapeId="0" xr:uid="{00000000-0006-0000-0100-000033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05" authorId="0" shapeId="0" xr:uid="{00000000-0006-0000-0100-000059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206" authorId="0" shapeId="0" xr:uid="{00000000-0006-0000-0100-000034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06" authorId="0" shapeId="0" xr:uid="{00000000-0006-0000-0100-00005A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211" authorId="0" shapeId="0" xr:uid="{00000000-0006-0000-0100-000035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1" authorId="0" shapeId="0" xr:uid="{00000000-0006-0000-0100-00005B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212" authorId="0" shapeId="0" xr:uid="{00000000-0006-0000-0100-000036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2" authorId="0" shapeId="0" xr:uid="{00000000-0006-0000-0100-00005C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213" authorId="0" shapeId="0" xr:uid="{00000000-0006-0000-0100-000037000000}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3" authorId="0" shapeId="0" xr:uid="{00000000-0006-0000-0100-00005D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A219" authorId="0" shapeId="0" xr:uid="{00000000-0006-0000-0100-000003000000}">
      <text>
        <r>
          <rPr>
            <sz val="10"/>
            <rFont val="Arial"/>
            <family val="2"/>
          </rPr>
          <t xml:space="preserve">Especificar somente quando for exigido no Projeto Básico
</t>
        </r>
      </text>
    </comment>
    <comment ref="D222" authorId="0" shapeId="0" xr:uid="{00000000-0006-0000-0100-00005E000000}">
      <text>
        <r>
          <rPr>
            <sz val="10"/>
            <rFont val="Arial"/>
            <family val="2"/>
          </rPr>
          <t>Informar o valor total para instalação do equipamento de monitoramento da frota, se houver previsão no Projeto Básico</t>
        </r>
      </text>
    </comment>
    <comment ref="D224" authorId="0" shapeId="0" xr:uid="{00000000-0006-0000-0100-00005F000000}">
      <text>
        <r>
          <rPr>
            <sz val="10"/>
            <rFont val="Arial"/>
            <family val="2"/>
          </rPr>
          <t>Informar o valor unitário mensal para manutenção dos equipamentos de monitoramento</t>
        </r>
      </text>
    </comment>
    <comment ref="C235" authorId="0" shapeId="0" xr:uid="{00000000-0006-0000-0100-000038000000}">
      <text>
        <r>
          <rPr>
            <sz val="10"/>
            <rFont val="Arial"/>
            <family val="2"/>
          </rPr>
          <t>Preencher a aba 4.BDI</t>
        </r>
      </text>
    </comment>
    <comment ref="D243" authorId="0" shapeId="0" xr:uid="{00000000-0006-0000-0100-000060000000}">
      <text>
        <r>
          <rPr>
            <sz val="10"/>
            <rFont val="Arial"/>
            <family val="2"/>
          </rPr>
          <t xml:space="preserve">Informar a quantidade média coletada nos últimos 12 meses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C9" authorId="0" shapeId="0" xr:uid="{00000000-0006-0000-0400-000001000000}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0" authorId="0" shapeId="0" xr:uid="{00000000-0006-0000-0400-000002000000}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1" authorId="0" shapeId="0" xr:uid="{00000000-0006-0000-0400-000003000000}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E12" authorId="0" shapeId="0" xr:uid="{00000000-0006-0000-0400-000006000000}">
      <text>
        <r>
          <rPr>
            <sz val="10"/>
            <rFont val="Arial"/>
            <family val="2"/>
          </rPr>
          <t>Informar o valor anual da taxa financeira, em percentual. Admite-se utilizar a SELIC</t>
        </r>
      </text>
    </comment>
    <comment ref="C13" authorId="0" shapeId="0" xr:uid="{00000000-0006-0000-0400-000004000000}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E13" authorId="0" shapeId="0" xr:uid="{00000000-0006-0000-0400-000007000000}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  <comment ref="C14" authorId="0" shapeId="0" xr:uid="{00000000-0006-0000-0400-000005000000}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<sst xmlns="http://schemas.openxmlformats.org/spreadsheetml/2006/main" count="1008" uniqueCount="321">
  <si>
    <t>ORÇAMENTO
Município de Curitibanos/SC</t>
  </si>
  <si>
    <t>1. Coleta Convencional manual e mecanizada de resíduos sólidos urbanos (orgânicos/rejeitos) com características domiciliares, gerados em residências, estabelecimentos comerciais, industriais e de prestação de serviços públicos, dispostos em vias e logradouros públicos localizados dentro do perímetro urbano do município.</t>
  </si>
  <si>
    <t>Planilha de Composição de Custos</t>
  </si>
  <si>
    <t>Descrição do Item</t>
  </si>
  <si>
    <t>Custo (R$/mês)</t>
  </si>
  <si>
    <t>%</t>
  </si>
  <si>
    <t>PREÇO TOTAL MENSAL COM A COLETA</t>
  </si>
  <si>
    <t>Quantitativos</t>
  </si>
  <si>
    <t>Mão-de-obra</t>
  </si>
  <si>
    <t>Quantidade</t>
  </si>
  <si>
    <t>Total de mão-de-obra (postos de trabalho)</t>
  </si>
  <si>
    <t>Veículos e Equipamentos</t>
  </si>
  <si>
    <t>Total de veículos e equipamentos</t>
  </si>
  <si>
    <t>Fator de utilização (FU)</t>
  </si>
  <si>
    <t>1. Mão-de-obra</t>
  </si>
  <si>
    <t>1.1. Coletor Turno Dia</t>
  </si>
  <si>
    <t>Discriminação</t>
  </si>
  <si>
    <t>Unidade</t>
  </si>
  <si>
    <t>Custo unitário</t>
  </si>
  <si>
    <t>Subtotal</t>
  </si>
  <si>
    <r>
      <rPr>
        <b/>
        <sz val="9"/>
        <rFont val="Arial"/>
        <family val="2"/>
        <charset val="1"/>
      </rPr>
      <t xml:space="preserve">Total </t>
    </r>
    <r>
      <rPr>
        <b/>
        <u/>
        <sz val="9"/>
        <rFont val="Arial"/>
        <family val="2"/>
        <charset val="1"/>
      </rPr>
      <t>(R$)</t>
    </r>
  </si>
  <si>
    <t>Piso da categoria</t>
  </si>
  <si>
    <t>mês</t>
  </si>
  <si>
    <t>Horas Extras (100%)</t>
  </si>
  <si>
    <t>hora</t>
  </si>
  <si>
    <t>Horas Extras (50%)</t>
  </si>
  <si>
    <t>Descanso Semanal Remunerado (DSR) - hora extra</t>
  </si>
  <si>
    <t>R$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</si>
  <si>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</si>
  <si>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</si>
  <si>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</si>
  <si>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</si>
  <si>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</si>
  <si>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</si>
  <si>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</si>
  <si>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1.2. Coletor Turno Noite</t>
  </si>
  <si>
    <t>Adicional Noturno</t>
  </si>
  <si>
    <t>horas trabalhadas</t>
  </si>
  <si>
    <t>hora contabilizada</t>
  </si>
  <si>
    <t>Horas Extras Noturnas (100%)</t>
  </si>
  <si>
    <t>Horas Extras Noturnas (50%)</t>
  </si>
  <si>
    <t>1.3. Motorista Turno do Dia</t>
  </si>
  <si>
    <t>Piso da categoria (2)</t>
  </si>
  <si>
    <t>Salário mínimo nacional (1)</t>
  </si>
  <si>
    <t>Base de cálculo da Insalubridade</t>
  </si>
  <si>
    <t>Total por Motorista</t>
  </si>
  <si>
    <t>1.4. Motorista Turno Noite</t>
  </si>
  <si>
    <t>1.5. Encarregado/Fiscal</t>
  </si>
  <si>
    <t>Base de cálculo da Periculosidade</t>
  </si>
  <si>
    <t>Adicional de Periculosidade</t>
  </si>
  <si>
    <t>1.6. Auxiliar administrativo</t>
  </si>
  <si>
    <t>Total por Auxiliar Administrativo</t>
  </si>
  <si>
    <t>1.7. Vale Transporte</t>
  </si>
  <si>
    <t>Vale Transporte</t>
  </si>
  <si>
    <t>Dias Trabalhados por mês</t>
  </si>
  <si>
    <t>dia</t>
  </si>
  <si>
    <t>Coletor</t>
  </si>
  <si>
    <t>vale</t>
  </si>
  <si>
    <t>Motorista</t>
  </si>
  <si>
    <t>1.8. Auxílio Alimentação (mensal)</t>
  </si>
  <si>
    <t>unidade</t>
  </si>
  <si>
    <t>Custo Mensal com Mão-de-obra (R$/mês)</t>
  </si>
  <si>
    <t>2. Uniformes e Equipamentos de Proteção Individual</t>
  </si>
  <si>
    <t>2.1. Uniformes e EPIs para Coletor</t>
  </si>
  <si>
    <t>Durabilidade (meses)</t>
  </si>
  <si>
    <t>Jaqueta com reflexivo (NBR 15.292)</t>
  </si>
  <si>
    <t>Calça</t>
  </si>
  <si>
    <t>Camiseta</t>
  </si>
  <si>
    <t>Boné</t>
  </si>
  <si>
    <t>Tênis de segurança c/ palmilha aço</t>
  </si>
  <si>
    <t>par</t>
  </si>
  <si>
    <t>Capa de chuva amarela com reflexivo</t>
  </si>
  <si>
    <t>Luva de proteção</t>
  </si>
  <si>
    <t>Protetor solar FPS 30</t>
  </si>
  <si>
    <t>frasco 120g</t>
  </si>
  <si>
    <t xml:space="preserve">Óculos de sol </t>
  </si>
  <si>
    <t>2.2. Uniformes e EPIs para demais categorias</t>
  </si>
  <si>
    <t>Custo Mensal com Uniformes e EPIs (R$/mês)</t>
  </si>
  <si>
    <t>3. Veículos e Equipamentos</t>
  </si>
  <si>
    <t>3.1. Veículo Coletor Compactador 15 m³</t>
  </si>
  <si>
    <t>3.1.1. Depreciação</t>
  </si>
  <si>
    <t>Custo de aquisição do chassis</t>
  </si>
  <si>
    <t>Vida útil do chassis</t>
  </si>
  <si>
    <t>anos</t>
  </si>
  <si>
    <t>Idade do veículo</t>
  </si>
  <si>
    <t>Depreciação do chassis</t>
  </si>
  <si>
    <t>Depreciação mensal veículos coletores</t>
  </si>
  <si>
    <t>Custo de aquisição do compactador</t>
  </si>
  <si>
    <t>Vida útil do munk</t>
  </si>
  <si>
    <t>Idade do munk</t>
  </si>
  <si>
    <t>Depreciação do munk</t>
  </si>
  <si>
    <t>Depreciação mensal do compactador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</si>
  <si>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</si>
  <si>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</si>
  <si>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</si>
  <si>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</si>
  <si>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</si>
  <si>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</si>
  <si>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</si>
  <si>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</si>
  <si>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Custo do compactador</t>
  </si>
  <si>
    <t>Valor do compactador proposto (V0)</t>
  </si>
  <si>
    <t>Investimento médio total do compactador</t>
  </si>
  <si>
    <t>Remuneração mensal de capital do compactador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</si>
  <si>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</si>
  <si>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</si>
  <si>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</si>
  <si>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</si>
  <si>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</si>
  <si>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</si>
  <si>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</si>
  <si>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Consumo</t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</si>
  <si>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</si>
  <si>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</si>
  <si>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</si>
  <si>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</si>
  <si>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</si>
  <si>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</si>
  <si>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</si>
  <si>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</si>
  <si>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</si>
  <si>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</si>
  <si>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</si>
  <si>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</si>
  <si>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</si>
  <si>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</si>
  <si>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</si>
  <si>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</si>
  <si>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3.1.5. Manutenção</t>
  </si>
  <si>
    <t>Custo de manutenção dos caminhões</t>
  </si>
  <si>
    <t>3.1.6. Pneus</t>
  </si>
  <si>
    <t>Custo do jogo de pneus 275/80 R22,5</t>
  </si>
  <si>
    <t>Número de recapagens por pneu</t>
  </si>
  <si>
    <t>Custo de recapagem</t>
  </si>
  <si>
    <t>Custo jg. compl. + 2 recap./ km rodado</t>
  </si>
  <si>
    <t>km/jogo</t>
  </si>
  <si>
    <t>Custo mensal com pneus</t>
  </si>
  <si>
    <t>Custo Mensal com Veículos Coletores (R$/mês)</t>
  </si>
  <si>
    <t>3.2.1. Depreciação</t>
  </si>
  <si>
    <t>Custo de aquisição do veículo</t>
  </si>
  <si>
    <t>Vida útil do veículo</t>
  </si>
  <si>
    <t>Depreciação do veículo</t>
  </si>
  <si>
    <t>Depreciação mensal veículos apoio adm</t>
  </si>
  <si>
    <t>3.2.2. Remuneração do Capital</t>
  </si>
  <si>
    <t>Custo do veículo</t>
  </si>
  <si>
    <t>Investimento médio total do veículo</t>
  </si>
  <si>
    <t>3.2.3. Impostos e Seguros</t>
  </si>
  <si>
    <t>3.2.4. Consumos</t>
  </si>
  <si>
    <t>Custo de gasolina / km rodado</t>
  </si>
  <si>
    <t>Custo mensal com gasolina</t>
  </si>
  <si>
    <t>3.2.5. Manutenção</t>
  </si>
  <si>
    <t>Custo de manutenção do veículo</t>
  </si>
  <si>
    <t>3.2.6. Pneus</t>
  </si>
  <si>
    <t>Custo do jogo de pneus 205/70 R15</t>
  </si>
  <si>
    <t>Custo jg. Completo km rodado</t>
  </si>
  <si>
    <t>Custo Mensal com Veículo Utilitário (R$/mês)</t>
  </si>
  <si>
    <t>Custo Mensal com Veículos e Equipamentos (R$/mês)</t>
  </si>
  <si>
    <t>4. Ferramentas e Materiais de Consumo</t>
  </si>
  <si>
    <t>Recipiente térmico para água (5L)</t>
  </si>
  <si>
    <t>Pá de Concha</t>
  </si>
  <si>
    <t>Vassoura</t>
  </si>
  <si>
    <t>Publicidade (adesivos equipamentos)</t>
  </si>
  <si>
    <t>cj</t>
  </si>
  <si>
    <t>Publicidade (adesivos veículos)</t>
  </si>
  <si>
    <t>Locação Garagem Veiculos/Equipamentos</t>
  </si>
  <si>
    <t>Custo Mensal com Ferramentas e Materiais de Consumo (R$/mês)</t>
  </si>
  <si>
    <t>5. Monitoramento da Frota</t>
  </si>
  <si>
    <t>Implantação dos equipamentos de monitoramento</t>
  </si>
  <si>
    <t>Custo mensal com implantação</t>
  </si>
  <si>
    <t>Manutenção dos equipamentos de monitoramento</t>
  </si>
  <si>
    <t>Custo mensal com manutenção</t>
  </si>
  <si>
    <t>Custo Mensal com Monitoramento da Frota (R$/mês)</t>
  </si>
  <si>
    <t>CUSTO TOTAL MENSAL COM DESPESAS OPERACIONAIS (R$/mês)</t>
  </si>
  <si>
    <t>6. Benefícios e Despesas Indiretas - BDI</t>
  </si>
  <si>
    <t>Benefícios e despesas indiretas</t>
  </si>
  <si>
    <t>CUSTO MENSAL COM BDI (R$/mês)</t>
  </si>
  <si>
    <t>PREÇO MENSAL TOTAL (R$/mês)</t>
  </si>
  <si>
    <t xml:space="preserve">Quantidade média de resíduos coletados por mês: </t>
  </si>
  <si>
    <t>toneladas</t>
  </si>
  <si>
    <t>PREÇO POR TONELADA COLETADA:  [A/B]</t>
  </si>
  <si>
    <t>R$/tonelada</t>
  </si>
  <si>
    <t>2. Fornecimento, Higienização e Manutenção de Contêineres na forma de comodato de contêineres em PEAD com capacidade volumétrica de 1.000 litros, munidos de adesivo plástico para identificação de resíduos orgânicos/rejeitos, de tampa, de muchões para carregamento mecanizado, de dreno com tampa para esvaziamento de líquidos e quatro rodas com dispositivo de travamento. Cor AZUL.</t>
  </si>
  <si>
    <t>1.2. Motorista Turno do Dia</t>
  </si>
  <si>
    <t>1.3. Vale Transporte</t>
  </si>
  <si>
    <t>1.4. Auxílio Alimentação (mensal)</t>
  </si>
  <si>
    <t>Botina de segurança c/ palmilha aço</t>
  </si>
  <si>
    <t>3.1. Veículo Caminhão Baú 30 m³</t>
  </si>
  <si>
    <t>Depreciação mensal veículo</t>
  </si>
  <si>
    <t>Vida útil do baú</t>
  </si>
  <si>
    <t>Idade do baú</t>
  </si>
  <si>
    <t>Depreciação do baú</t>
  </si>
  <si>
    <t>Depreciação mensal do baú</t>
  </si>
  <si>
    <t>Remuneração mensal de capital do baú</t>
  </si>
  <si>
    <t>Custo do jogo de pneus 215/75 R17,5</t>
  </si>
  <si>
    <t>4.1 Container</t>
  </si>
  <si>
    <t>Custo capital investido</t>
  </si>
  <si>
    <t xml:space="preserve">Lavagem/Higienização </t>
  </si>
  <si>
    <t>Manutenção</t>
  </si>
  <si>
    <t>contêineres</t>
  </si>
  <si>
    <t>R$contêiner</t>
  </si>
  <si>
    <t>Orientações para preenchimento:</t>
  </si>
  <si>
    <t>1. Preencha previamente os dados de entrada na planilha 3.CAGED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</si>
  <si>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</si>
  <si>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</si>
  <si>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</si>
  <si>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</si>
  <si>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</si>
  <si>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</si>
  <si>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</si>
  <si>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</si>
  <si>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</si>
  <si>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</si>
  <si>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</si>
  <si>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</si>
  <si>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</si>
  <si>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</si>
  <si>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</si>
  <si>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</si>
  <si>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</si>
  <si>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</si>
  <si>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</si>
  <si>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</si>
  <si>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</si>
  <si>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</si>
  <si>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</si>
  <si>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</si>
  <si>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</si>
  <si>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</si>
  <si>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</si>
  <si>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</si>
  <si>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</si>
  <si>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</si>
  <si>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</si>
  <si>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</si>
  <si>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</si>
  <si>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</si>
  <si>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</si>
  <si>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</si>
  <si>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</si>
  <si>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</si>
  <si>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</si>
  <si>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</si>
  <si>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</si>
  <si>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</si>
  <si>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</si>
  <si>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</si>
  <si>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</si>
  <si>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</si>
  <si>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</si>
  <si>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</si>
  <si>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</si>
  <si>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</si>
  <si>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</si>
  <si>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</si>
  <si>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</si>
  <si>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</si>
  <si>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</si>
  <si>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CÁLCULO DAS VERBAS INDENIZATÓRIAS DOS EMPREGADOS NO SETOR DE COLETA DE RSU</t>
  </si>
  <si>
    <t>3. CAGED</t>
  </si>
  <si>
    <t>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</si>
  <si>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</si>
  <si>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</si>
  <si>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</si>
  <si>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</si>
  <si>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</si>
  <si>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</si>
  <si>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</si>
  <si>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</si>
  <si>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</si>
  <si>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</si>
  <si>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</si>
  <si>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 xml:space="preserve"> </t>
  </si>
  <si>
    <t>Indicadores</t>
  </si>
  <si>
    <t>Estoque recuperado início do Período 01-01-2019</t>
  </si>
  <si>
    <t>Estoque recuperado final do Período 31-12-2019</t>
  </si>
  <si>
    <t>Variação Emprego Absoluta de 01-01-2019 a 31-12-2019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</si>
  <si>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</si>
  <si>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</si>
  <si>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</si>
  <si>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</si>
  <si>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</si>
  <si>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</si>
  <si>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</si>
  <si>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</si>
  <si>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</si>
  <si>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</t>
  </si>
  <si>
    <t>MUNICÍPIO DE CURITIBANOS/SC</t>
  </si>
  <si>
    <t>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</si>
  <si>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</si>
  <si>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</si>
  <si>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</si>
  <si>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</si>
  <si>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</si>
  <si>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</si>
  <si>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</si>
  <si>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</si>
  <si>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</si>
  <si>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</si>
  <si>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</si>
  <si>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</si>
  <si>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</si>
  <si>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</si>
  <si>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</si>
  <si>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</si>
  <si>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</si>
  <si>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</si>
  <si>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</si>
  <si>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</si>
  <si>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</si>
  <si>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</si>
  <si>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</si>
  <si>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</si>
  <si>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</si>
  <si>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2"/>
        <color theme="1"/>
        <rFont val="Arial"/>
        <family val="2"/>
        <charset val="1"/>
      </rPr>
      <t>J</t>
    </r>
    <r>
      <rPr>
        <vertAlign val="subscript"/>
        <sz val="12"/>
        <color rgb="FF000000"/>
        <rFont val="Arial"/>
        <family val="2"/>
        <charset val="1"/>
      </rPr>
      <t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</si>
  <si>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</si>
  <si>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</si>
  <si>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theme="1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</si>
  <si>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theme="1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r</t>
    </r>
    <r>
      <rPr>
        <sz val="12"/>
        <color rgb="FF000000"/>
        <rFont val="Arial"/>
        <family val="2"/>
        <charset val="1"/>
      </rPr>
      <t xml:space="preserve"> = valor residual do bem</t>
    </r>
  </si>
  <si>
    <t>n = vida útil do bem em anos</t>
  </si>
  <si>
    <t>PREÇO UNITÁRIO DE CONTEINER:  [A/B]</t>
  </si>
  <si>
    <t>3.2. Veículo Utilitário - Veículo de apoio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</si>
</sst>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\-??_);_(@_)"/>
    <numFmt numFmtId="165" formatCode="&quot;R$ &quot;#,##0.00"/>
    <numFmt numFmtId="166" formatCode="&quot;R$ &quot;#,##0.00_);&quot;(R$ &quot;#,##0.00\)"/>
    <numFmt numFmtId="167" formatCode="#,##0.0"/>
    <numFmt numFmtId="168" formatCode="_(* #,##0_);_(* \(#,##0\);_(* \-??_);_(@_)"/>
    <numFmt numFmtId="169" formatCode="0.0"/>
    <numFmt numFmtId="170" formatCode="_(* #,##0.0_);_(* \(#,##0.0\);_(* \-??_);_(@_)"/>
    <numFmt numFmtId="171" formatCode="_-* #,##0.00_-;\-* #,##0.00_-;_-* \-??_-;_-@_-"/>
    <numFmt numFmtId="172" formatCode="_(* #,##0.000_);_(* \(#,##0.000\);_(* \-??_);_(@_)"/>
    <numFmt numFmtId="173" formatCode="0.0000"/>
  </numFmts>
  <fonts count="30" x14ac:knownFonts="1">
    <font>
      <sz val="10"/>
      <name val="Arial"/>
      <charset val="1"/>
    </font>
    <font>
      <sz val="10"/>
      <name val="Arial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b/>
      <sz val="9"/>
      <name val="Arial"/>
      <family val="2"/>
      <charset val="1"/>
    </font>
    <font>
      <b/>
      <u/>
      <sz val="9"/>
      <name val="Arial"/>
      <family val="2"/>
      <charset val="1"/>
    </font>
    <font>
      <sz val="8"/>
      <name val="Arial"/>
      <family val="2"/>
      <charset val="1"/>
    </font>
    <font>
      <u/>
      <sz val="10"/>
      <color rgb="FF0000FF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FF0000"/>
      <name val="Arial"/>
      <family val="2"/>
      <charset val="1"/>
    </font>
    <font>
      <sz val="9"/>
      <name val="Arial"/>
      <family val="2"/>
      <charset val="1"/>
    </font>
    <font>
      <i/>
      <sz val="10"/>
      <name val="Arial"/>
      <family val="2"/>
      <charset val="1"/>
    </font>
    <font>
      <sz val="10"/>
      <name val="Arial"/>
      <family val="2"/>
    </font>
    <font>
      <b/>
      <sz val="14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theme="1"/>
      <name val="Arial"/>
      <family val="2"/>
      <charset val="1"/>
    </font>
    <font>
      <sz val="10"/>
      <color theme="1"/>
      <name val="Arial"/>
      <family val="2"/>
      <charset val="1"/>
    </font>
    <font>
      <b/>
      <sz val="11"/>
      <color theme="1"/>
      <name val="Arial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9"/>
      <color rgb="FF000000"/>
      <name val="Tahoma"/>
      <family val="2"/>
      <charset val="1"/>
    </font>
    <font>
      <sz val="12"/>
      <color theme="1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0"/>
      <name val="Arial"/>
      <charset val="1"/>
    </font>
  </fonts>
  <fills count="9">
    <fill>
      <patternFill patternType="none"/>
    </fill>
    <fill>
      <patternFill patternType="gray125"/>
    </fill>
    <fill>
      <patternFill patternType="solid">
        <fgColor rgb="FFB2B2B2"/>
        <bgColor rgb="FFA6A6A6"/>
      </patternFill>
    </fill>
    <fill>
      <patternFill patternType="solid">
        <fgColor theme="0" tint="-0.249977111117893"/>
        <bgColor rgb="FFB2B2B2"/>
      </patternFill>
    </fill>
    <fill>
      <patternFill patternType="solid">
        <fgColor theme="0" tint="-0.14999847407452621"/>
        <bgColor rgb="FFDDD9C3"/>
      </patternFill>
    </fill>
    <fill>
      <patternFill patternType="solid">
        <fgColor theme="0" tint="-0.34998626667073579"/>
        <bgColor rgb="FFB2B2B2"/>
      </patternFill>
    </fill>
    <fill>
      <patternFill patternType="solid">
        <fgColor theme="0"/>
        <bgColor rgb="FFEEECE1"/>
      </patternFill>
    </fill>
    <fill>
      <patternFill patternType="solid">
        <fgColor theme="2" tint="-9.9978637043366805E-2"/>
        <bgColor rgb="FFD9D9D9"/>
      </patternFill>
    </fill>
    <fill>
      <patternFill patternType="solid">
        <fgColor theme="2"/>
        <bgColor rgb="FFD9D9D9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164" fontId="29" fillId="0" borderId="0" applyBorder="0" applyProtection="0"/>
    <xf numFmtId="9" fontId="29" fillId="0" borderId="0" applyBorder="0" applyProtection="0"/>
    <xf numFmtId="0" fontId="9" fillId="0" borderId="0" applyBorder="0" applyProtection="0"/>
  </cellStyleXfs>
  <cellXfs count="272">
    <xf numFmtId="0" fontId="0" fillId="0" borderId="0" xfId="0"/>
    <xf numFmtId="164" fontId="3" fillId="0" borderId="9" xfId="1" applyFont="1" applyBorder="1" applyAlignment="1" applyProtection="1">
      <alignment horizontal="left" vertical="center"/>
    </xf>
    <xf numFmtId="0" fontId="1" fillId="0" borderId="0" xfId="0" applyFont="1" applyAlignment="1">
      <alignment vertical="center"/>
    </xf>
    <xf numFmtId="164" fontId="1" fillId="0" borderId="0" xfId="1" applyFont="1" applyBorder="1" applyAlignment="1" applyProtection="1">
      <alignment vertical="center"/>
    </xf>
    <xf numFmtId="4" fontId="0" fillId="0" borderId="0" xfId="0" applyNumberFormat="1" applyAlignment="1">
      <alignment vertical="center"/>
    </xf>
    <xf numFmtId="164" fontId="29" fillId="0" borderId="0" xfId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164" fontId="29" fillId="0" borderId="4" xfId="1" applyBorder="1" applyAlignment="1" applyProtection="1">
      <alignment vertical="center"/>
    </xf>
    <xf numFmtId="164" fontId="3" fillId="0" borderId="5" xfId="1" applyFont="1" applyBorder="1" applyAlignment="1" applyProtection="1">
      <alignment horizontal="center" vertical="center"/>
    </xf>
    <xf numFmtId="164" fontId="29" fillId="0" borderId="6" xfId="1" applyBorder="1" applyAlignment="1" applyProtection="1">
      <alignment vertical="center"/>
    </xf>
    <xf numFmtId="164" fontId="3" fillId="0" borderId="6" xfId="1" applyFont="1" applyBorder="1" applyAlignment="1" applyProtection="1">
      <alignment vertical="center"/>
    </xf>
    <xf numFmtId="164" fontId="3" fillId="0" borderId="7" xfId="1" applyFont="1" applyBorder="1" applyAlignment="1" applyProtection="1">
      <alignment vertical="center"/>
    </xf>
    <xf numFmtId="164" fontId="3" fillId="0" borderId="8" xfId="1" applyFont="1" applyBorder="1" applyAlignment="1" applyProtection="1">
      <alignment horizontal="center" vertical="center"/>
    </xf>
    <xf numFmtId="164" fontId="3" fillId="0" borderId="9" xfId="1" applyFont="1" applyBorder="1" applyAlignment="1" applyProtection="1">
      <alignment vertical="center"/>
    </xf>
    <xf numFmtId="164" fontId="3" fillId="0" borderId="10" xfId="0" applyNumberFormat="1" applyFont="1" applyBorder="1" applyAlignment="1">
      <alignment vertical="center"/>
    </xf>
    <xf numFmtId="164" fontId="3" fillId="0" borderId="10" xfId="1" applyFont="1" applyBorder="1" applyAlignment="1" applyProtection="1">
      <alignment vertical="center"/>
    </xf>
    <xf numFmtId="165" fontId="3" fillId="0" borderId="11" xfId="0" applyNumberFormat="1" applyFont="1" applyBorder="1" applyAlignment="1">
      <alignment vertical="center"/>
    </xf>
    <xf numFmtId="10" fontId="3" fillId="0" borderId="12" xfId="2" applyNumberFormat="1" applyFont="1" applyBorder="1" applyAlignment="1" applyProtection="1">
      <alignment vertical="center"/>
    </xf>
    <xf numFmtId="164" fontId="29" fillId="0" borderId="9" xfId="1" applyBorder="1" applyAlignment="1" applyProtection="1">
      <alignment vertical="center"/>
    </xf>
    <xf numFmtId="164" fontId="0" fillId="0" borderId="10" xfId="0" applyNumberFormat="1" applyBorder="1" applyAlignment="1">
      <alignment vertical="center"/>
    </xf>
    <xf numFmtId="164" fontId="29" fillId="0" borderId="10" xfId="1" applyBorder="1" applyAlignment="1" applyProtection="1">
      <alignment vertical="center"/>
    </xf>
    <xf numFmtId="165" fontId="0" fillId="0" borderId="11" xfId="0" applyNumberFormat="1" applyBorder="1" applyAlignment="1">
      <alignment vertical="center"/>
    </xf>
    <xf numFmtId="10" fontId="29" fillId="0" borderId="12" xfId="2" applyNumberFormat="1" applyBorder="1" applyAlignment="1" applyProtection="1">
      <alignment vertical="center"/>
    </xf>
    <xf numFmtId="0" fontId="5" fillId="0" borderId="0" xfId="0" applyFont="1" applyAlignment="1">
      <alignment vertical="center"/>
    </xf>
    <xf numFmtId="164" fontId="5" fillId="0" borderId="0" xfId="1" applyFont="1" applyBorder="1" applyAlignment="1" applyProtection="1">
      <alignment vertical="center"/>
    </xf>
    <xf numFmtId="0" fontId="3" fillId="0" borderId="0" xfId="0" applyFont="1" applyAlignment="1">
      <alignment vertical="center"/>
    </xf>
    <xf numFmtId="4" fontId="3" fillId="0" borderId="10" xfId="0" applyNumberFormat="1" applyFont="1" applyBorder="1" applyAlignment="1">
      <alignment horizontal="center" vertical="center"/>
    </xf>
    <xf numFmtId="164" fontId="3" fillId="0" borderId="0" xfId="1" applyFont="1" applyBorder="1" applyAlignment="1" applyProtection="1">
      <alignment vertical="center"/>
    </xf>
    <xf numFmtId="164" fontId="1" fillId="0" borderId="9" xfId="1" applyFont="1" applyBorder="1" applyAlignment="1" applyProtection="1">
      <alignment horizontal="left" vertical="center"/>
    </xf>
    <xf numFmtId="4" fontId="0" fillId="0" borderId="10" xfId="0" applyNumberFormat="1" applyBorder="1" applyAlignment="1">
      <alignment horizontal="center" vertical="center"/>
    </xf>
    <xf numFmtId="10" fontId="1" fillId="0" borderId="12" xfId="2" applyNumberFormat="1" applyFont="1" applyBorder="1" applyAlignment="1" applyProtection="1">
      <alignment vertical="center"/>
    </xf>
    <xf numFmtId="165" fontId="3" fillId="0" borderId="13" xfId="0" applyNumberFormat="1" applyFont="1" applyBorder="1" applyAlignment="1">
      <alignment vertical="center"/>
    </xf>
    <xf numFmtId="164" fontId="3" fillId="0" borderId="14" xfId="1" applyFont="1" applyBorder="1" applyAlignment="1" applyProtection="1">
      <alignment horizontal="left" vertical="center"/>
    </xf>
    <xf numFmtId="4" fontId="3" fillId="0" borderId="15" xfId="0" applyNumberFormat="1" applyFont="1" applyBorder="1" applyAlignment="1">
      <alignment horizontal="center" vertical="center"/>
    </xf>
    <xf numFmtId="164" fontId="3" fillId="0" borderId="15" xfId="1" applyFont="1" applyBorder="1" applyAlignment="1" applyProtection="1">
      <alignment vertical="center"/>
    </xf>
    <xf numFmtId="166" fontId="3" fillId="0" borderId="16" xfId="0" applyNumberFormat="1" applyFont="1" applyBorder="1" applyAlignment="1">
      <alignment vertical="center"/>
    </xf>
    <xf numFmtId="9" fontId="3" fillId="0" borderId="17" xfId="2" applyFont="1" applyBorder="1" applyAlignment="1" applyProtection="1">
      <alignment vertical="center"/>
    </xf>
    <xf numFmtId="164" fontId="3" fillId="0" borderId="19" xfId="1" applyFont="1" applyBorder="1" applyAlignment="1" applyProtection="1">
      <alignment horizontal="right" vertical="center"/>
    </xf>
    <xf numFmtId="164" fontId="1" fillId="0" borderId="5" xfId="1" applyFont="1" applyBorder="1" applyAlignment="1" applyProtection="1">
      <alignment vertical="center"/>
    </xf>
    <xf numFmtId="164" fontId="1" fillId="0" borderId="6" xfId="1" applyFont="1" applyBorder="1" applyAlignment="1" applyProtection="1">
      <alignment vertical="center"/>
    </xf>
    <xf numFmtId="0" fontId="0" fillId="0" borderId="6" xfId="0" applyBorder="1" applyAlignment="1">
      <alignment vertical="center"/>
    </xf>
    <xf numFmtId="167" fontId="1" fillId="0" borderId="8" xfId="1" applyNumberFormat="1" applyFont="1" applyBorder="1" applyAlignment="1" applyProtection="1">
      <alignment horizontal="center" vertical="center"/>
    </xf>
    <xf numFmtId="164" fontId="1" fillId="0" borderId="9" xfId="1" applyFont="1" applyBorder="1" applyAlignment="1" applyProtection="1">
      <alignment vertical="center"/>
    </xf>
    <xf numFmtId="164" fontId="1" fillId="0" borderId="10" xfId="1" applyFont="1" applyBorder="1" applyAlignment="1" applyProtection="1">
      <alignment vertical="center"/>
    </xf>
    <xf numFmtId="0" fontId="0" fillId="0" borderId="10" xfId="0" applyBorder="1" applyAlignment="1">
      <alignment vertical="center"/>
    </xf>
    <xf numFmtId="167" fontId="1" fillId="0" borderId="20" xfId="1" applyNumberFormat="1" applyFont="1" applyBorder="1" applyAlignment="1" applyProtection="1">
      <alignment horizontal="center" vertical="center"/>
    </xf>
    <xf numFmtId="164" fontId="3" fillId="0" borderId="21" xfId="1" applyFont="1" applyBorder="1" applyAlignment="1" applyProtection="1">
      <alignment vertical="center"/>
    </xf>
    <xf numFmtId="4" fontId="3" fillId="0" borderId="22" xfId="0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167" fontId="3" fillId="0" borderId="23" xfId="1" applyNumberFormat="1" applyFont="1" applyBorder="1" applyAlignment="1" applyProtection="1">
      <alignment horizontal="center" vertical="center"/>
    </xf>
    <xf numFmtId="164" fontId="3" fillId="0" borderId="3" xfId="1" applyFont="1" applyBorder="1" applyAlignment="1" applyProtection="1">
      <alignment vertical="center"/>
    </xf>
    <xf numFmtId="4" fontId="3" fillId="0" borderId="0" xfId="0" applyNumberFormat="1" applyFont="1" applyAlignment="1">
      <alignment vertical="center"/>
    </xf>
    <xf numFmtId="164" fontId="1" fillId="0" borderId="4" xfId="1" applyFont="1" applyBorder="1" applyAlignment="1" applyProtection="1">
      <alignment vertical="center"/>
    </xf>
    <xf numFmtId="168" fontId="1" fillId="0" borderId="0" xfId="1" applyNumberFormat="1" applyFont="1" applyBorder="1" applyAlignment="1" applyProtection="1">
      <alignment horizontal="center" vertical="center"/>
    </xf>
    <xf numFmtId="164" fontId="3" fillId="0" borderId="14" xfId="1" applyFont="1" applyBorder="1" applyAlignment="1" applyProtection="1">
      <alignment vertical="center"/>
    </xf>
    <xf numFmtId="9" fontId="3" fillId="0" borderId="24" xfId="2" applyFont="1" applyBorder="1" applyAlignment="1" applyProtection="1">
      <alignment vertical="center"/>
    </xf>
    <xf numFmtId="168" fontId="3" fillId="0" borderId="0" xfId="1" applyNumberFormat="1" applyFont="1" applyBorder="1" applyAlignment="1" applyProtection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164" fontId="6" fillId="2" borderId="25" xfId="1" applyFont="1" applyFill="1" applyBorder="1" applyAlignment="1" applyProtection="1">
      <alignment horizontal="center" vertical="center"/>
    </xf>
    <xf numFmtId="164" fontId="6" fillId="2" borderId="17" xfId="1" applyFont="1" applyFill="1" applyBorder="1" applyAlignment="1" applyProtection="1">
      <alignment horizontal="center" vertical="center"/>
    </xf>
    <xf numFmtId="0" fontId="1" fillId="0" borderId="26" xfId="0" applyFont="1" applyBorder="1" applyAlignment="1">
      <alignment vertical="center"/>
    </xf>
    <xf numFmtId="0" fontId="1" fillId="0" borderId="26" xfId="0" applyFont="1" applyBorder="1" applyAlignment="1">
      <alignment horizontal="center" vertical="center"/>
    </xf>
    <xf numFmtId="164" fontId="1" fillId="0" borderId="26" xfId="1" applyFont="1" applyBorder="1" applyAlignment="1" applyProtection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164" fontId="1" fillId="0" borderId="11" xfId="1" applyFont="1" applyBorder="1" applyAlignment="1" applyProtection="1">
      <alignment horizontal="center" vertical="center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1" applyFont="1" applyBorder="1" applyAlignment="1" applyProtection="1">
      <alignment horizontal="center" vertical="center"/>
    </xf>
    <xf numFmtId="164" fontId="3" fillId="0" borderId="27" xfId="1" applyFont="1" applyBorder="1" applyAlignment="1" applyProtection="1">
      <alignment horizontal="center" vertical="center"/>
    </xf>
    <xf numFmtId="169" fontId="1" fillId="0" borderId="11" xfId="0" applyNumberFormat="1" applyFont="1" applyBorder="1" applyAlignment="1">
      <alignment horizontal="center" vertical="center"/>
    </xf>
    <xf numFmtId="164" fontId="1" fillId="0" borderId="0" xfId="1" applyFont="1" applyBorder="1" applyAlignment="1" applyProtection="1">
      <alignment horizontal="right" vertical="center"/>
    </xf>
    <xf numFmtId="164" fontId="1" fillId="0" borderId="11" xfId="1" applyFont="1" applyBorder="1" applyAlignment="1" applyProtection="1">
      <alignment vertical="center"/>
    </xf>
    <xf numFmtId="164" fontId="3" fillId="2" borderId="24" xfId="1" applyFont="1" applyFill="1" applyBorder="1" applyAlignment="1" applyProtection="1">
      <alignment horizontal="center" vertical="center"/>
    </xf>
    <xf numFmtId="2" fontId="1" fillId="0" borderId="11" xfId="1" applyNumberFormat="1" applyFont="1" applyBorder="1" applyAlignment="1" applyProtection="1">
      <alignment horizontal="center" vertical="center"/>
    </xf>
    <xf numFmtId="0" fontId="8" fillId="0" borderId="0" xfId="0" applyFont="1" applyAlignment="1">
      <alignment vertical="center"/>
    </xf>
    <xf numFmtId="1" fontId="1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4" fontId="3" fillId="0" borderId="11" xfId="1" applyFont="1" applyBorder="1" applyAlignment="1" applyProtection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10" xfId="1" applyFont="1" applyBorder="1" applyAlignment="1" applyProtection="1">
      <alignment horizontal="center" vertical="center"/>
    </xf>
    <xf numFmtId="0" fontId="1" fillId="0" borderId="0" xfId="0" applyFont="1" applyAlignment="1">
      <alignment horizontal="right" vertical="center"/>
    </xf>
    <xf numFmtId="168" fontId="1" fillId="0" borderId="11" xfId="1" applyNumberFormat="1" applyFont="1" applyBorder="1" applyAlignment="1" applyProtection="1">
      <alignment horizontal="center" vertical="center"/>
    </xf>
    <xf numFmtId="168" fontId="1" fillId="0" borderId="11" xfId="1" applyNumberFormat="1" applyFont="1" applyBorder="1" applyAlignment="1" applyProtection="1">
      <alignment vertical="center"/>
    </xf>
    <xf numFmtId="164" fontId="3" fillId="2" borderId="1" xfId="1" applyFont="1" applyFill="1" applyBorder="1" applyAlignment="1" applyProtection="1">
      <alignment vertical="center"/>
    </xf>
    <xf numFmtId="170" fontId="1" fillId="0" borderId="11" xfId="1" applyNumberFormat="1" applyFont="1" applyBorder="1" applyAlignment="1" applyProtection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64" fontId="3" fillId="0" borderId="24" xfId="1" applyFont="1" applyBorder="1" applyAlignment="1" applyProtection="1">
      <alignment vertical="center"/>
    </xf>
    <xf numFmtId="0" fontId="1" fillId="0" borderId="0" xfId="0" applyFont="1"/>
    <xf numFmtId="0" fontId="6" fillId="2" borderId="25" xfId="0" applyFont="1" applyFill="1" applyBorder="1" applyAlignment="1">
      <alignment horizontal="center" vertical="center" wrapText="1"/>
    </xf>
    <xf numFmtId="13" fontId="1" fillId="0" borderId="11" xfId="0" applyNumberFormat="1" applyFont="1" applyBorder="1" applyAlignment="1">
      <alignment horizontal="center" vertical="center"/>
    </xf>
    <xf numFmtId="164" fontId="1" fillId="0" borderId="0" xfId="1" applyFont="1" applyBorder="1" applyProtection="1"/>
    <xf numFmtId="0" fontId="1" fillId="0" borderId="11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15" xfId="1" applyFont="1" applyBorder="1" applyAlignment="1" applyProtection="1">
      <alignment vertical="center"/>
    </xf>
    <xf numFmtId="164" fontId="1" fillId="0" borderId="24" xfId="1" applyFont="1" applyBorder="1" applyAlignment="1" applyProtection="1">
      <alignment vertical="center"/>
    </xf>
    <xf numFmtId="164" fontId="3" fillId="2" borderId="1" xfId="1" applyFont="1" applyFill="1" applyBorder="1" applyAlignment="1" applyProtection="1">
      <alignment horizontal="center" vertical="center"/>
    </xf>
    <xf numFmtId="0" fontId="9" fillId="0" borderId="0" xfId="3" applyBorder="1" applyAlignment="1" applyProtection="1">
      <alignment vertical="center"/>
    </xf>
    <xf numFmtId="0" fontId="10" fillId="0" borderId="0" xfId="3" applyFont="1" applyBorder="1" applyAlignment="1" applyProtection="1">
      <alignment vertical="center"/>
    </xf>
    <xf numFmtId="164" fontId="1" fillId="0" borderId="0" xfId="1" applyFont="1" applyBorder="1" applyAlignment="1" applyProtection="1">
      <alignment horizontal="center" vertical="center"/>
    </xf>
    <xf numFmtId="0" fontId="3" fillId="0" borderId="28" xfId="0" applyFont="1" applyBorder="1" applyAlignment="1">
      <alignment vertical="center"/>
    </xf>
    <xf numFmtId="0" fontId="3" fillId="0" borderId="28" xfId="0" applyFont="1" applyBorder="1" applyAlignment="1">
      <alignment horizontal="center" vertical="center"/>
    </xf>
    <xf numFmtId="164" fontId="3" fillId="0" borderId="28" xfId="1" applyFont="1" applyBorder="1" applyAlignment="1" applyProtection="1">
      <alignment horizontal="center" vertical="center"/>
    </xf>
    <xf numFmtId="0" fontId="3" fillId="0" borderId="11" xfId="0" applyFont="1" applyBorder="1" applyAlignment="1">
      <alignment horizontal="center" vertical="center"/>
    </xf>
    <xf numFmtId="171" fontId="1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164" fontId="6" fillId="2" borderId="30" xfId="1" applyFont="1" applyFill="1" applyBorder="1" applyAlignment="1" applyProtection="1">
      <alignment horizontal="center" vertical="center"/>
    </xf>
    <xf numFmtId="10" fontId="1" fillId="0" borderId="11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vertical="center"/>
    </xf>
    <xf numFmtId="3" fontId="1" fillId="0" borderId="11" xfId="0" applyNumberFormat="1" applyFont="1" applyBorder="1" applyAlignment="1">
      <alignment vertical="center"/>
    </xf>
    <xf numFmtId="4" fontId="1" fillId="0" borderId="26" xfId="0" applyNumberFormat="1" applyFont="1" applyBorder="1" applyAlignment="1">
      <alignment horizontal="center" vertical="center"/>
    </xf>
    <xf numFmtId="172" fontId="1" fillId="0" borderId="26" xfId="1" applyNumberFormat="1" applyFont="1" applyBorder="1" applyAlignment="1" applyProtection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172" fontId="1" fillId="0" borderId="11" xfId="1" applyNumberFormat="1" applyFont="1" applyBorder="1" applyAlignment="1" applyProtection="1">
      <alignment horizontal="center" vertical="center"/>
    </xf>
    <xf numFmtId="168" fontId="3" fillId="0" borderId="11" xfId="1" applyNumberFormat="1" applyFont="1" applyBorder="1" applyAlignment="1" applyProtection="1">
      <alignment horizontal="center" vertical="center"/>
    </xf>
    <xf numFmtId="172" fontId="3" fillId="0" borderId="11" xfId="1" applyNumberFormat="1" applyFont="1" applyBorder="1" applyAlignment="1" applyProtection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64" fontId="6" fillId="2" borderId="11" xfId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1" applyFont="1" applyBorder="1" applyAlignment="1" applyProtection="1">
      <alignment horizontal="center" vertical="center"/>
    </xf>
    <xf numFmtId="0" fontId="11" fillId="0" borderId="0" xfId="0" applyFont="1" applyAlignment="1">
      <alignment vertical="center"/>
    </xf>
    <xf numFmtId="0" fontId="12" fillId="0" borderId="11" xfId="0" applyFont="1" applyBorder="1" applyAlignment="1">
      <alignment horizontal="center" vertical="center"/>
    </xf>
    <xf numFmtId="164" fontId="13" fillId="0" borderId="11" xfId="1" applyFont="1" applyBorder="1" applyAlignment="1" applyProtection="1">
      <alignment horizontal="center" vertical="center"/>
    </xf>
    <xf numFmtId="10" fontId="1" fillId="0" borderId="11" xfId="1" applyNumberFormat="1" applyFont="1" applyBorder="1" applyAlignment="1" applyProtection="1">
      <alignment horizontal="center" vertical="center"/>
    </xf>
    <xf numFmtId="164" fontId="11" fillId="0" borderId="0" xfId="1" applyFont="1" applyBorder="1" applyAlignment="1" applyProtection="1">
      <alignment vertical="center"/>
    </xf>
    <xf numFmtId="0" fontId="2" fillId="0" borderId="0" xfId="0" applyFont="1" applyAlignment="1">
      <alignment vertical="center"/>
    </xf>
    <xf numFmtId="164" fontId="2" fillId="0" borderId="0" xfId="1" applyFont="1" applyBorder="1" applyAlignment="1" applyProtection="1">
      <alignment vertical="center"/>
    </xf>
    <xf numFmtId="164" fontId="4" fillId="0" borderId="0" xfId="1" applyFont="1" applyBorder="1" applyAlignment="1" applyProtection="1">
      <alignment vertical="center"/>
    </xf>
    <xf numFmtId="0" fontId="1" fillId="0" borderId="3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164" fontId="1" fillId="0" borderId="32" xfId="1" applyFont="1" applyBorder="1" applyAlignment="1" applyProtection="1">
      <alignment vertical="center"/>
    </xf>
    <xf numFmtId="164" fontId="3" fillId="0" borderId="24" xfId="1" applyFont="1" applyBorder="1" applyAlignment="1" applyProtection="1">
      <alignment horizontal="right" vertical="center"/>
    </xf>
    <xf numFmtId="164" fontId="3" fillId="2" borderId="1" xfId="1" applyFont="1" applyFill="1" applyBorder="1" applyAlignment="1" applyProtection="1">
      <alignment horizontal="right" vertical="center"/>
    </xf>
    <xf numFmtId="9" fontId="1" fillId="0" borderId="0" xfId="2" applyFont="1" applyBorder="1" applyAlignment="1" applyProtection="1">
      <alignment vertical="center"/>
    </xf>
    <xf numFmtId="169" fontId="1" fillId="0" borderId="8" xfId="1" applyNumberFormat="1" applyFont="1" applyBorder="1" applyAlignment="1" applyProtection="1">
      <alignment horizontal="center" vertical="center"/>
    </xf>
    <xf numFmtId="169" fontId="1" fillId="0" borderId="20" xfId="1" applyNumberFormat="1" applyFont="1" applyBorder="1" applyAlignment="1" applyProtection="1">
      <alignment horizontal="center" vertical="center"/>
    </xf>
    <xf numFmtId="169" fontId="3" fillId="0" borderId="23" xfId="1" applyNumberFormat="1" applyFont="1" applyBorder="1" applyAlignment="1" applyProtection="1">
      <alignment horizontal="center" vertical="center"/>
    </xf>
    <xf numFmtId="164" fontId="1" fillId="0" borderId="33" xfId="1" applyFont="1" applyBorder="1" applyAlignment="1" applyProtection="1">
      <alignment vertical="center"/>
    </xf>
    <xf numFmtId="164" fontId="1" fillId="0" borderId="34" xfId="1" applyFont="1" applyBorder="1" applyAlignment="1" applyProtection="1">
      <alignment vertical="center"/>
    </xf>
    <xf numFmtId="0" fontId="1" fillId="0" borderId="34" xfId="0" applyFont="1" applyBorder="1" applyAlignment="1">
      <alignment vertical="center"/>
    </xf>
    <xf numFmtId="169" fontId="1" fillId="0" borderId="35" xfId="1" applyNumberFormat="1" applyFont="1" applyBorder="1" applyAlignment="1" applyProtection="1">
      <alignment horizontal="center" vertical="center"/>
    </xf>
    <xf numFmtId="1" fontId="1" fillId="0" borderId="0" xfId="1" applyNumberFormat="1" applyFont="1" applyBorder="1" applyAlignment="1" applyProtection="1">
      <alignment horizontal="center" vertical="center"/>
    </xf>
    <xf numFmtId="9" fontId="3" fillId="2" borderId="24" xfId="2" applyFont="1" applyFill="1" applyBorder="1" applyAlignment="1" applyProtection="1">
      <alignment vertical="center"/>
    </xf>
    <xf numFmtId="2" fontId="1" fillId="0" borderId="26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36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10" fontId="16" fillId="0" borderId="20" xfId="0" applyNumberFormat="1" applyFont="1" applyBorder="1" applyAlignment="1">
      <alignment horizontal="right" vertical="center"/>
    </xf>
    <xf numFmtId="0" fontId="17" fillId="0" borderId="11" xfId="0" applyFont="1" applyBorder="1" applyAlignment="1">
      <alignment horizontal="left" vertical="center"/>
    </xf>
    <xf numFmtId="10" fontId="17" fillId="0" borderId="20" xfId="0" applyNumberFormat="1" applyFont="1" applyBorder="1" applyAlignment="1">
      <alignment horizontal="right" vertical="center"/>
    </xf>
    <xf numFmtId="0" fontId="16" fillId="4" borderId="36" xfId="0" applyFont="1" applyFill="1" applyBorder="1" applyAlignment="1">
      <alignment horizontal="left" vertical="center"/>
    </xf>
    <xf numFmtId="0" fontId="17" fillId="4" borderId="11" xfId="0" applyFont="1" applyFill="1" applyBorder="1" applyAlignment="1">
      <alignment horizontal="left" vertical="center"/>
    </xf>
    <xf numFmtId="10" fontId="17" fillId="4" borderId="20" xfId="0" applyNumberFormat="1" applyFont="1" applyFill="1" applyBorder="1" applyAlignment="1">
      <alignment horizontal="right" vertical="center"/>
    </xf>
    <xf numFmtId="0" fontId="18" fillId="0" borderId="11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10" fontId="1" fillId="0" borderId="0" xfId="0" applyNumberFormat="1" applyFont="1"/>
    <xf numFmtId="9" fontId="16" fillId="0" borderId="0" xfId="2" applyFont="1" applyBorder="1" applyAlignment="1" applyProtection="1">
      <alignment horizontal="right" vertical="center"/>
    </xf>
    <xf numFmtId="0" fontId="16" fillId="0" borderId="11" xfId="0" applyFont="1" applyBorder="1" applyAlignment="1">
      <alignment horizontal="left" vertical="center" wrapText="1"/>
    </xf>
    <xf numFmtId="0" fontId="16" fillId="5" borderId="37" xfId="0" applyFont="1" applyFill="1" applyBorder="1" applyAlignment="1">
      <alignment horizontal="left" vertical="center"/>
    </xf>
    <xf numFmtId="0" fontId="17" fillId="5" borderId="13" xfId="0" applyFont="1" applyFill="1" applyBorder="1" applyAlignment="1">
      <alignment horizontal="left" vertical="center"/>
    </xf>
    <xf numFmtId="10" fontId="17" fillId="5" borderId="35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/>
    </xf>
    <xf numFmtId="10" fontId="17" fillId="0" borderId="0" xfId="0" applyNumberFormat="1" applyFont="1" applyAlignment="1">
      <alignment horizontal="right" vertical="center"/>
    </xf>
    <xf numFmtId="0" fontId="19" fillId="6" borderId="0" xfId="0" applyFont="1" applyFill="1" applyAlignment="1">
      <alignment horizontal="left" vertical="center"/>
    </xf>
    <xf numFmtId="10" fontId="16" fillId="0" borderId="0" xfId="0" applyNumberFormat="1" applyFont="1" applyAlignment="1">
      <alignment horizontal="right" vertical="center"/>
    </xf>
    <xf numFmtId="0" fontId="16" fillId="6" borderId="0" xfId="0" applyFont="1" applyFill="1" applyAlignment="1">
      <alignment horizontal="left" vertical="center"/>
    </xf>
    <xf numFmtId="0" fontId="20" fillId="0" borderId="0" xfId="0" applyFont="1" applyAlignment="1">
      <alignment horizontal="justify" vertical="center"/>
    </xf>
    <xf numFmtId="0" fontId="9" fillId="0" borderId="0" xfId="3" applyBorder="1" applyAlignment="1" applyProtection="1">
      <alignment horizontal="left" vertical="center"/>
    </xf>
    <xf numFmtId="0" fontId="21" fillId="0" borderId="0" xfId="0" applyFont="1"/>
    <xf numFmtId="0" fontId="16" fillId="0" borderId="0" xfId="0" applyFont="1" applyAlignment="1">
      <alignment horizontal="right" vertical="center"/>
    </xf>
    <xf numFmtId="0" fontId="3" fillId="0" borderId="0" xfId="0" applyFont="1"/>
    <xf numFmtId="0" fontId="22" fillId="0" borderId="9" xfId="0" applyFont="1" applyBorder="1"/>
    <xf numFmtId="0" fontId="5" fillId="0" borderId="12" xfId="0" applyFont="1" applyBorder="1"/>
    <xf numFmtId="0" fontId="22" fillId="0" borderId="38" xfId="0" applyFont="1" applyBorder="1"/>
    <xf numFmtId="0" fontId="22" fillId="0" borderId="20" xfId="0" applyFont="1" applyBorder="1"/>
    <xf numFmtId="0" fontId="22" fillId="0" borderId="36" xfId="0" applyFont="1" applyBorder="1"/>
    <xf numFmtId="0" fontId="5" fillId="0" borderId="36" xfId="0" applyFont="1" applyBorder="1"/>
    <xf numFmtId="0" fontId="5" fillId="0" borderId="20" xfId="0" applyFont="1" applyBorder="1"/>
    <xf numFmtId="0" fontId="5" fillId="0" borderId="38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42" xfId="0" applyFont="1" applyBorder="1"/>
    <xf numFmtId="0" fontId="5" fillId="0" borderId="3" xfId="0" applyFont="1" applyBorder="1"/>
    <xf numFmtId="0" fontId="5" fillId="0" borderId="4" xfId="0" applyFont="1" applyBorder="1"/>
    <xf numFmtId="0" fontId="4" fillId="0" borderId="39" xfId="0" applyFont="1" applyBorder="1"/>
    <xf numFmtId="10" fontId="22" fillId="0" borderId="20" xfId="2" applyNumberFormat="1" applyFont="1" applyBorder="1" applyProtection="1"/>
    <xf numFmtId="173" fontId="4" fillId="0" borderId="20" xfId="0" applyNumberFormat="1" applyFont="1" applyBorder="1"/>
    <xf numFmtId="0" fontId="22" fillId="0" borderId="39" xfId="0" applyFont="1" applyBorder="1"/>
    <xf numFmtId="9" fontId="22" fillId="0" borderId="20" xfId="2" applyFont="1" applyBorder="1" applyProtection="1"/>
    <xf numFmtId="0" fontId="22" fillId="0" borderId="21" xfId="0" applyFont="1" applyBorder="1"/>
    <xf numFmtId="9" fontId="4" fillId="0" borderId="23" xfId="2" applyFont="1" applyBorder="1" applyProtection="1"/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9" fontId="5" fillId="0" borderId="36" xfId="2" applyFont="1" applyBorder="1" applyProtection="1"/>
    <xf numFmtId="9" fontId="5" fillId="0" borderId="11" xfId="2" applyFont="1" applyBorder="1" applyAlignment="1" applyProtection="1">
      <alignment horizontal="center"/>
    </xf>
    <xf numFmtId="9" fontId="5" fillId="0" borderId="20" xfId="2" applyFont="1" applyBorder="1" applyProtection="1"/>
    <xf numFmtId="0" fontId="5" fillId="0" borderId="44" xfId="0" applyFont="1" applyBorder="1" applyAlignment="1">
      <alignment horizontal="left" vertical="center"/>
    </xf>
    <xf numFmtId="0" fontId="5" fillId="0" borderId="45" xfId="0" applyFont="1" applyBorder="1" applyAlignment="1">
      <alignment horizontal="center" vertical="center"/>
    </xf>
    <xf numFmtId="10" fontId="5" fillId="0" borderId="8" xfId="0" applyNumberFormat="1" applyFont="1" applyBorder="1" applyAlignment="1">
      <alignment horizontal="center" vertical="center"/>
    </xf>
    <xf numFmtId="10" fontId="5" fillId="0" borderId="36" xfId="2" applyNumberFormat="1" applyFont="1" applyBorder="1" applyAlignment="1" applyProtection="1">
      <alignment horizontal="right"/>
    </xf>
    <xf numFmtId="10" fontId="5" fillId="0" borderId="11" xfId="2" applyNumberFormat="1" applyFont="1" applyBorder="1" applyAlignment="1" applyProtection="1">
      <alignment horizontal="right"/>
    </xf>
    <xf numFmtId="10" fontId="5" fillId="0" borderId="20" xfId="2" applyNumberFormat="1" applyFont="1" applyBorder="1" applyAlignment="1" applyProtection="1">
      <alignment horizontal="right"/>
    </xf>
    <xf numFmtId="0" fontId="5" fillId="0" borderId="36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10" fontId="5" fillId="0" borderId="20" xfId="0" applyNumberFormat="1" applyFont="1" applyBorder="1" applyAlignment="1">
      <alignment horizontal="center" vertical="center"/>
    </xf>
    <xf numFmtId="10" fontId="5" fillId="0" borderId="11" xfId="2" applyNumberFormat="1" applyFont="1" applyBorder="1" applyAlignment="1" applyProtection="1">
      <alignment horizontal="center"/>
    </xf>
    <xf numFmtId="10" fontId="5" fillId="0" borderId="20" xfId="2" applyNumberFormat="1" applyFont="1" applyBorder="1" applyProtection="1"/>
    <xf numFmtId="0" fontId="5" fillId="0" borderId="36" xfId="0" applyFont="1" applyBorder="1" applyAlignment="1">
      <alignment horizontal="right"/>
    </xf>
    <xf numFmtId="0" fontId="5" fillId="0" borderId="11" xfId="0" applyFont="1" applyBorder="1" applyAlignment="1">
      <alignment horizontal="center"/>
    </xf>
    <xf numFmtId="0" fontId="5" fillId="0" borderId="37" xfId="0" applyFont="1" applyBorder="1" applyAlignment="1">
      <alignment horizontal="left" vertical="center"/>
    </xf>
    <xf numFmtId="10" fontId="5" fillId="0" borderId="35" xfId="0" applyNumberFormat="1" applyFont="1" applyBorder="1" applyAlignment="1">
      <alignment horizontal="center" vertical="center"/>
    </xf>
    <xf numFmtId="0" fontId="5" fillId="0" borderId="46" xfId="0" applyFont="1" applyBorder="1" applyAlignment="1">
      <alignment vertical="center"/>
    </xf>
    <xf numFmtId="0" fontId="5" fillId="0" borderId="47" xfId="0" applyFont="1" applyBorder="1" applyAlignment="1">
      <alignment vertical="center"/>
    </xf>
    <xf numFmtId="10" fontId="5" fillId="0" borderId="48" xfId="0" applyNumberFormat="1" applyFont="1" applyBorder="1" applyAlignment="1">
      <alignment vertical="center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49" xfId="0" applyFont="1" applyBorder="1" applyAlignment="1">
      <alignment vertical="center"/>
    </xf>
    <xf numFmtId="0" fontId="4" fillId="2" borderId="14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/>
    </xf>
    <xf numFmtId="10" fontId="4" fillId="2" borderId="24" xfId="0" applyNumberFormat="1" applyFont="1" applyFill="1" applyBorder="1" applyAlignment="1">
      <alignment horizontal="center" vertical="center" wrapText="1"/>
    </xf>
    <xf numFmtId="10" fontId="5" fillId="0" borderId="37" xfId="2" applyNumberFormat="1" applyFont="1" applyBorder="1" applyAlignment="1" applyProtection="1">
      <alignment horizontal="right"/>
    </xf>
    <xf numFmtId="10" fontId="5" fillId="0" borderId="13" xfId="2" applyNumberFormat="1" applyFont="1" applyBorder="1" applyAlignment="1" applyProtection="1">
      <alignment horizontal="right"/>
    </xf>
    <xf numFmtId="10" fontId="5" fillId="0" borderId="35" xfId="2" applyNumberFormat="1" applyFont="1" applyBorder="1" applyAlignment="1" applyProtection="1">
      <alignment horizontal="right"/>
    </xf>
    <xf numFmtId="9" fontId="5" fillId="0" borderId="0" xfId="2" applyFont="1" applyBorder="1" applyAlignment="1" applyProtection="1">
      <alignment horizontal="right"/>
    </xf>
    <xf numFmtId="9" fontId="29" fillId="0" borderId="0" xfId="2" applyBorder="1" applyProtection="1"/>
    <xf numFmtId="0" fontId="23" fillId="0" borderId="0" xfId="0" applyFont="1" applyAlignment="1">
      <alignment horizontal="left" vertical="center"/>
    </xf>
    <xf numFmtId="0" fontId="24" fillId="0" borderId="0" xfId="0" applyFont="1"/>
    <xf numFmtId="171" fontId="24" fillId="0" borderId="0" xfId="0" applyNumberFormat="1" applyFont="1"/>
    <xf numFmtId="0" fontId="17" fillId="0" borderId="36" xfId="0" applyFont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2" fontId="16" fillId="8" borderId="11" xfId="0" applyNumberFormat="1" applyFont="1" applyFill="1" applyBorder="1" applyAlignment="1">
      <alignment horizontal="right" vertical="center"/>
    </xf>
    <xf numFmtId="0" fontId="16" fillId="0" borderId="37" xfId="0" applyFont="1" applyBorder="1" applyAlignment="1">
      <alignment horizontal="center" vertical="center"/>
    </xf>
    <xf numFmtId="2" fontId="16" fillId="8" borderId="13" xfId="0" applyNumberFormat="1" applyFont="1" applyFill="1" applyBorder="1" applyAlignment="1">
      <alignment horizontal="right" vertical="center"/>
    </xf>
    <xf numFmtId="0" fontId="15" fillId="7" borderId="50" xfId="0" applyFont="1" applyFill="1" applyBorder="1" applyAlignment="1">
      <alignment horizontal="center"/>
    </xf>
    <xf numFmtId="0" fontId="1" fillId="0" borderId="51" xfId="0" applyFont="1" applyBorder="1"/>
    <xf numFmtId="0" fontId="26" fillId="0" borderId="51" xfId="0" applyFont="1" applyBorder="1" applyAlignment="1">
      <alignment horizontal="justify"/>
    </xf>
    <xf numFmtId="0" fontId="26" fillId="0" borderId="52" xfId="0" applyFont="1" applyBorder="1" applyAlignment="1">
      <alignment horizontal="justify"/>
    </xf>
    <xf numFmtId="164" fontId="3" fillId="0" borderId="18" xfId="1" applyFont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4" fontId="3" fillId="0" borderId="9" xfId="1" applyFont="1" applyBorder="1" applyAlignment="1" applyProtection="1">
      <alignment horizontal="left" vertical="center"/>
    </xf>
    <xf numFmtId="164" fontId="2" fillId="2" borderId="1" xfId="1" applyFont="1" applyFill="1" applyBorder="1" applyAlignment="1" applyProtection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" fillId="2" borderId="4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9" fontId="4" fillId="0" borderId="2" xfId="2" applyFont="1" applyBorder="1" applyAlignment="1" applyProtection="1">
      <alignment horizontal="center"/>
    </xf>
    <xf numFmtId="0" fontId="5" fillId="0" borderId="13" xfId="0" applyFont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B2B2B2"/>
      <rgbColor rgb="FF993366"/>
      <rgbColor rgb="FFEEECE1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133200</xdr:colOff>
      <xdr:row>4</xdr:row>
      <xdr:rowOff>28440</xdr:rowOff>
    </xdr:from>
    <xdr:to>
      <xdr:col>0</xdr:col>
      <xdr:colOff>1415880</xdr:colOff>
      <xdr:row>6</xdr:row>
      <xdr:rowOff>63360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3200" y="733320"/>
          <a:ext cx="1282680" cy="358920"/>
        </a:xfrm>
        <a:prstGeom prst="rect">
          <a:avLst/>
        </a:prstGeom>
        <a:noFill/>
        <a:ln w="0">
          <a:noFill/>
        </a:ln>
      </xdr:spPr>
    </xdr:pic>
    <xdr:clientData/>
  </xdr:twoCellAnchor>
  <xdr:twoCellAnchor>
    <xdr:from>
      <xdr:col>0</xdr:col>
      <xdr:colOff>85680</xdr:colOff>
      <xdr:row>7</xdr:row>
      <xdr:rowOff>9360</xdr:rowOff>
    </xdr:from>
    <xdr:to>
      <xdr:col>0</xdr:col>
      <xdr:colOff>2120760</xdr:colOff>
      <xdr:row>9</xdr:row>
      <xdr:rowOff>53640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680" y="1199880"/>
          <a:ext cx="2035080" cy="368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6"/>
  <sheetViews>
    <sheetView tabSelected="1" view="pageBreakPreview" topLeftCell="A295" zoomScaleNormal="100" workbookViewId="0">
      <selection activeCell="D264" sqref="D264"/>
    </sheetView>
  </sheetViews>
  <sheetFormatPr defaultColWidth="9.140625" defaultRowHeight="12.75" x14ac:dyDescent="0.2"/>
  <cols>
    <col min="1" max="1" width="44.5703125" style="2" customWidth="1"/>
    <col min="2" max="2" width="16" style="2" customWidth="1"/>
    <col min="3" max="3" width="11.85546875" style="2" customWidth="1"/>
    <col min="4" max="4" width="14.7109375" style="3" customWidth="1"/>
    <col min="5" max="5" width="15.42578125" style="3" customWidth="1"/>
    <col min="6" max="6" width="13.28515625" style="3" customWidth="1"/>
    <col min="7" max="7" width="28.140625" style="3" customWidth="1"/>
    <col min="8" max="8" width="9.140625" style="2"/>
    <col min="9" max="9" width="14.5703125" style="2" customWidth="1"/>
    <col min="10" max="10" width="13.42578125" style="2" customWidth="1"/>
    <col min="11" max="16384" width="9.140625" style="2"/>
  </cols>
  <sheetData>
    <row r="1" spans="1:10" x14ac:dyDescent="0.2">
      <c r="B1" s="4"/>
      <c r="C1" s="4"/>
      <c r="D1" s="5"/>
      <c r="E1" s="5"/>
      <c r="F1" s="5"/>
    </row>
    <row r="2" spans="1:10" ht="12.75" customHeight="1" x14ac:dyDescent="0.2">
      <c r="A2" s="257" t="s">
        <v>0</v>
      </c>
      <c r="B2" s="257"/>
      <c r="C2" s="257"/>
      <c r="D2" s="257"/>
      <c r="E2" s="257"/>
      <c r="F2" s="257"/>
    </row>
    <row r="3" spans="1:10" ht="12.75" customHeight="1" x14ac:dyDescent="0.2">
      <c r="A3" s="257"/>
      <c r="B3" s="257"/>
      <c r="C3" s="257"/>
      <c r="D3" s="257"/>
      <c r="E3" s="257"/>
      <c r="F3" s="257"/>
    </row>
    <row r="4" spans="1:10" ht="12.75" customHeight="1" x14ac:dyDescent="0.2">
      <c r="A4" s="257"/>
      <c r="B4" s="257"/>
      <c r="C4" s="257"/>
      <c r="D4" s="257"/>
      <c r="E4" s="257"/>
      <c r="F4" s="257"/>
    </row>
    <row r="5" spans="1:10" x14ac:dyDescent="0.2">
      <c r="B5" s="4"/>
      <c r="C5" s="4"/>
      <c r="D5" s="5"/>
      <c r="E5" s="5"/>
      <c r="F5" s="5"/>
    </row>
    <row r="6" spans="1:10" ht="19.5" customHeight="1" x14ac:dyDescent="0.2">
      <c r="A6" s="258" t="s">
        <v>1</v>
      </c>
      <c r="B6" s="258"/>
      <c r="C6" s="258"/>
      <c r="D6" s="258"/>
      <c r="E6" s="258"/>
      <c r="F6" s="258"/>
    </row>
    <row r="7" spans="1:10" s="6" customFormat="1" ht="27" customHeight="1" x14ac:dyDescent="0.2">
      <c r="A7" s="258"/>
      <c r="B7" s="258"/>
      <c r="C7" s="258"/>
      <c r="D7" s="258"/>
      <c r="E7" s="258"/>
      <c r="F7" s="258"/>
      <c r="G7" s="3"/>
      <c r="H7" s="2"/>
      <c r="I7" s="2"/>
      <c r="J7" s="2"/>
    </row>
    <row r="8" spans="1:10" s="6" customFormat="1" x14ac:dyDescent="0.2">
      <c r="A8" s="7"/>
      <c r="B8" s="4"/>
      <c r="C8" s="4"/>
      <c r="D8" s="5"/>
      <c r="E8" s="5"/>
      <c r="F8" s="8"/>
      <c r="G8" s="3"/>
      <c r="H8" s="2"/>
      <c r="I8" s="2"/>
      <c r="J8" s="2"/>
    </row>
    <row r="9" spans="1:10" s="6" customFormat="1" ht="15" customHeight="1" x14ac:dyDescent="0.2">
      <c r="A9" s="259" t="s">
        <v>2</v>
      </c>
      <c r="B9" s="259"/>
      <c r="C9" s="259"/>
      <c r="D9" s="259"/>
      <c r="E9" s="259"/>
      <c r="F9" s="259"/>
      <c r="G9" s="5"/>
    </row>
    <row r="10" spans="1:10" s="6" customFormat="1" ht="15" customHeight="1" x14ac:dyDescent="0.2">
      <c r="A10" s="9" t="s">
        <v>3</v>
      </c>
      <c r="B10" s="10"/>
      <c r="C10" s="10"/>
      <c r="D10" s="11"/>
      <c r="E10" s="12" t="s">
        <v>4</v>
      </c>
      <c r="F10" s="13" t="s">
        <v>5</v>
      </c>
      <c r="G10" s="5"/>
    </row>
    <row r="11" spans="1:10" s="6" customFormat="1" ht="15" customHeight="1" x14ac:dyDescent="0.2">
      <c r="A11" s="14" t="str">
        <f>A50</f>
        <v>1. Mão-de-obra</v>
      </c>
      <c r="B11" s="15"/>
      <c r="C11" s="16"/>
      <c r="D11" s="16"/>
      <c r="E11" s="17">
        <f>+F165</f>
        <v>84354.224292384286</v>
      </c>
      <c r="F11" s="18">
        <f t="shared" ref="F11:F29" si="0">IFERROR(E11/$E$30,0)</f>
        <v>0.47341281909006766</v>
      </c>
      <c r="G11" s="5"/>
    </row>
    <row r="12" spans="1:10" s="24" customFormat="1" ht="15" customHeight="1" x14ac:dyDescent="0.2">
      <c r="A12" s="19" t="str">
        <f>A52</f>
        <v>1.1. Coletor Turno Dia</v>
      </c>
      <c r="B12" s="20"/>
      <c r="C12" s="21"/>
      <c r="D12" s="21"/>
      <c r="E12" s="22">
        <f>F63</f>
        <v>30498.649519240378</v>
      </c>
      <c r="F12" s="23">
        <f t="shared" si="0"/>
        <v>0.17116453584230357</v>
      </c>
      <c r="G12" s="5"/>
      <c r="H12" s="6"/>
      <c r="I12" s="6"/>
      <c r="J12" s="6"/>
    </row>
    <row r="13" spans="1:10" s="24" customFormat="1" ht="15" customHeight="1" x14ac:dyDescent="0.2">
      <c r="A13" s="19" t="str">
        <f>A65</f>
        <v>1.2. Coletor Turno Noite</v>
      </c>
      <c r="B13" s="20"/>
      <c r="C13" s="21"/>
      <c r="D13" s="21"/>
      <c r="E13" s="22">
        <f>F82</f>
        <v>13493.301513457287</v>
      </c>
      <c r="F13" s="23">
        <f t="shared" si="0"/>
        <v>7.5727113394779999E-2</v>
      </c>
      <c r="G13" s="5"/>
      <c r="H13" s="6"/>
      <c r="I13" s="6"/>
      <c r="J13" s="6"/>
    </row>
    <row r="14" spans="1:10" s="6" customFormat="1" ht="16.5" customHeight="1" x14ac:dyDescent="0.2">
      <c r="A14" s="19" t="str">
        <f>A84</f>
        <v>1.3. Motorista Turno do Dia</v>
      </c>
      <c r="B14" s="20"/>
      <c r="C14" s="21"/>
      <c r="D14" s="21"/>
      <c r="E14" s="22">
        <f>F97</f>
        <v>16403.385895184168</v>
      </c>
      <c r="F14" s="23">
        <f t="shared" si="0"/>
        <v>9.2059090394154525E-2</v>
      </c>
      <c r="G14" s="5"/>
    </row>
    <row r="15" spans="1:10" s="6" customFormat="1" ht="14.25" x14ac:dyDescent="0.2">
      <c r="A15" s="19" t="str">
        <f>A99</f>
        <v>1.4. Motorista Turno Noite</v>
      </c>
      <c r="B15" s="20"/>
      <c r="C15" s="21"/>
      <c r="D15" s="21"/>
      <c r="E15" s="22">
        <f>F118</f>
        <v>5702.6576986539058</v>
      </c>
      <c r="F15" s="23">
        <f t="shared" si="0"/>
        <v>3.2004458343044238E-2</v>
      </c>
      <c r="G15" s="25"/>
      <c r="H15" s="24"/>
      <c r="I15" s="24"/>
      <c r="J15" s="24"/>
    </row>
    <row r="16" spans="1:10" s="26" customFormat="1" ht="17.25" customHeight="1" x14ac:dyDescent="0.2">
      <c r="A16" s="19" t="str">
        <f>A150</f>
        <v>1.7. Vale Transporte</v>
      </c>
      <c r="B16" s="20"/>
      <c r="C16" s="21"/>
      <c r="D16" s="21"/>
      <c r="E16" s="22">
        <f>F156</f>
        <v>1492.5888</v>
      </c>
      <c r="F16" s="23">
        <f t="shared" si="0"/>
        <v>8.3767075979626522E-3</v>
      </c>
      <c r="G16" s="25"/>
      <c r="H16" s="24"/>
      <c r="I16" s="24"/>
      <c r="J16" s="24"/>
    </row>
    <row r="17" spans="1:10" s="6" customFormat="1" ht="15.75" customHeight="1" x14ac:dyDescent="0.2">
      <c r="A17" s="19" t="str">
        <f>A159</f>
        <v>1.8. Auxílio Alimentação (mensal)</v>
      </c>
      <c r="B17" s="20"/>
      <c r="C17" s="21"/>
      <c r="D17" s="21"/>
      <c r="E17" s="22">
        <f>F163</f>
        <v>6020</v>
      </c>
      <c r="F17" s="23">
        <f t="shared" si="0"/>
        <v>3.3785446962844135E-2</v>
      </c>
      <c r="G17" s="5"/>
    </row>
    <row r="18" spans="1:10" s="6" customFormat="1" ht="15.75" customHeight="1" x14ac:dyDescent="0.2">
      <c r="A18" s="260" t="str">
        <f>A167</f>
        <v>2. Uniformes e Equipamentos de Proteção Individual</v>
      </c>
      <c r="B18" s="260"/>
      <c r="C18" s="260"/>
      <c r="D18" s="16"/>
      <c r="E18" s="17">
        <f>+F197</f>
        <v>2010.1366666666668</v>
      </c>
      <c r="F18" s="18">
        <f t="shared" si="0"/>
        <v>1.1281289989989196E-2</v>
      </c>
      <c r="G18" s="5"/>
    </row>
    <row r="19" spans="1:10" s="6" customFormat="1" ht="15.75" customHeight="1" x14ac:dyDescent="0.2">
      <c r="A19" s="1" t="str">
        <f>A199</f>
        <v>3. Veículos e Equipamentos</v>
      </c>
      <c r="B19" s="27"/>
      <c r="C19" s="16"/>
      <c r="D19" s="16"/>
      <c r="E19" s="17">
        <f>F332</f>
        <v>51573.270403921575</v>
      </c>
      <c r="F19" s="18">
        <f t="shared" si="0"/>
        <v>0.28943953354354007</v>
      </c>
      <c r="G19" s="28"/>
      <c r="H19" s="26"/>
      <c r="I19" s="26"/>
      <c r="J19" s="26"/>
    </row>
    <row r="20" spans="1:10" s="6" customFormat="1" ht="15.75" customHeight="1" x14ac:dyDescent="0.2">
      <c r="A20" s="29" t="str">
        <f>A201</f>
        <v>3.1. Veículo Coletor Compactador 15 m³</v>
      </c>
      <c r="B20" s="30"/>
      <c r="C20" s="21"/>
      <c r="D20" s="21"/>
      <c r="E20" s="22">
        <f>SUM(E21:E26)</f>
        <v>48590.72937058824</v>
      </c>
      <c r="F20" s="31">
        <f t="shared" si="0"/>
        <v>0.27270091528835905</v>
      </c>
      <c r="G20" s="5"/>
    </row>
    <row r="21" spans="1:10" s="6" customFormat="1" ht="15.75" customHeight="1" x14ac:dyDescent="0.2">
      <c r="A21" s="29" t="str">
        <f>A203</f>
        <v>3.1.1. Depreciação</v>
      </c>
      <c r="B21" s="30"/>
      <c r="C21" s="21"/>
      <c r="D21" s="21"/>
      <c r="E21" s="22">
        <f>F217</f>
        <v>13168.320000000002</v>
      </c>
      <c r="F21" s="31">
        <f t="shared" si="0"/>
        <v>7.390325198500991E-2</v>
      </c>
      <c r="G21" s="5"/>
    </row>
    <row r="22" spans="1:10" s="6" customFormat="1" ht="15.75" customHeight="1" x14ac:dyDescent="0.2">
      <c r="A22" s="29" t="str">
        <f>A219</f>
        <v>3.1.2. Remuneração do Capital</v>
      </c>
      <c r="B22" s="30"/>
      <c r="C22" s="21"/>
      <c r="D22" s="21"/>
      <c r="E22" s="22">
        <f>F233</f>
        <v>10282.9254</v>
      </c>
      <c r="F22" s="31">
        <f t="shared" si="0"/>
        <v>5.7709838990794481E-2</v>
      </c>
      <c r="G22" s="5"/>
    </row>
    <row r="23" spans="1:10" s="6" customFormat="1" ht="15.75" customHeight="1" x14ac:dyDescent="0.2">
      <c r="A23" s="29" t="str">
        <f>A235</f>
        <v>3.1.3. Impostos e Seguros</v>
      </c>
      <c r="B23" s="30"/>
      <c r="C23" s="21"/>
      <c r="D23" s="21"/>
      <c r="E23" s="22">
        <f>F241</f>
        <v>1423.7475000000002</v>
      </c>
      <c r="F23" s="31">
        <f t="shared" si="0"/>
        <v>7.9903564202212507E-3</v>
      </c>
      <c r="G23" s="5"/>
    </row>
    <row r="24" spans="1:10" s="26" customFormat="1" ht="15.75" customHeight="1" x14ac:dyDescent="0.2">
      <c r="A24" s="29" t="str">
        <f>A243</f>
        <v>3.1.4. Consumos</v>
      </c>
      <c r="B24" s="30"/>
      <c r="C24" s="21"/>
      <c r="D24" s="21"/>
      <c r="E24" s="22">
        <f>F259</f>
        <v>17183.736470588239</v>
      </c>
      <c r="F24" s="31">
        <f t="shared" si="0"/>
        <v>9.6438574277499897E-2</v>
      </c>
      <c r="G24" s="5"/>
      <c r="H24" s="6"/>
      <c r="I24" s="6"/>
      <c r="J24" s="6"/>
    </row>
    <row r="25" spans="1:10" s="26" customFormat="1" ht="15.75" customHeight="1" x14ac:dyDescent="0.2">
      <c r="A25" s="29" t="str">
        <f>A261</f>
        <v>3.1.5. Manutenção</v>
      </c>
      <c r="B25" s="30"/>
      <c r="C25" s="21"/>
      <c r="D25" s="21"/>
      <c r="E25" s="22">
        <f>F264</f>
        <v>4508</v>
      </c>
      <c r="F25" s="31">
        <f t="shared" si="0"/>
        <v>2.5299799818687931E-2</v>
      </c>
      <c r="G25" s="5"/>
      <c r="H25" s="6"/>
      <c r="I25" s="6"/>
      <c r="J25" s="6"/>
    </row>
    <row r="26" spans="1:10" s="6" customFormat="1" ht="15.75" customHeight="1" x14ac:dyDescent="0.2">
      <c r="A26" s="29" t="str">
        <f>A266</f>
        <v>3.1.6. Pneus</v>
      </c>
      <c r="B26" s="30"/>
      <c r="C26" s="21"/>
      <c r="D26" s="21"/>
      <c r="E26" s="22">
        <f>F273</f>
        <v>2024</v>
      </c>
      <c r="F26" s="31">
        <f t="shared" si="0"/>
        <v>1.1359093796145601E-2</v>
      </c>
      <c r="G26" s="5"/>
    </row>
    <row r="27" spans="1:10" s="6" customFormat="1" ht="15.75" customHeight="1" x14ac:dyDescent="0.2">
      <c r="A27" s="1" t="str">
        <f>A334</f>
        <v>4. Ferramentas e Materiais de Consumo</v>
      </c>
      <c r="B27" s="27"/>
      <c r="C27" s="16"/>
      <c r="D27" s="16"/>
      <c r="E27" s="17">
        <f>F346</f>
        <v>1132.8733333333332</v>
      </c>
      <c r="F27" s="18">
        <f t="shared" si="0"/>
        <v>6.3579122788959752E-3</v>
      </c>
      <c r="G27" s="28"/>
      <c r="H27" s="26"/>
      <c r="I27" s="26"/>
      <c r="J27" s="26"/>
    </row>
    <row r="28" spans="1:10" s="6" customFormat="1" ht="15.75" customHeight="1" x14ac:dyDescent="0.2">
      <c r="A28" s="1" t="str">
        <f>A348</f>
        <v>5. Monitoramento da Frota</v>
      </c>
      <c r="B28" s="27"/>
      <c r="C28" s="16"/>
      <c r="D28" s="16"/>
      <c r="E28" s="17">
        <f>F357</f>
        <v>276.66666666666669</v>
      </c>
      <c r="F28" s="18">
        <f t="shared" si="0"/>
        <v>1.5527088028328146E-3</v>
      </c>
      <c r="G28" s="28"/>
      <c r="H28" s="26"/>
      <c r="I28" s="26"/>
      <c r="J28" s="26"/>
    </row>
    <row r="29" spans="1:10" s="6" customFormat="1" ht="15.75" customHeight="1" x14ac:dyDescent="0.2">
      <c r="A29" s="1" t="str">
        <f>A361</f>
        <v>6. Benefícios e Despesas Indiretas - BDI</v>
      </c>
      <c r="B29" s="27"/>
      <c r="C29" s="16"/>
      <c r="D29" s="16"/>
      <c r="E29" s="32">
        <f>F367</f>
        <v>38836.056658860442</v>
      </c>
      <c r="F29" s="18">
        <f t="shared" si="0"/>
        <v>0.21795573629467427</v>
      </c>
      <c r="G29" s="5"/>
    </row>
    <row r="30" spans="1:10" s="6" customFormat="1" ht="15.75" customHeight="1" x14ac:dyDescent="0.2">
      <c r="A30" s="33" t="s">
        <v>6</v>
      </c>
      <c r="B30" s="34"/>
      <c r="C30" s="35"/>
      <c r="D30" s="35"/>
      <c r="E30" s="36">
        <f>E11+E18+E19+E27+E28+E29</f>
        <v>178183.22802183297</v>
      </c>
      <c r="F30" s="37">
        <f>F11+F18+F19+F27+F28+F29</f>
        <v>1</v>
      </c>
      <c r="G30" s="5"/>
    </row>
    <row r="31" spans="1:10" s="6" customFormat="1" ht="15.75" customHeight="1" x14ac:dyDescent="0.2">
      <c r="A31" s="2"/>
      <c r="B31" s="2"/>
      <c r="C31" s="2"/>
      <c r="D31" s="3"/>
      <c r="E31" s="3"/>
      <c r="F31" s="3"/>
      <c r="G31" s="5"/>
    </row>
    <row r="32" spans="1:10" s="26" customFormat="1" ht="15.75" customHeight="1" x14ac:dyDescent="0.2">
      <c r="A32" s="2"/>
      <c r="B32" s="2"/>
      <c r="C32" s="2"/>
      <c r="D32" s="3"/>
      <c r="E32" s="3"/>
      <c r="F32" s="3"/>
      <c r="G32" s="5"/>
      <c r="H32" s="6"/>
      <c r="I32" s="6"/>
      <c r="J32" s="6"/>
    </row>
    <row r="33" spans="1:10" s="26" customFormat="1" ht="15.75" customHeight="1" x14ac:dyDescent="0.2">
      <c r="A33" s="261" t="s">
        <v>7</v>
      </c>
      <c r="B33" s="261"/>
      <c r="C33" s="261"/>
      <c r="D33" s="261"/>
      <c r="E33" s="261"/>
      <c r="F33" s="3"/>
      <c r="G33" s="5"/>
      <c r="H33" s="6"/>
      <c r="I33" s="6"/>
      <c r="J33" s="6"/>
    </row>
    <row r="34" spans="1:10" s="26" customFormat="1" ht="15.75" customHeight="1" x14ac:dyDescent="0.2">
      <c r="A34" s="256" t="s">
        <v>8</v>
      </c>
      <c r="B34" s="256"/>
      <c r="C34" s="256"/>
      <c r="D34" s="256"/>
      <c r="E34" s="38" t="s">
        <v>9</v>
      </c>
      <c r="F34" s="3"/>
      <c r="G34" s="5"/>
      <c r="H34" s="6"/>
      <c r="I34" s="6"/>
      <c r="J34" s="6"/>
    </row>
    <row r="35" spans="1:10" s="6" customFormat="1" ht="15.75" customHeight="1" x14ac:dyDescent="0.2">
      <c r="A35" s="39" t="str">
        <f>+A52</f>
        <v>1.1. Coletor Turno Dia</v>
      </c>
      <c r="B35" s="40"/>
      <c r="C35" s="40"/>
      <c r="D35" s="41"/>
      <c r="E35" s="42">
        <v>7</v>
      </c>
      <c r="F35" s="3"/>
      <c r="G35" s="5"/>
    </row>
    <row r="36" spans="1:10" s="6" customFormat="1" ht="15.75" customHeight="1" x14ac:dyDescent="0.2">
      <c r="A36" s="43" t="str">
        <f>+A65</f>
        <v>1.2. Coletor Turno Noite</v>
      </c>
      <c r="B36" s="44"/>
      <c r="C36" s="44"/>
      <c r="D36" s="45"/>
      <c r="E36" s="46">
        <v>3</v>
      </c>
      <c r="F36" s="3"/>
      <c r="G36" s="28"/>
      <c r="H36" s="26"/>
      <c r="I36" s="26"/>
      <c r="J36" s="26"/>
    </row>
    <row r="37" spans="1:10" s="6" customFormat="1" ht="15.75" customHeight="1" x14ac:dyDescent="0.2">
      <c r="A37" s="43" t="str">
        <f>+A84</f>
        <v>1.3. Motorista Turno do Dia</v>
      </c>
      <c r="B37" s="44"/>
      <c r="C37" s="44"/>
      <c r="D37" s="45"/>
      <c r="E37" s="46">
        <v>3</v>
      </c>
      <c r="F37" s="3"/>
      <c r="G37" s="28"/>
      <c r="H37" s="26"/>
      <c r="I37" s="26"/>
      <c r="J37" s="26"/>
    </row>
    <row r="38" spans="1:10" ht="15.75" customHeight="1" x14ac:dyDescent="0.2">
      <c r="A38" s="43" t="str">
        <f>A99</f>
        <v>1.4. Motorista Turno Noite</v>
      </c>
      <c r="B38" s="44"/>
      <c r="C38" s="44"/>
      <c r="D38" s="45"/>
      <c r="E38" s="46">
        <v>1</v>
      </c>
      <c r="G38" s="28"/>
      <c r="H38" s="26"/>
      <c r="I38" s="26"/>
      <c r="J38" s="26"/>
    </row>
    <row r="39" spans="1:10" ht="15.75" customHeight="1" x14ac:dyDescent="0.2">
      <c r="A39" s="43" t="str">
        <f>A120</f>
        <v>1.5. Encarregado/Fiscal</v>
      </c>
      <c r="B39" s="44"/>
      <c r="C39" s="44"/>
      <c r="D39" s="45"/>
      <c r="E39" s="46">
        <v>1</v>
      </c>
      <c r="G39" s="28"/>
      <c r="H39" s="26"/>
      <c r="I39" s="26"/>
      <c r="J39" s="26"/>
    </row>
    <row r="40" spans="1:10" s="6" customFormat="1" ht="15.75" customHeight="1" x14ac:dyDescent="0.2">
      <c r="A40" s="43" t="str">
        <f>A135</f>
        <v>1.6. Auxiliar administrativo</v>
      </c>
      <c r="B40" s="44"/>
      <c r="C40" s="44"/>
      <c r="D40" s="45"/>
      <c r="E40" s="46">
        <v>1</v>
      </c>
      <c r="F40" s="3"/>
      <c r="G40" s="28"/>
      <c r="H40" s="26"/>
      <c r="I40" s="26"/>
      <c r="J40" s="26"/>
    </row>
    <row r="41" spans="1:10" s="6" customFormat="1" ht="15.75" customHeight="1" x14ac:dyDescent="0.2">
      <c r="A41" s="47" t="s">
        <v>10</v>
      </c>
      <c r="B41" s="48"/>
      <c r="C41" s="48"/>
      <c r="D41" s="49"/>
      <c r="E41" s="50">
        <f>SUM(E35:E40)</f>
        <v>16</v>
      </c>
      <c r="F41" s="3"/>
      <c r="G41" s="5"/>
    </row>
    <row r="42" spans="1:10" s="6" customFormat="1" x14ac:dyDescent="0.2">
      <c r="A42" s="51"/>
      <c r="B42" s="52"/>
      <c r="C42" s="3"/>
      <c r="D42" s="3"/>
      <c r="E42" s="53"/>
      <c r="F42" s="3"/>
      <c r="G42" s="3"/>
      <c r="H42" s="2"/>
      <c r="I42" s="2"/>
      <c r="J42" s="2"/>
    </row>
    <row r="43" spans="1:10" s="6" customFormat="1" x14ac:dyDescent="0.2">
      <c r="A43" s="256" t="s">
        <v>11</v>
      </c>
      <c r="B43" s="256"/>
      <c r="C43" s="256"/>
      <c r="D43" s="256"/>
      <c r="E43" s="38" t="s">
        <v>9</v>
      </c>
      <c r="F43" s="3"/>
      <c r="G43" s="3"/>
      <c r="H43" s="2"/>
      <c r="I43" s="2"/>
      <c r="J43" s="2"/>
    </row>
    <row r="44" spans="1:10" s="6" customFormat="1" x14ac:dyDescent="0.2">
      <c r="A44" s="39" t="str">
        <f>A201</f>
        <v>3.1. Veículo Coletor Compactador 15 m³</v>
      </c>
      <c r="B44" s="40"/>
      <c r="C44" s="40"/>
      <c r="D44" s="41"/>
      <c r="E44" s="42">
        <v>3</v>
      </c>
      <c r="F44" s="3"/>
      <c r="G44" s="3"/>
      <c r="H44" s="2"/>
      <c r="I44" s="2"/>
      <c r="J44" s="2"/>
    </row>
    <row r="45" spans="1:10" s="6" customFormat="1" x14ac:dyDescent="0.2">
      <c r="A45" s="43" t="str">
        <f>A277</f>
        <v>3.2. Veículo Utilitário - Veículo de apoio</v>
      </c>
      <c r="B45" s="44"/>
      <c r="C45" s="44"/>
      <c r="D45" s="45"/>
      <c r="E45" s="46">
        <v>1</v>
      </c>
      <c r="F45" s="3"/>
      <c r="G45" s="3"/>
      <c r="H45" s="2"/>
      <c r="I45" s="2"/>
      <c r="J45" s="2"/>
    </row>
    <row r="46" spans="1:10" s="6" customFormat="1" x14ac:dyDescent="0.2">
      <c r="A46" s="47" t="s">
        <v>12</v>
      </c>
      <c r="B46" s="48"/>
      <c r="C46" s="48"/>
      <c r="D46" s="49"/>
      <c r="E46" s="50">
        <f>SUM(E44:E45)</f>
        <v>4</v>
      </c>
      <c r="F46" s="3"/>
      <c r="G46" s="3"/>
      <c r="H46" s="2"/>
      <c r="I46" s="2"/>
      <c r="J46" s="2"/>
    </row>
    <row r="47" spans="1:10" s="6" customFormat="1" ht="15" customHeight="1" x14ac:dyDescent="0.2">
      <c r="A47" s="3"/>
      <c r="B47" s="3"/>
      <c r="C47" s="3"/>
      <c r="D47" s="2"/>
      <c r="E47" s="54"/>
      <c r="F47" s="2"/>
      <c r="G47" s="5"/>
    </row>
    <row r="48" spans="1:10" s="6" customFormat="1" ht="15" customHeight="1" x14ac:dyDescent="0.2">
      <c r="A48" s="55" t="s">
        <v>13</v>
      </c>
      <c r="B48" s="56">
        <v>1</v>
      </c>
      <c r="C48" s="28"/>
      <c r="D48" s="26"/>
      <c r="E48" s="57"/>
      <c r="F48" s="26"/>
      <c r="G48" s="5"/>
    </row>
    <row r="49" spans="1:10" s="6" customFormat="1" ht="15" customHeight="1" x14ac:dyDescent="0.2">
      <c r="A49" s="3"/>
      <c r="B49" s="3"/>
      <c r="C49" s="3"/>
      <c r="D49" s="2"/>
      <c r="E49" s="54"/>
      <c r="F49" s="2"/>
      <c r="G49" s="5"/>
    </row>
    <row r="50" spans="1:10" s="6" customFormat="1" ht="15" customHeight="1" x14ac:dyDescent="0.2">
      <c r="A50" s="26" t="s">
        <v>14</v>
      </c>
      <c r="B50" s="2"/>
      <c r="C50" s="2"/>
      <c r="D50" s="3"/>
      <c r="E50" s="3"/>
      <c r="F50" s="3"/>
      <c r="G50" s="5"/>
    </row>
    <row r="51" spans="1:10" s="6" customFormat="1" ht="15" customHeight="1" x14ac:dyDescent="0.2">
      <c r="A51" s="2"/>
      <c r="B51" s="2"/>
      <c r="C51" s="2"/>
      <c r="D51" s="3"/>
      <c r="E51" s="3"/>
      <c r="F51" s="3"/>
      <c r="G51" s="5"/>
    </row>
    <row r="52" spans="1:10" s="6" customFormat="1" ht="15" customHeight="1" x14ac:dyDescent="0.2">
      <c r="A52" s="2" t="s">
        <v>15</v>
      </c>
      <c r="B52" s="2"/>
      <c r="C52" s="2"/>
      <c r="D52" s="3"/>
      <c r="E52" s="3"/>
      <c r="F52" s="3"/>
      <c r="G52" s="5"/>
    </row>
    <row r="53" spans="1:10" s="26" customFormat="1" ht="15" customHeight="1" x14ac:dyDescent="0.2">
      <c r="A53" s="58" t="s">
        <v>16</v>
      </c>
      <c r="B53" s="59" t="s">
        <v>17</v>
      </c>
      <c r="C53" s="59" t="s">
        <v>9</v>
      </c>
      <c r="D53" s="60" t="s">
        <v>18</v>
      </c>
      <c r="E53" s="60" t="s">
        <v>19</v>
      </c>
      <c r="F53" s="61" t="s">
        <v>20</v>
      </c>
      <c r="G53" s="5"/>
      <c r="H53" s="6"/>
      <c r="I53" s="6"/>
      <c r="J53" s="6"/>
    </row>
    <row r="54" spans="1:10" s="6" customFormat="1" ht="15" customHeight="1" x14ac:dyDescent="0.2">
      <c r="A54" s="62" t="s">
        <v>21</v>
      </c>
      <c r="B54" s="63" t="s">
        <v>22</v>
      </c>
      <c r="C54" s="63">
        <v>1</v>
      </c>
      <c r="D54" s="64">
        <v>1731.4</v>
      </c>
      <c r="E54" s="64">
        <f>C54*D54</f>
        <v>1731.4</v>
      </c>
      <c r="F54" s="3"/>
      <c r="G54" s="5"/>
    </row>
    <row r="55" spans="1:10" ht="15" customHeight="1" x14ac:dyDescent="0.2">
      <c r="A55" s="65" t="s">
        <v>23</v>
      </c>
      <c r="B55" s="66" t="s">
        <v>24</v>
      </c>
      <c r="C55" s="67">
        <v>0</v>
      </c>
      <c r="D55" s="68">
        <f>D54/220*2</f>
        <v>15.74</v>
      </c>
      <c r="E55" s="68">
        <f>C55*D55</f>
        <v>0</v>
      </c>
      <c r="G55" s="5"/>
      <c r="H55" s="6"/>
      <c r="I55" s="6"/>
      <c r="J55" s="6"/>
    </row>
    <row r="56" spans="1:10" x14ac:dyDescent="0.2">
      <c r="A56" s="65" t="s">
        <v>25</v>
      </c>
      <c r="B56" s="66" t="s">
        <v>24</v>
      </c>
      <c r="C56" s="67">
        <v>8</v>
      </c>
      <c r="D56" s="68">
        <f>D54/220*1.5</f>
        <v>11.805</v>
      </c>
      <c r="E56" s="68">
        <f>C56*D56</f>
        <v>94.44</v>
      </c>
      <c r="G56" s="5"/>
      <c r="H56" s="6"/>
      <c r="I56" s="6"/>
      <c r="J56" s="6"/>
    </row>
    <row r="57" spans="1:10" ht="15.75" customHeight="1" x14ac:dyDescent="0.2">
      <c r="A57" s="65" t="s">
        <v>26</v>
      </c>
      <c r="B57" s="66" t="s">
        <v>27</v>
      </c>
      <c r="D57" s="68">
        <f>63/302*(SUM(E55:E56))</f>
        <v>19.701059602649007</v>
      </c>
      <c r="E57" s="68">
        <f>D57</f>
        <v>19.701059602649007</v>
      </c>
      <c r="G57" s="28"/>
      <c r="H57" s="26"/>
      <c r="I57" s="26"/>
      <c r="J57" s="26"/>
    </row>
    <row r="58" spans="1:10" ht="15.75" customHeight="1" x14ac:dyDescent="0.2">
      <c r="A58" s="65" t="s">
        <v>28</v>
      </c>
      <c r="B58" s="66" t="s">
        <v>5</v>
      </c>
      <c r="C58" s="66">
        <v>40</v>
      </c>
      <c r="D58" s="68">
        <v>1518</v>
      </c>
      <c r="E58" s="68">
        <f>C58*D58/100</f>
        <v>607.20000000000005</v>
      </c>
      <c r="G58" s="5"/>
      <c r="H58" s="6"/>
      <c r="I58" s="6"/>
      <c r="J58" s="6"/>
    </row>
    <row r="59" spans="1:10" ht="12.75" customHeight="1" x14ac:dyDescent="0.2">
      <c r="A59" s="69" t="s">
        <v>29</v>
      </c>
      <c r="B59" s="70"/>
      <c r="C59" s="70"/>
      <c r="D59" s="71"/>
      <c r="E59" s="72">
        <f>SUM(E54:E58)</f>
        <v>2452.7410596026493</v>
      </c>
    </row>
    <row r="60" spans="1:10" ht="11.25" customHeight="1" x14ac:dyDescent="0.2">
      <c r="A60" s="65" t="s">
        <v>30</v>
      </c>
      <c r="B60" s="66" t="s">
        <v>5</v>
      </c>
      <c r="C60" s="68">
        <f>'2.Encargos Sociais'!$C$34*100</f>
        <v>77.635952000000017</v>
      </c>
      <c r="D60" s="68">
        <f>E59</f>
        <v>2452.7410596026493</v>
      </c>
      <c r="E60" s="68">
        <f>D60*C60/100</f>
        <v>1904.2088717174047</v>
      </c>
    </row>
    <row r="61" spans="1:10" ht="13.5" customHeight="1" x14ac:dyDescent="0.2">
      <c r="A61" s="69" t="s">
        <v>31</v>
      </c>
      <c r="B61" s="70"/>
      <c r="C61" s="70"/>
      <c r="D61" s="71"/>
      <c r="E61" s="72">
        <f>E59+E60</f>
        <v>4356.949931320054</v>
      </c>
    </row>
    <row r="62" spans="1:10" ht="13.5" customHeight="1" x14ac:dyDescent="0.2">
      <c r="A62" s="65" t="s">
        <v>32</v>
      </c>
      <c r="B62" s="66" t="s">
        <v>33</v>
      </c>
      <c r="C62" s="73">
        <f>E35</f>
        <v>7</v>
      </c>
      <c r="D62" s="68">
        <f>E61</f>
        <v>4356.949931320054</v>
      </c>
      <c r="E62" s="68">
        <f>C62*D62</f>
        <v>30498.649519240378</v>
      </c>
    </row>
    <row r="63" spans="1:10" ht="12.75" customHeight="1" x14ac:dyDescent="0.2">
      <c r="D63" s="74" t="s">
        <v>34</v>
      </c>
      <c r="E63" s="75">
        <f>$B$48</f>
        <v>1</v>
      </c>
      <c r="F63" s="76">
        <f>E62*E63</f>
        <v>30498.649519240378</v>
      </c>
    </row>
    <row r="65" spans="1:10" ht="12.75" customHeight="1" x14ac:dyDescent="0.2">
      <c r="A65" s="2" t="s">
        <v>35</v>
      </c>
    </row>
    <row r="66" spans="1:10" ht="12.75" customHeight="1" x14ac:dyDescent="0.2">
      <c r="A66" s="58" t="s">
        <v>16</v>
      </c>
      <c r="B66" s="59" t="s">
        <v>17</v>
      </c>
      <c r="C66" s="59" t="s">
        <v>9</v>
      </c>
      <c r="D66" s="60" t="s">
        <v>18</v>
      </c>
      <c r="E66" s="60" t="s">
        <v>19</v>
      </c>
      <c r="F66" s="61" t="s">
        <v>20</v>
      </c>
    </row>
    <row r="67" spans="1:10" x14ac:dyDescent="0.2">
      <c r="A67" s="62" t="s">
        <v>21</v>
      </c>
      <c r="B67" s="63" t="s">
        <v>22</v>
      </c>
      <c r="C67" s="63">
        <v>1</v>
      </c>
      <c r="D67" s="64">
        <f>D54</f>
        <v>1731.4</v>
      </c>
      <c r="E67" s="64">
        <f>C67*D67</f>
        <v>1731.4</v>
      </c>
    </row>
    <row r="68" spans="1:10" x14ac:dyDescent="0.2">
      <c r="A68" s="65" t="s">
        <v>36</v>
      </c>
      <c r="B68" s="66" t="s">
        <v>37</v>
      </c>
      <c r="C68" s="67">
        <v>52</v>
      </c>
      <c r="D68" s="68"/>
      <c r="E68" s="68"/>
    </row>
    <row r="69" spans="1:10" x14ac:dyDescent="0.2">
      <c r="A69" s="65"/>
      <c r="B69" s="66" t="s">
        <v>38</v>
      </c>
      <c r="C69" s="77">
        <f>C68*8/7</f>
        <v>59.428571428571431</v>
      </c>
      <c r="D69" s="68">
        <f>D67/220*0.2</f>
        <v>1.5740000000000001</v>
      </c>
      <c r="E69" s="68">
        <f>C69*D69</f>
        <v>93.54057142857144</v>
      </c>
    </row>
    <row r="70" spans="1:10" x14ac:dyDescent="0.2">
      <c r="A70" s="65" t="s">
        <v>23</v>
      </c>
      <c r="B70" s="66" t="s">
        <v>24</v>
      </c>
      <c r="C70" s="67">
        <v>3</v>
      </c>
      <c r="D70" s="68">
        <f>D67/220*2</f>
        <v>15.74</v>
      </c>
      <c r="E70" s="68">
        <f>C70*D70</f>
        <v>47.22</v>
      </c>
    </row>
    <row r="71" spans="1:10" x14ac:dyDescent="0.2">
      <c r="A71" s="65" t="s">
        <v>39</v>
      </c>
      <c r="B71" s="66" t="s">
        <v>37</v>
      </c>
      <c r="C71" s="67"/>
      <c r="D71" s="68"/>
      <c r="E71" s="68"/>
      <c r="G71" s="5"/>
    </row>
    <row r="72" spans="1:10" ht="13.5" customHeight="1" x14ac:dyDescent="0.2">
      <c r="A72" s="65"/>
      <c r="B72" s="66" t="s">
        <v>38</v>
      </c>
      <c r="C72" s="77">
        <f>C71*8/7</f>
        <v>0</v>
      </c>
      <c r="D72" s="68">
        <f>D67/220*2*1.2</f>
        <v>18.887999999999998</v>
      </c>
      <c r="E72" s="68">
        <f>C72*D72</f>
        <v>0</v>
      </c>
      <c r="G72" s="5"/>
    </row>
    <row r="73" spans="1:10" ht="11.25" customHeight="1" x14ac:dyDescent="0.2">
      <c r="A73" s="65" t="s">
        <v>25</v>
      </c>
      <c r="B73" s="66" t="s">
        <v>24</v>
      </c>
      <c r="C73" s="67">
        <v>3</v>
      </c>
      <c r="D73" s="68">
        <f>D67/220*1.5</f>
        <v>11.805</v>
      </c>
      <c r="E73" s="68">
        <f>C73*D73</f>
        <v>35.414999999999999</v>
      </c>
    </row>
    <row r="74" spans="1:10" x14ac:dyDescent="0.2">
      <c r="A74" s="65" t="s">
        <v>40</v>
      </c>
      <c r="B74" s="66" t="s">
        <v>37</v>
      </c>
      <c r="C74" s="67"/>
      <c r="D74" s="68"/>
      <c r="E74" s="68"/>
    </row>
    <row r="75" spans="1:10" x14ac:dyDescent="0.2">
      <c r="A75" s="65"/>
      <c r="B75" s="66" t="s">
        <v>38</v>
      </c>
      <c r="C75" s="68">
        <f>C74*8/7</f>
        <v>0</v>
      </c>
      <c r="D75" s="68">
        <f>D67/220*1.5*1.2</f>
        <v>14.165999999999999</v>
      </c>
      <c r="E75" s="68">
        <f>C75*D75</f>
        <v>0</v>
      </c>
    </row>
    <row r="76" spans="1:10" s="78" customFormat="1" x14ac:dyDescent="0.2">
      <c r="A76" s="65" t="s">
        <v>26</v>
      </c>
      <c r="B76" s="66" t="s">
        <v>27</v>
      </c>
      <c r="C76" s="2"/>
      <c r="D76" s="68">
        <f>63/302*(SUM(E70:E75))</f>
        <v>17.238427152317879</v>
      </c>
      <c r="E76" s="68">
        <f>D76</f>
        <v>17.238427152317879</v>
      </c>
      <c r="F76" s="3"/>
      <c r="G76" s="3"/>
      <c r="H76" s="2"/>
      <c r="I76" s="2"/>
      <c r="J76" s="2"/>
    </row>
    <row r="77" spans="1:10" x14ac:dyDescent="0.2">
      <c r="A77" s="65" t="s">
        <v>28</v>
      </c>
      <c r="B77" s="66" t="s">
        <v>5</v>
      </c>
      <c r="C77" s="66">
        <f>+C58</f>
        <v>40</v>
      </c>
      <c r="D77" s="68">
        <v>1518</v>
      </c>
      <c r="E77" s="68">
        <f>C77*D77/100</f>
        <v>607.20000000000005</v>
      </c>
    </row>
    <row r="78" spans="1:10" x14ac:dyDescent="0.2">
      <c r="A78" s="69" t="s">
        <v>29</v>
      </c>
      <c r="B78" s="70"/>
      <c r="C78" s="70"/>
      <c r="D78" s="71"/>
      <c r="E78" s="72">
        <f>SUM(E67:E77)</f>
        <v>2532.0139985808892</v>
      </c>
    </row>
    <row r="79" spans="1:10" x14ac:dyDescent="0.2">
      <c r="A79" s="65" t="s">
        <v>30</v>
      </c>
      <c r="B79" s="66" t="s">
        <v>5</v>
      </c>
      <c r="C79" s="68">
        <f>'2.Encargos Sociais'!$C$34*100</f>
        <v>77.635952000000017</v>
      </c>
      <c r="D79" s="68">
        <f>E78</f>
        <v>2532.0139985808892</v>
      </c>
      <c r="E79" s="68">
        <f>D79*C79/100</f>
        <v>1965.7531725715403</v>
      </c>
    </row>
    <row r="80" spans="1:10" x14ac:dyDescent="0.2">
      <c r="A80" s="69" t="s">
        <v>31</v>
      </c>
      <c r="B80" s="70"/>
      <c r="C80" s="70"/>
      <c r="D80" s="71"/>
      <c r="E80" s="72">
        <f>E78+E79</f>
        <v>4497.767171152429</v>
      </c>
    </row>
    <row r="81" spans="1:10" x14ac:dyDescent="0.2">
      <c r="A81" s="65" t="s">
        <v>32</v>
      </c>
      <c r="B81" s="66" t="s">
        <v>33</v>
      </c>
      <c r="C81" s="79">
        <f>E36</f>
        <v>3</v>
      </c>
      <c r="D81" s="68">
        <f>E80</f>
        <v>4497.767171152429</v>
      </c>
      <c r="E81" s="68">
        <f>C81*D81</f>
        <v>13493.301513457287</v>
      </c>
    </row>
    <row r="82" spans="1:10" x14ac:dyDescent="0.2">
      <c r="D82" s="74" t="s">
        <v>34</v>
      </c>
      <c r="E82" s="75">
        <f>$B$48</f>
        <v>1</v>
      </c>
      <c r="F82" s="76">
        <f>E81*E82</f>
        <v>13493.301513457287</v>
      </c>
    </row>
    <row r="84" spans="1:10" s="26" customFormat="1" x14ac:dyDescent="0.2">
      <c r="A84" s="2" t="s">
        <v>41</v>
      </c>
      <c r="B84" s="2"/>
      <c r="C84" s="2"/>
      <c r="D84" s="3"/>
      <c r="E84" s="3"/>
      <c r="F84" s="3"/>
      <c r="G84" s="3"/>
      <c r="H84" s="2"/>
      <c r="I84" s="2"/>
      <c r="J84" s="2"/>
    </row>
    <row r="85" spans="1:10" ht="12.75" customHeight="1" x14ac:dyDescent="0.2">
      <c r="A85" s="58" t="s">
        <v>16</v>
      </c>
      <c r="B85" s="59" t="s">
        <v>17</v>
      </c>
      <c r="C85" s="59" t="s">
        <v>9</v>
      </c>
      <c r="D85" s="60" t="s">
        <v>18</v>
      </c>
      <c r="E85" s="60" t="s">
        <v>19</v>
      </c>
      <c r="F85" s="61" t="s">
        <v>20</v>
      </c>
    </row>
    <row r="86" spans="1:10" s="26" customFormat="1" x14ac:dyDescent="0.2">
      <c r="A86" s="62" t="s">
        <v>42</v>
      </c>
      <c r="B86" s="63" t="s">
        <v>22</v>
      </c>
      <c r="C86" s="63">
        <v>1</v>
      </c>
      <c r="D86" s="64">
        <v>2584.12</v>
      </c>
      <c r="E86" s="64">
        <f>C86*D86</f>
        <v>2584.12</v>
      </c>
      <c r="F86" s="3"/>
      <c r="G86" s="3"/>
      <c r="H86" s="2"/>
      <c r="I86" s="2"/>
      <c r="J86" s="2"/>
    </row>
    <row r="87" spans="1:10" x14ac:dyDescent="0.2">
      <c r="A87" s="62" t="s">
        <v>43</v>
      </c>
      <c r="B87" s="63" t="s">
        <v>22</v>
      </c>
      <c r="C87" s="63">
        <v>1</v>
      </c>
      <c r="D87" s="64">
        <v>1518</v>
      </c>
      <c r="E87" s="64"/>
    </row>
    <row r="88" spans="1:10" x14ac:dyDescent="0.2">
      <c r="A88" s="65" t="s">
        <v>23</v>
      </c>
      <c r="B88" s="66" t="s">
        <v>24</v>
      </c>
      <c r="C88" s="67">
        <v>0</v>
      </c>
      <c r="D88" s="68">
        <f>D86/220*2</f>
        <v>23.491999999999997</v>
      </c>
      <c r="E88" s="68">
        <f>C88*D88</f>
        <v>0</v>
      </c>
    </row>
    <row r="89" spans="1:10" x14ac:dyDescent="0.2">
      <c r="A89" s="65" t="s">
        <v>25</v>
      </c>
      <c r="B89" s="66" t="s">
        <v>24</v>
      </c>
      <c r="C89" s="67">
        <v>8</v>
      </c>
      <c r="D89" s="68">
        <f>D86/220*1.5</f>
        <v>17.619</v>
      </c>
      <c r="E89" s="68">
        <f>C89*D89</f>
        <v>140.952</v>
      </c>
    </row>
    <row r="90" spans="1:10" x14ac:dyDescent="0.2">
      <c r="A90" s="65" t="s">
        <v>26</v>
      </c>
      <c r="B90" s="66" t="s">
        <v>27</v>
      </c>
      <c r="D90" s="68">
        <f>63/302*(SUM(E88:E89))</f>
        <v>29.4038940397351</v>
      </c>
      <c r="E90" s="68">
        <f>D90</f>
        <v>29.4038940397351</v>
      </c>
    </row>
    <row r="91" spans="1:10" x14ac:dyDescent="0.2">
      <c r="A91" s="65" t="s">
        <v>44</v>
      </c>
      <c r="B91" s="66"/>
      <c r="C91" s="79">
        <v>1</v>
      </c>
      <c r="D91" s="68"/>
      <c r="E91" s="68"/>
    </row>
    <row r="92" spans="1:10" ht="11.25" customHeight="1" x14ac:dyDescent="0.2">
      <c r="A92" s="65" t="s">
        <v>28</v>
      </c>
      <c r="B92" s="66" t="s">
        <v>5</v>
      </c>
      <c r="C92" s="66">
        <v>20</v>
      </c>
      <c r="D92" s="68">
        <f>IF(C91=2,SUM(E86:E90),IF(C91=1,(SUM(E86:E90))*D87/D86,0))</f>
        <v>1618.0728476821193</v>
      </c>
      <c r="E92" s="68">
        <f>C92*D92/100</f>
        <v>323.61456953642386</v>
      </c>
    </row>
    <row r="93" spans="1:10" x14ac:dyDescent="0.2">
      <c r="A93" s="80" t="s">
        <v>29</v>
      </c>
      <c r="B93" s="70"/>
      <c r="C93" s="70"/>
      <c r="D93" s="71"/>
      <c r="E93" s="81">
        <f>SUM(E86:E92)</f>
        <v>3078.090463576159</v>
      </c>
      <c r="F93" s="28"/>
    </row>
    <row r="94" spans="1:10" ht="12.75" customHeight="1" x14ac:dyDescent="0.2">
      <c r="A94" s="65" t="s">
        <v>30</v>
      </c>
      <c r="B94" s="66" t="s">
        <v>5</v>
      </c>
      <c r="C94" s="68">
        <f>'2.Encargos Sociais'!$C$34*100</f>
        <v>77.635952000000017</v>
      </c>
      <c r="D94" s="68">
        <f>E93</f>
        <v>3078.090463576159</v>
      </c>
      <c r="E94" s="68">
        <f>D94*C94/100</f>
        <v>2389.7048348185649</v>
      </c>
      <c r="H94" s="78"/>
      <c r="I94" s="78"/>
      <c r="J94" s="78"/>
    </row>
    <row r="95" spans="1:10" x14ac:dyDescent="0.2">
      <c r="A95" s="80" t="s">
        <v>45</v>
      </c>
      <c r="B95" s="82"/>
      <c r="C95" s="82"/>
      <c r="D95" s="83"/>
      <c r="E95" s="81">
        <f>E93+E94</f>
        <v>5467.7952983947234</v>
      </c>
      <c r="F95" s="28"/>
    </row>
    <row r="96" spans="1:10" x14ac:dyDescent="0.2">
      <c r="A96" s="65" t="s">
        <v>32</v>
      </c>
      <c r="B96" s="66" t="s">
        <v>33</v>
      </c>
      <c r="C96" s="73">
        <v>3</v>
      </c>
      <c r="D96" s="68">
        <f>E95</f>
        <v>5467.7952983947234</v>
      </c>
      <c r="E96" s="68">
        <f>C96*D96</f>
        <v>16403.385895184168</v>
      </c>
    </row>
    <row r="97" spans="1:10" x14ac:dyDescent="0.2">
      <c r="D97" s="74" t="s">
        <v>34</v>
      </c>
      <c r="E97" s="75">
        <f>$B$48</f>
        <v>1</v>
      </c>
      <c r="F97" s="76">
        <f>E96*E97</f>
        <v>16403.385895184168</v>
      </c>
    </row>
    <row r="99" spans="1:10" ht="12.75" customHeight="1" x14ac:dyDescent="0.2">
      <c r="A99" s="2" t="s">
        <v>46</v>
      </c>
    </row>
    <row r="100" spans="1:10" x14ac:dyDescent="0.2">
      <c r="A100" s="58" t="s">
        <v>16</v>
      </c>
      <c r="B100" s="59" t="s">
        <v>17</v>
      </c>
      <c r="C100" s="59" t="s">
        <v>9</v>
      </c>
      <c r="D100" s="60" t="s">
        <v>18</v>
      </c>
      <c r="E100" s="60" t="s">
        <v>19</v>
      </c>
      <c r="F100" s="61" t="s">
        <v>20</v>
      </c>
    </row>
    <row r="101" spans="1:10" x14ac:dyDescent="0.2">
      <c r="A101" s="62" t="s">
        <v>42</v>
      </c>
      <c r="B101" s="63" t="s">
        <v>22</v>
      </c>
      <c r="C101" s="63">
        <v>1</v>
      </c>
      <c r="D101" s="64">
        <f>D86</f>
        <v>2584.12</v>
      </c>
      <c r="E101" s="64">
        <f>C101*D101</f>
        <v>2584.12</v>
      </c>
    </row>
    <row r="102" spans="1:10" x14ac:dyDescent="0.2">
      <c r="A102" s="62" t="s">
        <v>43</v>
      </c>
      <c r="B102" s="63" t="s">
        <v>22</v>
      </c>
      <c r="C102" s="63">
        <v>1</v>
      </c>
      <c r="D102" s="68">
        <f>D87</f>
        <v>1518</v>
      </c>
      <c r="E102" s="68"/>
      <c r="G102" s="28"/>
      <c r="H102" s="26"/>
      <c r="I102" s="26"/>
      <c r="J102" s="26"/>
    </row>
    <row r="103" spans="1:10" x14ac:dyDescent="0.2">
      <c r="A103" s="65" t="s">
        <v>36</v>
      </c>
      <c r="B103" s="66" t="s">
        <v>37</v>
      </c>
      <c r="C103" s="67">
        <v>52</v>
      </c>
      <c r="D103" s="65"/>
      <c r="E103" s="65"/>
    </row>
    <row r="104" spans="1:10" x14ac:dyDescent="0.2">
      <c r="A104" s="65"/>
      <c r="B104" s="66" t="s">
        <v>38</v>
      </c>
      <c r="C104" s="68">
        <f>C103*8/7</f>
        <v>59.428571428571431</v>
      </c>
      <c r="D104" s="68">
        <f>D101/220*0.2</f>
        <v>2.3491999999999997</v>
      </c>
      <c r="E104" s="68">
        <f>C104*D104</f>
        <v>139.6096</v>
      </c>
      <c r="G104" s="28"/>
      <c r="H104" s="26"/>
      <c r="I104" s="26"/>
      <c r="J104" s="26"/>
    </row>
    <row r="105" spans="1:10" s="26" customFormat="1" x14ac:dyDescent="0.2">
      <c r="A105" s="65" t="s">
        <v>23</v>
      </c>
      <c r="B105" s="66" t="s">
        <v>24</v>
      </c>
      <c r="C105" s="67">
        <v>3</v>
      </c>
      <c r="D105" s="68">
        <f>D101/220*2</f>
        <v>23.491999999999997</v>
      </c>
      <c r="E105" s="68">
        <f>C105*D105</f>
        <v>70.475999999999999</v>
      </c>
      <c r="F105" s="3"/>
      <c r="G105" s="3"/>
      <c r="H105" s="2"/>
      <c r="I105" s="2"/>
      <c r="J105" s="2"/>
    </row>
    <row r="106" spans="1:10" x14ac:dyDescent="0.2">
      <c r="A106" s="65" t="s">
        <v>39</v>
      </c>
      <c r="B106" s="66" t="s">
        <v>37</v>
      </c>
      <c r="C106" s="67"/>
      <c r="D106" s="68"/>
      <c r="E106" s="68"/>
    </row>
    <row r="107" spans="1:10" s="26" customFormat="1" ht="11.25" customHeight="1" x14ac:dyDescent="0.2">
      <c r="A107" s="65"/>
      <c r="B107" s="66" t="s">
        <v>38</v>
      </c>
      <c r="C107" s="68">
        <f>C106*8/7</f>
        <v>0</v>
      </c>
      <c r="D107" s="68">
        <f>D101/220*2*1.2</f>
        <v>28.190399999999997</v>
      </c>
      <c r="E107" s="68">
        <f>C107*D107</f>
        <v>0</v>
      </c>
      <c r="F107" s="3"/>
      <c r="G107" s="3"/>
      <c r="H107" s="2"/>
      <c r="I107" s="2"/>
      <c r="J107" s="2"/>
    </row>
    <row r="108" spans="1:10" x14ac:dyDescent="0.2">
      <c r="A108" s="65" t="s">
        <v>25</v>
      </c>
      <c r="B108" s="66" t="s">
        <v>24</v>
      </c>
      <c r="C108" s="67">
        <v>3</v>
      </c>
      <c r="D108" s="68">
        <f>D101/220*1.5</f>
        <v>17.619</v>
      </c>
      <c r="E108" s="68">
        <f>C108*D108</f>
        <v>52.856999999999999</v>
      </c>
    </row>
    <row r="109" spans="1:10" x14ac:dyDescent="0.2">
      <c r="A109" s="65" t="s">
        <v>40</v>
      </c>
      <c r="B109" s="66" t="s">
        <v>37</v>
      </c>
      <c r="C109" s="67"/>
      <c r="D109" s="68"/>
      <c r="E109" s="68"/>
    </row>
    <row r="110" spans="1:10" x14ac:dyDescent="0.2">
      <c r="A110" s="65"/>
      <c r="B110" s="66" t="s">
        <v>38</v>
      </c>
      <c r="C110" s="68">
        <f>C109*8/7</f>
        <v>0</v>
      </c>
      <c r="D110" s="68">
        <f>D101/220*1.5*1.2</f>
        <v>21.142799999999998</v>
      </c>
      <c r="E110" s="68">
        <f>C110*D110</f>
        <v>0</v>
      </c>
    </row>
    <row r="111" spans="1:10" x14ac:dyDescent="0.2">
      <c r="A111" s="65" t="s">
        <v>26</v>
      </c>
      <c r="B111" s="66" t="s">
        <v>27</v>
      </c>
      <c r="D111" s="68">
        <f>63/302*(SUM(E105:E110))</f>
        <v>25.728407284768213</v>
      </c>
      <c r="E111" s="68">
        <f>D111</f>
        <v>25.728407284768213</v>
      </c>
    </row>
    <row r="112" spans="1:10" x14ac:dyDescent="0.2">
      <c r="A112" s="65" t="s">
        <v>44</v>
      </c>
      <c r="B112" s="66"/>
      <c r="C112" s="79">
        <v>1</v>
      </c>
      <c r="D112" s="68"/>
      <c r="E112" s="68"/>
    </row>
    <row r="113" spans="1:6" x14ac:dyDescent="0.2">
      <c r="A113" s="65" t="s">
        <v>28</v>
      </c>
      <c r="B113" s="66" t="s">
        <v>5</v>
      </c>
      <c r="C113" s="68">
        <f>+C92</f>
        <v>20</v>
      </c>
      <c r="D113" s="68">
        <f>IF(C112=2,SUM(E101:E111),IF(C112=1,SUM(E101:E111)*D102/D101,0))</f>
        <v>1687.575170293283</v>
      </c>
      <c r="E113" s="68">
        <f>C113*D113/100</f>
        <v>337.51503405865662</v>
      </c>
    </row>
    <row r="114" spans="1:6" x14ac:dyDescent="0.2">
      <c r="A114" s="69" t="s">
        <v>29</v>
      </c>
      <c r="B114" s="70"/>
      <c r="C114" s="70"/>
      <c r="D114" s="71"/>
      <c r="E114" s="72">
        <f>SUM(E101:E113)</f>
        <v>3210.3060413434246</v>
      </c>
      <c r="F114" s="28"/>
    </row>
    <row r="115" spans="1:6" x14ac:dyDescent="0.2">
      <c r="A115" s="65" t="s">
        <v>30</v>
      </c>
      <c r="B115" s="66" t="s">
        <v>5</v>
      </c>
      <c r="C115" s="68">
        <f>'2.Encargos Sociais'!$C$34*100</f>
        <v>77.635952000000017</v>
      </c>
      <c r="D115" s="68">
        <f>E114</f>
        <v>3210.3060413434246</v>
      </c>
      <c r="E115" s="68">
        <f>D115*C115/100</f>
        <v>2492.3516573104816</v>
      </c>
    </row>
    <row r="116" spans="1:6" x14ac:dyDescent="0.2">
      <c r="A116" s="69" t="s">
        <v>45</v>
      </c>
      <c r="B116" s="70"/>
      <c r="C116" s="70"/>
      <c r="D116" s="71"/>
      <c r="E116" s="72">
        <f>E114+E115</f>
        <v>5702.6576986539058</v>
      </c>
      <c r="F116" s="28"/>
    </row>
    <row r="117" spans="1:6" x14ac:dyDescent="0.2">
      <c r="A117" s="65" t="s">
        <v>32</v>
      </c>
      <c r="B117" s="66" t="s">
        <v>33</v>
      </c>
      <c r="C117" s="79">
        <f>E40</f>
        <v>1</v>
      </c>
      <c r="D117" s="68">
        <f>E116</f>
        <v>5702.6576986539058</v>
      </c>
      <c r="E117" s="68">
        <f>C117*D117</f>
        <v>5702.6576986539058</v>
      </c>
    </row>
    <row r="118" spans="1:6" x14ac:dyDescent="0.2">
      <c r="D118" s="74" t="s">
        <v>34</v>
      </c>
      <c r="E118" s="75">
        <f>$B$48</f>
        <v>1</v>
      </c>
      <c r="F118" s="76">
        <f>E117*E118</f>
        <v>5702.6576986539058</v>
      </c>
    </row>
    <row r="119" spans="1:6" x14ac:dyDescent="0.2">
      <c r="D119" s="74"/>
      <c r="F119" s="71"/>
    </row>
    <row r="120" spans="1:6" x14ac:dyDescent="0.2">
      <c r="A120" s="2" t="s">
        <v>47</v>
      </c>
    </row>
    <row r="121" spans="1:6" x14ac:dyDescent="0.2">
      <c r="A121" s="58" t="s">
        <v>16</v>
      </c>
      <c r="B121" s="59" t="s">
        <v>17</v>
      </c>
      <c r="C121" s="59" t="s">
        <v>9</v>
      </c>
      <c r="D121" s="60" t="s">
        <v>18</v>
      </c>
      <c r="E121" s="60" t="s">
        <v>19</v>
      </c>
      <c r="F121" s="61" t="s">
        <v>20</v>
      </c>
    </row>
    <row r="122" spans="1:6" x14ac:dyDescent="0.2">
      <c r="A122" s="62" t="s">
        <v>42</v>
      </c>
      <c r="B122" s="63" t="s">
        <v>22</v>
      </c>
      <c r="C122" s="63">
        <v>1</v>
      </c>
      <c r="D122" s="64">
        <v>3000</v>
      </c>
      <c r="E122" s="64">
        <f>C122*D122</f>
        <v>3000</v>
      </c>
    </row>
    <row r="123" spans="1:6" x14ac:dyDescent="0.2">
      <c r="A123" s="62" t="s">
        <v>43</v>
      </c>
      <c r="B123" s="63" t="s">
        <v>22</v>
      </c>
      <c r="C123" s="63">
        <v>1</v>
      </c>
      <c r="D123" s="64">
        <v>1518</v>
      </c>
      <c r="E123" s="64"/>
    </row>
    <row r="124" spans="1:6" x14ac:dyDescent="0.2">
      <c r="A124" s="65" t="s">
        <v>23</v>
      </c>
      <c r="B124" s="66" t="s">
        <v>24</v>
      </c>
      <c r="C124" s="67">
        <v>0</v>
      </c>
      <c r="D124" s="68">
        <f>D122/220*2</f>
        <v>27.272727272727273</v>
      </c>
      <c r="E124" s="68">
        <f>C124*D124</f>
        <v>0</v>
      </c>
    </row>
    <row r="125" spans="1:6" x14ac:dyDescent="0.2">
      <c r="A125" s="65" t="s">
        <v>25</v>
      </c>
      <c r="B125" s="66" t="s">
        <v>24</v>
      </c>
      <c r="C125" s="67">
        <v>8</v>
      </c>
      <c r="D125" s="68">
        <f>D122/220*1.5</f>
        <v>20.454545454545453</v>
      </c>
      <c r="E125" s="68">
        <f>C125*D125</f>
        <v>163.63636363636363</v>
      </c>
    </row>
    <row r="126" spans="1:6" x14ac:dyDescent="0.2">
      <c r="A126" s="65" t="s">
        <v>26</v>
      </c>
      <c r="B126" s="66" t="s">
        <v>27</v>
      </c>
      <c r="D126" s="68">
        <f>63/302*(SUM(E124:E125))</f>
        <v>34.136062612883805</v>
      </c>
      <c r="E126" s="68">
        <f>D126</f>
        <v>34.136062612883805</v>
      </c>
    </row>
    <row r="127" spans="1:6" x14ac:dyDescent="0.2">
      <c r="A127" s="65" t="s">
        <v>48</v>
      </c>
      <c r="B127" s="66"/>
      <c r="C127" s="79">
        <v>2</v>
      </c>
      <c r="D127" s="68"/>
      <c r="E127" s="68"/>
    </row>
    <row r="128" spans="1:6" x14ac:dyDescent="0.2">
      <c r="A128" s="65" t="s">
        <v>49</v>
      </c>
      <c r="B128" s="66" t="s">
        <v>5</v>
      </c>
      <c r="C128" s="66">
        <v>30</v>
      </c>
      <c r="D128" s="68">
        <f>IF(C127=2,SUM(E122:E126),IF(C127=1,(SUM(E122:E126))*D123/D122,0))</f>
        <v>3197.7724262492475</v>
      </c>
      <c r="E128" s="68">
        <f>C128*D128/100</f>
        <v>959.33172787477417</v>
      </c>
    </row>
    <row r="129" spans="1:6" x14ac:dyDescent="0.2">
      <c r="A129" s="80" t="s">
        <v>29</v>
      </c>
      <c r="B129" s="70"/>
      <c r="C129" s="70"/>
      <c r="D129" s="71"/>
      <c r="E129" s="81">
        <f>SUM(E122:E128)</f>
        <v>4157.104154124022</v>
      </c>
      <c r="F129" s="28"/>
    </row>
    <row r="130" spans="1:6" x14ac:dyDescent="0.2">
      <c r="A130" s="65" t="s">
        <v>30</v>
      </c>
      <c r="B130" s="66" t="s">
        <v>5</v>
      </c>
      <c r="C130" s="68">
        <f>'2.Encargos Sociais'!$C$34*100</f>
        <v>77.635952000000017</v>
      </c>
      <c r="D130" s="68">
        <f>E129</f>
        <v>4157.104154124022</v>
      </c>
      <c r="E130" s="68">
        <f>D130*C130/100</f>
        <v>3227.4073856857326</v>
      </c>
    </row>
    <row r="131" spans="1:6" x14ac:dyDescent="0.2">
      <c r="A131" s="80" t="s">
        <v>45</v>
      </c>
      <c r="B131" s="82"/>
      <c r="C131" s="82"/>
      <c r="D131" s="83"/>
      <c r="E131" s="81">
        <f>E129+E130</f>
        <v>7384.511539809755</v>
      </c>
      <c r="F131" s="28"/>
    </row>
    <row r="132" spans="1:6" x14ac:dyDescent="0.2">
      <c r="A132" s="65" t="s">
        <v>32</v>
      </c>
      <c r="B132" s="66" t="s">
        <v>33</v>
      </c>
      <c r="C132" s="73">
        <f>E39</f>
        <v>1</v>
      </c>
      <c r="D132" s="68">
        <f>E131</f>
        <v>7384.511539809755</v>
      </c>
      <c r="E132" s="68">
        <f>C132*D132</f>
        <v>7384.511539809755</v>
      </c>
    </row>
    <row r="133" spans="1:6" x14ac:dyDescent="0.2">
      <c r="D133" s="74" t="s">
        <v>34</v>
      </c>
      <c r="E133" s="75">
        <v>1</v>
      </c>
      <c r="F133" s="76">
        <f>E132*E133</f>
        <v>7384.511539809755</v>
      </c>
    </row>
    <row r="134" spans="1:6" x14ac:dyDescent="0.2">
      <c r="D134" s="74"/>
      <c r="F134" s="71"/>
    </row>
    <row r="135" spans="1:6" x14ac:dyDescent="0.2">
      <c r="A135" s="2" t="s">
        <v>50</v>
      </c>
    </row>
    <row r="136" spans="1:6" x14ac:dyDescent="0.2">
      <c r="A136" s="58" t="s">
        <v>16</v>
      </c>
      <c r="B136" s="59" t="s">
        <v>17</v>
      </c>
      <c r="C136" s="59" t="s">
        <v>9</v>
      </c>
      <c r="D136" s="60" t="s">
        <v>18</v>
      </c>
      <c r="E136" s="60" t="s">
        <v>19</v>
      </c>
      <c r="F136" s="61" t="s">
        <v>20</v>
      </c>
    </row>
    <row r="137" spans="1:6" x14ac:dyDescent="0.2">
      <c r="A137" s="62" t="s">
        <v>42</v>
      </c>
      <c r="B137" s="63" t="s">
        <v>22</v>
      </c>
      <c r="C137" s="63">
        <v>1</v>
      </c>
      <c r="D137" s="64">
        <f>1815.32*1.0417</f>
        <v>1891.0188440000002</v>
      </c>
      <c r="E137" s="64">
        <f>C137*D137</f>
        <v>1891.0188440000002</v>
      </c>
    </row>
    <row r="138" spans="1:6" x14ac:dyDescent="0.2">
      <c r="A138" s="62" t="s">
        <v>43</v>
      </c>
      <c r="B138" s="63" t="s">
        <v>22</v>
      </c>
      <c r="C138" s="63">
        <v>1</v>
      </c>
      <c r="D138" s="68">
        <v>1518</v>
      </c>
      <c r="E138" s="68"/>
    </row>
    <row r="139" spans="1:6" x14ac:dyDescent="0.2">
      <c r="A139" s="65" t="s">
        <v>23</v>
      </c>
      <c r="B139" s="66" t="s">
        <v>24</v>
      </c>
      <c r="C139" s="67">
        <v>0</v>
      </c>
      <c r="D139" s="68">
        <f>D137/220*2</f>
        <v>17.191080400000001</v>
      </c>
      <c r="E139" s="68">
        <f>C139*D139</f>
        <v>0</v>
      </c>
    </row>
    <row r="140" spans="1:6" x14ac:dyDescent="0.2">
      <c r="A140" s="65" t="s">
        <v>39</v>
      </c>
      <c r="B140" s="66" t="s">
        <v>24</v>
      </c>
      <c r="C140" s="67">
        <v>0</v>
      </c>
      <c r="D140" s="68"/>
      <c r="E140" s="68"/>
    </row>
    <row r="141" spans="1:6" x14ac:dyDescent="0.2">
      <c r="A141" s="65" t="s">
        <v>26</v>
      </c>
      <c r="B141" s="66" t="s">
        <v>27</v>
      </c>
      <c r="D141" s="68">
        <f>63/302*(SUM(E139:E140))</f>
        <v>0</v>
      </c>
      <c r="E141" s="68">
        <f>D141</f>
        <v>0</v>
      </c>
    </row>
    <row r="142" spans="1:6" x14ac:dyDescent="0.2">
      <c r="A142" s="65" t="s">
        <v>44</v>
      </c>
      <c r="B142" s="66"/>
      <c r="C142" s="79">
        <v>1</v>
      </c>
      <c r="D142" s="68"/>
      <c r="E142" s="68"/>
    </row>
    <row r="143" spans="1:6" x14ac:dyDescent="0.2">
      <c r="A143" s="65" t="s">
        <v>28</v>
      </c>
      <c r="B143" s="66" t="s">
        <v>5</v>
      </c>
      <c r="C143" s="68">
        <v>0</v>
      </c>
      <c r="D143" s="68">
        <v>1518</v>
      </c>
      <c r="E143" s="68">
        <f>C143*D143/100</f>
        <v>0</v>
      </c>
    </row>
    <row r="144" spans="1:6" x14ac:dyDescent="0.2">
      <c r="A144" s="69" t="s">
        <v>29</v>
      </c>
      <c r="B144" s="70"/>
      <c r="C144" s="70"/>
      <c r="D144" s="71"/>
      <c r="E144" s="72">
        <f>SUM(E137:E143)</f>
        <v>1891.0188440000002</v>
      </c>
      <c r="F144" s="28"/>
    </row>
    <row r="145" spans="1:10" x14ac:dyDescent="0.2">
      <c r="A145" s="65" t="s">
        <v>30</v>
      </c>
      <c r="B145" s="66" t="s">
        <v>5</v>
      </c>
      <c r="C145" s="68">
        <f>'2.Encargos Sociais'!$C$34*100</f>
        <v>77.635952000000017</v>
      </c>
      <c r="D145" s="68">
        <f>E144</f>
        <v>1891.0188440000002</v>
      </c>
      <c r="E145" s="68">
        <f>D145*C145/100</f>
        <v>1468.1104820387952</v>
      </c>
    </row>
    <row r="146" spans="1:10" x14ac:dyDescent="0.2">
      <c r="A146" s="69" t="s">
        <v>51</v>
      </c>
      <c r="B146" s="70"/>
      <c r="C146" s="70"/>
      <c r="D146" s="71"/>
      <c r="E146" s="72">
        <f>E144+E145</f>
        <v>3359.1293260387956</v>
      </c>
      <c r="F146" s="28"/>
    </row>
    <row r="147" spans="1:10" x14ac:dyDescent="0.2">
      <c r="A147" s="65" t="s">
        <v>32</v>
      </c>
      <c r="B147" s="66" t="s">
        <v>33</v>
      </c>
      <c r="C147" s="79">
        <f>E40</f>
        <v>1</v>
      </c>
      <c r="D147" s="68">
        <f>E146</f>
        <v>3359.1293260387956</v>
      </c>
      <c r="E147" s="68">
        <f>C147*D147</f>
        <v>3359.1293260387956</v>
      </c>
    </row>
    <row r="148" spans="1:10" x14ac:dyDescent="0.2">
      <c r="D148" s="74" t="s">
        <v>34</v>
      </c>
      <c r="E148" s="75">
        <v>1</v>
      </c>
      <c r="F148" s="76">
        <f>E147*E148</f>
        <v>3359.1293260387956</v>
      </c>
    </row>
    <row r="150" spans="1:10" ht="12.75" customHeight="1" x14ac:dyDescent="0.2">
      <c r="A150" s="2" t="s">
        <v>52</v>
      </c>
      <c r="B150" s="84"/>
      <c r="D150" s="2"/>
      <c r="E150" s="2"/>
    </row>
    <row r="151" spans="1:10" x14ac:dyDescent="0.2">
      <c r="A151" s="58" t="s">
        <v>16</v>
      </c>
      <c r="B151" s="59" t="s">
        <v>17</v>
      </c>
      <c r="C151" s="59" t="s">
        <v>9</v>
      </c>
      <c r="D151" s="60" t="s">
        <v>18</v>
      </c>
      <c r="E151" s="60" t="s">
        <v>19</v>
      </c>
      <c r="F151" s="61" t="s">
        <v>20</v>
      </c>
    </row>
    <row r="152" spans="1:10" x14ac:dyDescent="0.2">
      <c r="A152" s="65" t="s">
        <v>53</v>
      </c>
      <c r="B152" s="66" t="s">
        <v>27</v>
      </c>
      <c r="C152" s="85">
        <v>1</v>
      </c>
      <c r="D152" s="3">
        <v>4.5</v>
      </c>
      <c r="E152" s="68"/>
    </row>
    <row r="153" spans="1:10" x14ac:dyDescent="0.2">
      <c r="A153" s="65" t="s">
        <v>54</v>
      </c>
      <c r="B153" s="66" t="s">
        <v>55</v>
      </c>
      <c r="C153" s="2">
        <v>24</v>
      </c>
      <c r="D153" s="68"/>
      <c r="E153" s="68"/>
      <c r="G153" s="28"/>
      <c r="H153" s="26"/>
      <c r="I153" s="26"/>
      <c r="J153" s="26"/>
    </row>
    <row r="154" spans="1:10" x14ac:dyDescent="0.2">
      <c r="A154" s="65" t="s">
        <v>56</v>
      </c>
      <c r="B154" s="66" t="s">
        <v>57</v>
      </c>
      <c r="C154" s="86">
        <f>$C$153*2*(C62+C81)</f>
        <v>480</v>
      </c>
      <c r="D154" s="64">
        <f>IFERROR((($C$153*2*$D$152)-(E54*0.06*C153/26))/($C$153*2),"-")</f>
        <v>2.5022307692307693</v>
      </c>
      <c r="E154" s="68">
        <f>IFERROR(C154*D154,"-")</f>
        <v>1201.0707692307692</v>
      </c>
    </row>
    <row r="155" spans="1:10" x14ac:dyDescent="0.2">
      <c r="A155" s="62" t="s">
        <v>58</v>
      </c>
      <c r="B155" s="63" t="s">
        <v>57</v>
      </c>
      <c r="C155" s="86">
        <f>$C$153*2*(C96+C117)</f>
        <v>192</v>
      </c>
      <c r="D155" s="64">
        <f>IFERROR((($C$153*2*$D$152)-(E86*0.06*C153/26))/($C$153*2),"-")</f>
        <v>1.5183230769230776</v>
      </c>
      <c r="E155" s="64">
        <f>IFERROR(C155*D155,"-")</f>
        <v>291.5180307692309</v>
      </c>
      <c r="G155" s="28"/>
      <c r="H155" s="26"/>
      <c r="I155" s="26"/>
      <c r="J155" s="26"/>
    </row>
    <row r="156" spans="1:10" x14ac:dyDescent="0.2">
      <c r="F156" s="87">
        <f>SUM(E154:E155)</f>
        <v>1492.5888</v>
      </c>
    </row>
    <row r="158" spans="1:10" x14ac:dyDescent="0.2">
      <c r="G158" s="2"/>
    </row>
    <row r="159" spans="1:10" x14ac:dyDescent="0.2">
      <c r="A159" s="2" t="s">
        <v>59</v>
      </c>
      <c r="F159" s="28"/>
      <c r="G159" s="2"/>
    </row>
    <row r="160" spans="1:10" x14ac:dyDescent="0.2">
      <c r="A160" s="58" t="s">
        <v>16</v>
      </c>
      <c r="B160" s="59" t="s">
        <v>17</v>
      </c>
      <c r="C160" s="59" t="s">
        <v>9</v>
      </c>
      <c r="D160" s="60" t="s">
        <v>18</v>
      </c>
      <c r="E160" s="60" t="s">
        <v>19</v>
      </c>
      <c r="F160" s="61" t="s">
        <v>20</v>
      </c>
      <c r="G160" s="2"/>
    </row>
    <row r="161" spans="1:10" ht="11.25" customHeight="1" x14ac:dyDescent="0.2">
      <c r="A161" s="65" t="s">
        <v>56</v>
      </c>
      <c r="B161" s="66" t="s">
        <v>60</v>
      </c>
      <c r="C161" s="88">
        <f>E35+E36</f>
        <v>10</v>
      </c>
      <c r="D161" s="68">
        <v>430</v>
      </c>
      <c r="E161" s="75">
        <f>C161*D161</f>
        <v>4300</v>
      </c>
      <c r="F161" s="28"/>
      <c r="G161" s="2"/>
    </row>
    <row r="162" spans="1:10" x14ac:dyDescent="0.2">
      <c r="A162" s="65" t="s">
        <v>58</v>
      </c>
      <c r="B162" s="66" t="s">
        <v>60</v>
      </c>
      <c r="C162" s="88">
        <f>E37+E40</f>
        <v>4</v>
      </c>
      <c r="D162" s="68">
        <v>430</v>
      </c>
      <c r="E162" s="75">
        <f>C162*D162</f>
        <v>1720</v>
      </c>
      <c r="F162" s="28"/>
      <c r="G162" s="2"/>
    </row>
    <row r="163" spans="1:10" x14ac:dyDescent="0.2">
      <c r="D163" s="74" t="s">
        <v>34</v>
      </c>
      <c r="E163" s="75">
        <f>$B$48</f>
        <v>1</v>
      </c>
      <c r="F163" s="87">
        <f>SUM(E161:E162)*E163</f>
        <v>6020</v>
      </c>
      <c r="G163" s="2"/>
    </row>
    <row r="164" spans="1:10" x14ac:dyDescent="0.2">
      <c r="G164" s="2"/>
    </row>
    <row r="165" spans="1:10" x14ac:dyDescent="0.2">
      <c r="A165" s="89" t="s">
        <v>61</v>
      </c>
      <c r="B165" s="90"/>
      <c r="C165" s="90"/>
      <c r="D165" s="35"/>
      <c r="E165" s="91"/>
      <c r="F165" s="87">
        <f>F63+F82+F97+F118+F133+F148+F156+F163</f>
        <v>84354.224292384286</v>
      </c>
      <c r="G165" s="2"/>
    </row>
    <row r="166" spans="1:10" x14ac:dyDescent="0.2">
      <c r="G166" s="2"/>
    </row>
    <row r="167" spans="1:10" x14ac:dyDescent="0.2">
      <c r="A167" s="26" t="s">
        <v>62</v>
      </c>
      <c r="G167" s="2"/>
    </row>
    <row r="168" spans="1:10" x14ac:dyDescent="0.2">
      <c r="G168" s="2"/>
    </row>
    <row r="169" spans="1:10" s="92" customFormat="1" x14ac:dyDescent="0.2">
      <c r="A169" s="2" t="s">
        <v>63</v>
      </c>
      <c r="B169" s="2"/>
      <c r="C169" s="2"/>
      <c r="D169" s="3"/>
      <c r="E169" s="3"/>
      <c r="F169" s="3"/>
      <c r="G169" s="2"/>
      <c r="H169" s="2"/>
      <c r="I169" s="2"/>
      <c r="J169" s="2"/>
    </row>
    <row r="170" spans="1:10" x14ac:dyDescent="0.2">
      <c r="G170" s="2"/>
    </row>
    <row r="171" spans="1:10" ht="24" x14ac:dyDescent="0.2">
      <c r="A171" s="58" t="s">
        <v>16</v>
      </c>
      <c r="B171" s="59" t="s">
        <v>17</v>
      </c>
      <c r="C171" s="93" t="s">
        <v>64</v>
      </c>
      <c r="D171" s="60" t="s">
        <v>18</v>
      </c>
      <c r="E171" s="60" t="s">
        <v>19</v>
      </c>
      <c r="F171" s="61" t="s">
        <v>20</v>
      </c>
      <c r="G171" s="2"/>
    </row>
    <row r="172" spans="1:10" x14ac:dyDescent="0.2">
      <c r="A172" s="62" t="s">
        <v>65</v>
      </c>
      <c r="B172" s="63" t="s">
        <v>60</v>
      </c>
      <c r="C172" s="94">
        <v>12</v>
      </c>
      <c r="D172" s="64">
        <v>63</v>
      </c>
      <c r="E172" s="64">
        <f t="shared" ref="E172:E180" si="1">IFERROR(D172/C172,0)</f>
        <v>5.25</v>
      </c>
      <c r="G172" s="2"/>
    </row>
    <row r="173" spans="1:10" x14ac:dyDescent="0.2">
      <c r="A173" s="65" t="s">
        <v>66</v>
      </c>
      <c r="B173" s="66" t="s">
        <v>60</v>
      </c>
      <c r="C173" s="94">
        <v>4</v>
      </c>
      <c r="D173" s="64">
        <v>59.9</v>
      </c>
      <c r="E173" s="64">
        <f t="shared" si="1"/>
        <v>14.975</v>
      </c>
      <c r="G173" s="2"/>
    </row>
    <row r="174" spans="1:10" x14ac:dyDescent="0.2">
      <c r="A174" s="65" t="s">
        <v>67</v>
      </c>
      <c r="B174" s="66" t="s">
        <v>60</v>
      </c>
      <c r="C174" s="94">
        <v>2</v>
      </c>
      <c r="D174" s="64">
        <v>27.5</v>
      </c>
      <c r="E174" s="64">
        <f t="shared" si="1"/>
        <v>13.75</v>
      </c>
      <c r="G174" s="2"/>
    </row>
    <row r="175" spans="1:10" x14ac:dyDescent="0.2">
      <c r="A175" s="65" t="s">
        <v>68</v>
      </c>
      <c r="B175" s="66" t="s">
        <v>60</v>
      </c>
      <c r="C175" s="94">
        <v>3</v>
      </c>
      <c r="D175" s="64">
        <v>19</v>
      </c>
      <c r="E175" s="64">
        <f t="shared" si="1"/>
        <v>6.333333333333333</v>
      </c>
    </row>
    <row r="176" spans="1:10" x14ac:dyDescent="0.2">
      <c r="A176" s="65" t="s">
        <v>69</v>
      </c>
      <c r="B176" s="66" t="s">
        <v>70</v>
      </c>
      <c r="C176" s="94">
        <v>2</v>
      </c>
      <c r="D176" s="64">
        <v>98.62</v>
      </c>
      <c r="E176" s="64">
        <f t="shared" si="1"/>
        <v>49.31</v>
      </c>
      <c r="G176" s="2"/>
    </row>
    <row r="177" spans="1:10" ht="13.5" customHeight="1" x14ac:dyDescent="0.2">
      <c r="A177" s="65" t="s">
        <v>71</v>
      </c>
      <c r="B177" s="66" t="s">
        <v>60</v>
      </c>
      <c r="C177" s="94">
        <v>6</v>
      </c>
      <c r="D177" s="64">
        <v>128</v>
      </c>
      <c r="E177" s="64">
        <f t="shared" si="1"/>
        <v>21.333333333333332</v>
      </c>
      <c r="G177" s="2"/>
    </row>
    <row r="178" spans="1:10" x14ac:dyDescent="0.2">
      <c r="A178" s="65" t="s">
        <v>72</v>
      </c>
      <c r="B178" s="66" t="s">
        <v>70</v>
      </c>
      <c r="C178" s="94">
        <v>1</v>
      </c>
      <c r="D178" s="64">
        <v>32</v>
      </c>
      <c r="E178" s="64">
        <f t="shared" si="1"/>
        <v>32</v>
      </c>
      <c r="G178" s="2"/>
    </row>
    <row r="179" spans="1:10" x14ac:dyDescent="0.2">
      <c r="A179" s="65" t="s">
        <v>73</v>
      </c>
      <c r="B179" s="66" t="s">
        <v>74</v>
      </c>
      <c r="C179" s="94">
        <v>2</v>
      </c>
      <c r="D179" s="64">
        <v>19</v>
      </c>
      <c r="E179" s="64">
        <f t="shared" si="1"/>
        <v>9.5</v>
      </c>
      <c r="G179" s="2"/>
    </row>
    <row r="180" spans="1:10" x14ac:dyDescent="0.2">
      <c r="A180" s="65" t="s">
        <v>75</v>
      </c>
      <c r="B180" s="66" t="s">
        <v>60</v>
      </c>
      <c r="C180" s="94">
        <v>4</v>
      </c>
      <c r="D180" s="64">
        <v>4.5999999999999996</v>
      </c>
      <c r="E180" s="64">
        <f t="shared" si="1"/>
        <v>1.1499999999999999</v>
      </c>
      <c r="G180" s="2"/>
    </row>
    <row r="181" spans="1:10" x14ac:dyDescent="0.2">
      <c r="A181" s="65" t="s">
        <v>32</v>
      </c>
      <c r="B181" s="66" t="s">
        <v>33</v>
      </c>
      <c r="C181" s="73">
        <f>E35+E36</f>
        <v>10</v>
      </c>
      <c r="D181" s="68">
        <f>+SUM(E172:E180)</f>
        <v>153.60166666666666</v>
      </c>
      <c r="E181" s="68">
        <f>C181*D181</f>
        <v>1536.0166666666667</v>
      </c>
      <c r="G181" s="2"/>
    </row>
    <row r="182" spans="1:10" ht="12.75" customHeight="1" x14ac:dyDescent="0.2">
      <c r="D182" s="74" t="s">
        <v>34</v>
      </c>
      <c r="E182" s="75">
        <f>$B$48</f>
        <v>1</v>
      </c>
      <c r="F182" s="76">
        <f>E181*E182</f>
        <v>1536.0166666666667</v>
      </c>
      <c r="G182" s="2"/>
    </row>
    <row r="183" spans="1:10" ht="13.5" customHeight="1" x14ac:dyDescent="0.2">
      <c r="G183" s="2"/>
    </row>
    <row r="184" spans="1:10" ht="12.75" customHeight="1" x14ac:dyDescent="0.2">
      <c r="A184" s="2" t="s">
        <v>76</v>
      </c>
    </row>
    <row r="186" spans="1:10" ht="24" x14ac:dyDescent="0.2">
      <c r="A186" s="58" t="s">
        <v>16</v>
      </c>
      <c r="B186" s="59" t="s">
        <v>17</v>
      </c>
      <c r="C186" s="93" t="s">
        <v>64</v>
      </c>
      <c r="D186" s="60" t="s">
        <v>18</v>
      </c>
      <c r="E186" s="60" t="s">
        <v>19</v>
      </c>
      <c r="F186" s="61" t="s">
        <v>20</v>
      </c>
      <c r="G186" s="95"/>
      <c r="H186" s="92"/>
      <c r="I186" s="92"/>
      <c r="J186" s="92"/>
    </row>
    <row r="187" spans="1:10" x14ac:dyDescent="0.2">
      <c r="A187" s="62" t="s">
        <v>65</v>
      </c>
      <c r="B187" s="63" t="s">
        <v>60</v>
      </c>
      <c r="C187" s="94">
        <v>12</v>
      </c>
      <c r="D187" s="64">
        <f>+D172</f>
        <v>63</v>
      </c>
      <c r="E187" s="64">
        <f t="shared" ref="E187:E192" si="2">IFERROR(D187/C187,0)</f>
        <v>5.25</v>
      </c>
    </row>
    <row r="188" spans="1:10" ht="12.75" customHeight="1" x14ac:dyDescent="0.2">
      <c r="A188" s="65" t="s">
        <v>66</v>
      </c>
      <c r="B188" s="66" t="s">
        <v>60</v>
      </c>
      <c r="C188" s="94">
        <v>4</v>
      </c>
      <c r="D188" s="68">
        <f>+D173</f>
        <v>59.9</v>
      </c>
      <c r="E188" s="64">
        <f t="shared" si="2"/>
        <v>14.975</v>
      </c>
    </row>
    <row r="189" spans="1:10" x14ac:dyDescent="0.2">
      <c r="A189" s="65" t="s">
        <v>67</v>
      </c>
      <c r="B189" s="66" t="s">
        <v>60</v>
      </c>
      <c r="C189" s="94">
        <v>2</v>
      </c>
      <c r="D189" s="68">
        <f>+D174</f>
        <v>27.5</v>
      </c>
      <c r="E189" s="64">
        <f t="shared" si="2"/>
        <v>13.75</v>
      </c>
    </row>
    <row r="190" spans="1:10" x14ac:dyDescent="0.2">
      <c r="A190" s="65" t="str">
        <f>A176</f>
        <v>Tênis de segurança c/ palmilha aço</v>
      </c>
      <c r="B190" s="66" t="s">
        <v>70</v>
      </c>
      <c r="C190" s="94">
        <v>4</v>
      </c>
      <c r="D190" s="68">
        <f>+D176</f>
        <v>98.62</v>
      </c>
      <c r="E190" s="64">
        <f t="shared" si="2"/>
        <v>24.655000000000001</v>
      </c>
    </row>
    <row r="191" spans="1:10" x14ac:dyDescent="0.2">
      <c r="A191" s="65" t="s">
        <v>71</v>
      </c>
      <c r="B191" s="66" t="s">
        <v>60</v>
      </c>
      <c r="C191" s="94">
        <v>4</v>
      </c>
      <c r="D191" s="68">
        <f>+D177</f>
        <v>128</v>
      </c>
      <c r="E191" s="64">
        <f t="shared" si="2"/>
        <v>32</v>
      </c>
    </row>
    <row r="192" spans="1:10" ht="11.25" customHeight="1" x14ac:dyDescent="0.2">
      <c r="A192" s="65" t="s">
        <v>73</v>
      </c>
      <c r="B192" s="66" t="s">
        <v>74</v>
      </c>
      <c r="C192" s="94">
        <v>2</v>
      </c>
      <c r="D192" s="68">
        <f>+D179</f>
        <v>19</v>
      </c>
      <c r="E192" s="64">
        <f t="shared" si="2"/>
        <v>9.5</v>
      </c>
    </row>
    <row r="193" spans="1:7" ht="13.5" customHeight="1" x14ac:dyDescent="0.2">
      <c r="A193" s="65" t="str">
        <f>A180</f>
        <v xml:space="preserve">Óculos de sol </v>
      </c>
      <c r="B193" s="66" t="str">
        <f>B180</f>
        <v>unidade</v>
      </c>
      <c r="C193" s="66">
        <f>C180</f>
        <v>4</v>
      </c>
      <c r="D193" s="96">
        <v>4.5999999999999996</v>
      </c>
      <c r="E193" s="68">
        <f>C193*D193</f>
        <v>18.399999999999999</v>
      </c>
    </row>
    <row r="194" spans="1:7" ht="11.25" customHeight="1" x14ac:dyDescent="0.2">
      <c r="A194" s="65" t="s">
        <v>32</v>
      </c>
      <c r="B194" s="66" t="s">
        <v>33</v>
      </c>
      <c r="C194" s="73">
        <f>E37+E40</f>
        <v>4</v>
      </c>
      <c r="D194" s="68">
        <f>+SUM(E187:E193)</f>
        <v>118.53</v>
      </c>
      <c r="E194" s="68">
        <f>C194*D194</f>
        <v>474.12</v>
      </c>
    </row>
    <row r="195" spans="1:7" x14ac:dyDescent="0.2">
      <c r="D195" s="74" t="s">
        <v>34</v>
      </c>
      <c r="E195" s="75">
        <f>$B$48</f>
        <v>1</v>
      </c>
      <c r="F195" s="76">
        <f>E194*E195</f>
        <v>474.12</v>
      </c>
    </row>
    <row r="197" spans="1:7" x14ac:dyDescent="0.2">
      <c r="A197" s="89" t="s">
        <v>77</v>
      </c>
      <c r="B197" s="97"/>
      <c r="C197" s="97"/>
      <c r="D197" s="98"/>
      <c r="E197" s="99"/>
      <c r="F197" s="100">
        <f>+F182+F195</f>
        <v>2010.1366666666668</v>
      </c>
    </row>
    <row r="199" spans="1:7" x14ac:dyDescent="0.2">
      <c r="A199" s="26" t="s">
        <v>78</v>
      </c>
    </row>
    <row r="200" spans="1:7" x14ac:dyDescent="0.2">
      <c r="B200" s="101"/>
      <c r="G200" s="2"/>
    </row>
    <row r="201" spans="1:7" x14ac:dyDescent="0.2">
      <c r="A201" s="2" t="s">
        <v>79</v>
      </c>
      <c r="G201" s="2"/>
    </row>
    <row r="202" spans="1:7" x14ac:dyDescent="0.2">
      <c r="G202" s="2"/>
    </row>
    <row r="203" spans="1:7" x14ac:dyDescent="0.2">
      <c r="A203" s="102" t="s">
        <v>80</v>
      </c>
      <c r="G203" s="2"/>
    </row>
    <row r="204" spans="1:7" x14ac:dyDescent="0.2">
      <c r="A204" s="58" t="s">
        <v>16</v>
      </c>
      <c r="B204" s="59" t="s">
        <v>17</v>
      </c>
      <c r="C204" s="59" t="s">
        <v>9</v>
      </c>
      <c r="D204" s="60" t="s">
        <v>18</v>
      </c>
      <c r="E204" s="60" t="s">
        <v>19</v>
      </c>
      <c r="F204" s="61" t="s">
        <v>20</v>
      </c>
      <c r="G204" s="2"/>
    </row>
    <row r="205" spans="1:7" ht="11.25" customHeight="1" x14ac:dyDescent="0.2">
      <c r="A205" s="62" t="s">
        <v>81</v>
      </c>
      <c r="B205" s="63" t="s">
        <v>60</v>
      </c>
      <c r="C205" s="63">
        <v>1</v>
      </c>
      <c r="D205" s="64">
        <v>354000</v>
      </c>
      <c r="E205" s="64">
        <f>C205*D205</f>
        <v>354000</v>
      </c>
      <c r="G205" s="2"/>
    </row>
    <row r="206" spans="1:7" x14ac:dyDescent="0.2">
      <c r="A206" s="65" t="s">
        <v>82</v>
      </c>
      <c r="B206" s="66" t="s">
        <v>83</v>
      </c>
      <c r="C206" s="66">
        <v>5</v>
      </c>
      <c r="D206" s="68"/>
      <c r="E206" s="68"/>
      <c r="G206" s="2"/>
    </row>
    <row r="207" spans="1:7" ht="11.25" customHeight="1" x14ac:dyDescent="0.2">
      <c r="A207" s="65" t="s">
        <v>84</v>
      </c>
      <c r="B207" s="66" t="s">
        <v>83</v>
      </c>
      <c r="C207" s="66">
        <v>3</v>
      </c>
      <c r="D207" s="68"/>
      <c r="E207" s="68"/>
      <c r="F207" s="103"/>
      <c r="G207" s="2"/>
    </row>
    <row r="208" spans="1:7" x14ac:dyDescent="0.2">
      <c r="A208" s="65" t="s">
        <v>85</v>
      </c>
      <c r="B208" s="66" t="s">
        <v>5</v>
      </c>
      <c r="C208" s="68">
        <f>IFERROR(VLOOKUP(C206,'5. Depreciação'!A3:B17,2,FALSE()),0)</f>
        <v>55.68</v>
      </c>
      <c r="D208" s="68">
        <f>E205</f>
        <v>354000</v>
      </c>
      <c r="E208" s="68">
        <f>C208*D208/100</f>
        <v>197107.20000000001</v>
      </c>
      <c r="G208" s="2"/>
    </row>
    <row r="209" spans="1:10" ht="11.25" customHeight="1" x14ac:dyDescent="0.2">
      <c r="A209" s="104" t="s">
        <v>86</v>
      </c>
      <c r="B209" s="105" t="s">
        <v>22</v>
      </c>
      <c r="C209" s="105">
        <f>C206*12</f>
        <v>60</v>
      </c>
      <c r="D209" s="106">
        <f>IF(C207&lt;=C206,E208,0)</f>
        <v>197107.20000000001</v>
      </c>
      <c r="E209" s="106">
        <f>IFERROR(D209/C209,0)</f>
        <v>3285.1200000000003</v>
      </c>
      <c r="G209" s="2"/>
    </row>
    <row r="210" spans="1:10" x14ac:dyDescent="0.2">
      <c r="A210" s="62" t="s">
        <v>87</v>
      </c>
      <c r="B210" s="63" t="s">
        <v>60</v>
      </c>
      <c r="C210" s="63">
        <f>C205</f>
        <v>1</v>
      </c>
      <c r="D210" s="64">
        <v>119000</v>
      </c>
      <c r="E210" s="64">
        <f>C210*D210</f>
        <v>119000</v>
      </c>
      <c r="G210" s="2"/>
    </row>
    <row r="211" spans="1:10" ht="11.25" customHeight="1" x14ac:dyDescent="0.2">
      <c r="A211" s="65" t="s">
        <v>88</v>
      </c>
      <c r="B211" s="66" t="s">
        <v>83</v>
      </c>
      <c r="C211" s="66">
        <v>5</v>
      </c>
      <c r="D211" s="68"/>
      <c r="E211" s="68"/>
      <c r="G211" s="2"/>
    </row>
    <row r="212" spans="1:10" x14ac:dyDescent="0.2">
      <c r="A212" s="65" t="s">
        <v>89</v>
      </c>
      <c r="B212" s="66" t="s">
        <v>83</v>
      </c>
      <c r="C212" s="66">
        <v>3</v>
      </c>
      <c r="D212" s="68"/>
      <c r="E212" s="68"/>
      <c r="F212" s="103"/>
      <c r="G212" s="2"/>
    </row>
    <row r="213" spans="1:10" x14ac:dyDescent="0.2">
      <c r="A213" s="65" t="s">
        <v>90</v>
      </c>
      <c r="B213" s="66" t="s">
        <v>5</v>
      </c>
      <c r="C213" s="75">
        <f>IFERROR(VLOOKUP(C211,'5. Depreciação'!A3:B17,2,FALSE()),0)</f>
        <v>55.68</v>
      </c>
      <c r="D213" s="68">
        <f>E210</f>
        <v>119000</v>
      </c>
      <c r="E213" s="68">
        <f>C213*D213/100</f>
        <v>66259.199999999997</v>
      </c>
      <c r="G213" s="2"/>
    </row>
    <row r="214" spans="1:10" x14ac:dyDescent="0.2">
      <c r="A214" s="80" t="s">
        <v>91</v>
      </c>
      <c r="B214" s="107" t="s">
        <v>22</v>
      </c>
      <c r="C214" s="107">
        <f>C211*12</f>
        <v>60</v>
      </c>
      <c r="D214" s="81">
        <f>IF(C212&lt;=C211,E213,0)</f>
        <v>66259.199999999997</v>
      </c>
      <c r="E214" s="81">
        <f>IFERROR(D214/C214,0)</f>
        <v>1104.32</v>
      </c>
      <c r="G214" s="2"/>
    </row>
    <row r="215" spans="1:10" x14ac:dyDescent="0.2">
      <c r="A215" s="69" t="s">
        <v>92</v>
      </c>
      <c r="B215" s="70"/>
      <c r="C215" s="70"/>
      <c r="D215" s="71"/>
      <c r="E215" s="72">
        <f>E209+E214</f>
        <v>4389.4400000000005</v>
      </c>
      <c r="G215" s="2"/>
    </row>
    <row r="216" spans="1:10" x14ac:dyDescent="0.2">
      <c r="A216" s="80" t="s">
        <v>93</v>
      </c>
      <c r="B216" s="107" t="s">
        <v>60</v>
      </c>
      <c r="C216" s="67">
        <f>E44</f>
        <v>3</v>
      </c>
      <c r="D216" s="81">
        <f>E215</f>
        <v>4389.4400000000005</v>
      </c>
      <c r="E216" s="72">
        <f>C216*D216</f>
        <v>13168.320000000002</v>
      </c>
      <c r="I216" s="108"/>
      <c r="J216" s="108"/>
    </row>
    <row r="217" spans="1:10" x14ac:dyDescent="0.2">
      <c r="A217" s="109"/>
      <c r="B217" s="109"/>
      <c r="C217" s="109"/>
      <c r="D217" s="74" t="s">
        <v>34</v>
      </c>
      <c r="E217" s="75">
        <v>1</v>
      </c>
      <c r="F217" s="100">
        <f>E216*E217</f>
        <v>13168.320000000002</v>
      </c>
    </row>
    <row r="219" spans="1:10" x14ac:dyDescent="0.2">
      <c r="A219" s="102" t="s">
        <v>94</v>
      </c>
      <c r="G219" s="2"/>
    </row>
    <row r="220" spans="1:10" x14ac:dyDescent="0.2">
      <c r="A220" s="110" t="s">
        <v>16</v>
      </c>
      <c r="B220" s="111" t="s">
        <v>17</v>
      </c>
      <c r="C220" s="111" t="s">
        <v>9</v>
      </c>
      <c r="D220" s="60" t="s">
        <v>18</v>
      </c>
      <c r="E220" s="112" t="s">
        <v>19</v>
      </c>
      <c r="F220" s="61" t="s">
        <v>20</v>
      </c>
    </row>
    <row r="221" spans="1:10" x14ac:dyDescent="0.2">
      <c r="A221" s="65" t="s">
        <v>95</v>
      </c>
      <c r="B221" s="66" t="s">
        <v>60</v>
      </c>
      <c r="C221" s="63">
        <v>1</v>
      </c>
      <c r="D221" s="68">
        <f>D205</f>
        <v>354000</v>
      </c>
      <c r="E221" s="68">
        <f>C221*D221</f>
        <v>354000</v>
      </c>
      <c r="F221" s="103"/>
      <c r="I221" s="108"/>
      <c r="J221" s="108"/>
    </row>
    <row r="222" spans="1:10" x14ac:dyDescent="0.2">
      <c r="A222" s="65" t="s">
        <v>96</v>
      </c>
      <c r="B222" s="66" t="s">
        <v>5</v>
      </c>
      <c r="C222" s="113">
        <v>0.14249999999999999</v>
      </c>
      <c r="D222" s="68"/>
      <c r="E222" s="68"/>
      <c r="F222" s="103"/>
    </row>
    <row r="223" spans="1:10" x14ac:dyDescent="0.2">
      <c r="A223" s="65" t="s">
        <v>97</v>
      </c>
      <c r="B223" s="66" t="s">
        <v>27</v>
      </c>
      <c r="C223" s="114">
        <f>IFERROR(IF(C207&lt;=C206,E205-(C208/(100*C206)*C207)*E205,E205-E208),0)</f>
        <v>235735.67999999999</v>
      </c>
      <c r="D223" s="68"/>
      <c r="E223" s="68"/>
      <c r="F223" s="103"/>
    </row>
    <row r="224" spans="1:10" x14ac:dyDescent="0.2">
      <c r="A224" s="65" t="s">
        <v>98</v>
      </c>
      <c r="B224" s="66" t="s">
        <v>27</v>
      </c>
      <c r="C224" s="68">
        <f>IFERROR(IF(C207&gt;=C206,C223,((((C223)-(E205-E208))*(((C206-C207)+1)/(2*(C206-C207))))+(E205-E208))),0)</f>
        <v>216024.95999999999</v>
      </c>
      <c r="D224" s="68"/>
      <c r="E224" s="68"/>
      <c r="F224" s="103"/>
    </row>
    <row r="225" spans="1:10" x14ac:dyDescent="0.2">
      <c r="A225" s="104" t="s">
        <v>99</v>
      </c>
      <c r="B225" s="105" t="s">
        <v>27</v>
      </c>
      <c r="C225" s="105"/>
      <c r="D225" s="106">
        <f>C222*C224/12</f>
        <v>2565.2963999999997</v>
      </c>
      <c r="E225" s="106">
        <f>D225</f>
        <v>2565.2963999999997</v>
      </c>
      <c r="F225" s="103"/>
    </row>
    <row r="226" spans="1:10" x14ac:dyDescent="0.2">
      <c r="A226" s="62" t="s">
        <v>100</v>
      </c>
      <c r="B226" s="63" t="s">
        <v>60</v>
      </c>
      <c r="C226" s="63">
        <f>C210</f>
        <v>1</v>
      </c>
      <c r="D226" s="64">
        <f>D210</f>
        <v>119000</v>
      </c>
      <c r="E226" s="64">
        <f>C226*D226</f>
        <v>119000</v>
      </c>
      <c r="F226" s="103"/>
    </row>
    <row r="227" spans="1:10" ht="11.25" customHeight="1" x14ac:dyDescent="0.2">
      <c r="A227" s="65" t="s">
        <v>96</v>
      </c>
      <c r="B227" s="66" t="s">
        <v>5</v>
      </c>
      <c r="C227" s="113">
        <f>C222</f>
        <v>0.14249999999999999</v>
      </c>
      <c r="D227" s="68"/>
      <c r="E227" s="68"/>
      <c r="F227" s="103"/>
    </row>
    <row r="228" spans="1:10" x14ac:dyDescent="0.2">
      <c r="A228" s="65" t="s">
        <v>101</v>
      </c>
      <c r="B228" s="66" t="s">
        <v>27</v>
      </c>
      <c r="C228" s="114">
        <f>IFERROR(IF(C212&lt;=C211,E210-(C213/(100*C211)*C212)*E210,E210-E213),0)</f>
        <v>79244.48000000001</v>
      </c>
      <c r="D228" s="68"/>
      <c r="E228" s="68"/>
      <c r="F228" s="103"/>
    </row>
    <row r="229" spans="1:10" x14ac:dyDescent="0.2">
      <c r="A229" s="65" t="s">
        <v>102</v>
      </c>
      <c r="B229" s="66" t="s">
        <v>27</v>
      </c>
      <c r="C229" s="68">
        <f>IFERROR(IF(C212&gt;=C211,C228,((((C228)-(E210-E213))*(((C211-C212)+1)/(2*(C211-C212))))+(E210-E213))),0)</f>
        <v>72618.560000000012</v>
      </c>
      <c r="D229" s="68"/>
      <c r="E229" s="68"/>
      <c r="F229" s="103"/>
      <c r="I229" s="108"/>
      <c r="J229" s="108"/>
    </row>
    <row r="230" spans="1:10" x14ac:dyDescent="0.2">
      <c r="A230" s="80" t="s">
        <v>103</v>
      </c>
      <c r="B230" s="107" t="s">
        <v>27</v>
      </c>
      <c r="C230" s="107"/>
      <c r="D230" s="81">
        <f>C227*C229/12</f>
        <v>862.34540000000004</v>
      </c>
      <c r="E230" s="81">
        <f>D230</f>
        <v>862.34540000000004</v>
      </c>
      <c r="F230" s="103"/>
      <c r="I230" s="108"/>
      <c r="J230" s="108"/>
    </row>
    <row r="231" spans="1:10" x14ac:dyDescent="0.2">
      <c r="A231" s="69" t="s">
        <v>92</v>
      </c>
      <c r="B231" s="70"/>
      <c r="C231" s="70"/>
      <c r="D231" s="71"/>
      <c r="E231" s="72">
        <f>E225+E230</f>
        <v>3427.6417999999999</v>
      </c>
      <c r="F231" s="103"/>
      <c r="I231" s="108"/>
      <c r="J231" s="108"/>
    </row>
    <row r="232" spans="1:10" x14ac:dyDescent="0.2">
      <c r="A232" s="80" t="s">
        <v>93</v>
      </c>
      <c r="B232" s="107" t="s">
        <v>60</v>
      </c>
      <c r="C232" s="66">
        <f>C216</f>
        <v>3</v>
      </c>
      <c r="D232" s="81">
        <f>E231</f>
        <v>3427.6417999999999</v>
      </c>
      <c r="E232" s="72">
        <f>C232*D232</f>
        <v>10282.9254</v>
      </c>
      <c r="F232" s="103"/>
      <c r="I232" s="108"/>
      <c r="J232" s="108"/>
    </row>
    <row r="233" spans="1:10" x14ac:dyDescent="0.2">
      <c r="C233" s="115"/>
      <c r="D233" s="74" t="s">
        <v>34</v>
      </c>
      <c r="E233" s="75">
        <f>$B$48</f>
        <v>1</v>
      </c>
      <c r="F233" s="100">
        <f>E232*E233</f>
        <v>10282.9254</v>
      </c>
      <c r="I233" s="108"/>
      <c r="J233" s="108"/>
    </row>
    <row r="234" spans="1:10" x14ac:dyDescent="0.2">
      <c r="I234" s="108"/>
      <c r="J234" s="108"/>
    </row>
    <row r="235" spans="1:10" x14ac:dyDescent="0.2">
      <c r="A235" s="2" t="s">
        <v>104</v>
      </c>
      <c r="I235" s="108"/>
      <c r="J235" s="108"/>
    </row>
    <row r="236" spans="1:10" x14ac:dyDescent="0.2">
      <c r="A236" s="58" t="s">
        <v>16</v>
      </c>
      <c r="B236" s="59" t="s">
        <v>17</v>
      </c>
      <c r="C236" s="59" t="s">
        <v>9</v>
      </c>
      <c r="D236" s="60" t="s">
        <v>18</v>
      </c>
      <c r="E236" s="60" t="s">
        <v>19</v>
      </c>
      <c r="F236" s="61" t="s">
        <v>20</v>
      </c>
      <c r="I236" s="108"/>
      <c r="J236" s="108"/>
    </row>
    <row r="237" spans="1:10" x14ac:dyDescent="0.2">
      <c r="A237" s="62" t="s">
        <v>105</v>
      </c>
      <c r="B237" s="63" t="s">
        <v>60</v>
      </c>
      <c r="C237" s="64">
        <f>C216</f>
        <v>3</v>
      </c>
      <c r="D237" s="64">
        <f>0.01*($E$205)</f>
        <v>3540</v>
      </c>
      <c r="E237" s="64">
        <f>C237*D237</f>
        <v>10620</v>
      </c>
      <c r="I237" s="108"/>
      <c r="J237" s="108"/>
    </row>
    <row r="238" spans="1:10" x14ac:dyDescent="0.2">
      <c r="A238" s="65" t="s">
        <v>106</v>
      </c>
      <c r="B238" s="66" t="s">
        <v>60</v>
      </c>
      <c r="C238" s="64">
        <f>C216</f>
        <v>3</v>
      </c>
      <c r="D238" s="68">
        <f>142.69+12.3</f>
        <v>154.99</v>
      </c>
      <c r="E238" s="68">
        <f>C238*D238</f>
        <v>464.97</v>
      </c>
      <c r="I238" s="108"/>
      <c r="J238" s="108"/>
    </row>
    <row r="239" spans="1:10" x14ac:dyDescent="0.2">
      <c r="A239" s="65" t="s">
        <v>107</v>
      </c>
      <c r="B239" s="66" t="s">
        <v>60</v>
      </c>
      <c r="C239" s="64">
        <f>C216</f>
        <v>3</v>
      </c>
      <c r="D239" s="68">
        <v>2000</v>
      </c>
      <c r="E239" s="68">
        <f>C239*D239</f>
        <v>6000</v>
      </c>
      <c r="F239" s="71"/>
      <c r="I239" s="108"/>
      <c r="J239" s="108"/>
    </row>
    <row r="240" spans="1:10" x14ac:dyDescent="0.2">
      <c r="A240" s="80" t="s">
        <v>108</v>
      </c>
      <c r="B240" s="107" t="s">
        <v>22</v>
      </c>
      <c r="C240" s="107">
        <v>12</v>
      </c>
      <c r="D240" s="81">
        <f>SUM(E237:E239)</f>
        <v>17084.97</v>
      </c>
      <c r="E240" s="81">
        <f>D240/C240</f>
        <v>1423.7475000000002</v>
      </c>
      <c r="I240" s="108"/>
      <c r="J240" s="108"/>
    </row>
    <row r="241" spans="1:10" x14ac:dyDescent="0.2">
      <c r="D241" s="74" t="s">
        <v>34</v>
      </c>
      <c r="E241" s="75">
        <f>$B$48</f>
        <v>1</v>
      </c>
      <c r="F241" s="76">
        <f>E240*E241</f>
        <v>1423.7475000000002</v>
      </c>
      <c r="I241" s="108"/>
      <c r="J241" s="108"/>
    </row>
    <row r="242" spans="1:10" x14ac:dyDescent="0.2">
      <c r="I242" s="108"/>
      <c r="J242" s="108"/>
    </row>
    <row r="243" spans="1:10" ht="11.25" customHeight="1" x14ac:dyDescent="0.2">
      <c r="A243" s="2" t="s">
        <v>109</v>
      </c>
      <c r="B243" s="116"/>
      <c r="I243" s="108"/>
      <c r="J243" s="108"/>
    </row>
    <row r="244" spans="1:10" x14ac:dyDescent="0.2">
      <c r="B244" s="116"/>
      <c r="I244" s="108"/>
      <c r="J244" s="108"/>
    </row>
    <row r="245" spans="1:10" x14ac:dyDescent="0.2">
      <c r="A245" s="80" t="s">
        <v>110</v>
      </c>
      <c r="B245" s="117">
        <v>4000</v>
      </c>
      <c r="I245" s="108"/>
      <c r="J245" s="108"/>
    </row>
    <row r="246" spans="1:10" x14ac:dyDescent="0.2">
      <c r="B246" s="116"/>
      <c r="I246" s="108"/>
      <c r="J246" s="108"/>
    </row>
    <row r="247" spans="1:10" x14ac:dyDescent="0.2">
      <c r="A247" s="58" t="s">
        <v>16</v>
      </c>
      <c r="B247" s="59" t="s">
        <v>17</v>
      </c>
      <c r="C247" s="59" t="s">
        <v>111</v>
      </c>
      <c r="D247" s="60" t="s">
        <v>18</v>
      </c>
      <c r="E247" s="60" t="s">
        <v>19</v>
      </c>
      <c r="F247" s="61" t="s">
        <v>20</v>
      </c>
      <c r="I247" s="108"/>
      <c r="J247" s="108"/>
    </row>
    <row r="248" spans="1:10" x14ac:dyDescent="0.2">
      <c r="A248" s="62" t="s">
        <v>112</v>
      </c>
      <c r="B248" s="63" t="s">
        <v>113</v>
      </c>
      <c r="C248" s="118">
        <v>1.7</v>
      </c>
      <c r="D248" s="119">
        <v>6.35</v>
      </c>
      <c r="E248" s="64"/>
      <c r="I248" s="108"/>
      <c r="J248" s="108"/>
    </row>
    <row r="249" spans="1:10" x14ac:dyDescent="0.2">
      <c r="A249" s="65" t="s">
        <v>114</v>
      </c>
      <c r="B249" s="66" t="s">
        <v>115</v>
      </c>
      <c r="C249" s="85">
        <f>B245</f>
        <v>4000</v>
      </c>
      <c r="D249" s="119">
        <f>IFERROR(+D248/C248,"-")</f>
        <v>3.7352941176470589</v>
      </c>
      <c r="E249" s="68">
        <f>IFERROR(C249*D249,"-")</f>
        <v>14941.176470588236</v>
      </c>
      <c r="I249" s="108"/>
      <c r="J249" s="108"/>
    </row>
    <row r="250" spans="1:10" x14ac:dyDescent="0.2">
      <c r="A250" s="65" t="s">
        <v>116</v>
      </c>
      <c r="B250" s="66" t="s">
        <v>117</v>
      </c>
      <c r="C250" s="120">
        <v>33</v>
      </c>
      <c r="D250" s="68">
        <v>14</v>
      </c>
      <c r="E250" s="68"/>
      <c r="I250" s="108"/>
      <c r="J250" s="108"/>
    </row>
    <row r="251" spans="1:10" ht="11.25" customHeight="1" x14ac:dyDescent="0.2">
      <c r="A251" s="65" t="s">
        <v>118</v>
      </c>
      <c r="B251" s="66" t="s">
        <v>115</v>
      </c>
      <c r="C251" s="85">
        <f>C249</f>
        <v>4000</v>
      </c>
      <c r="D251" s="121">
        <f>+C250*D250/1000</f>
        <v>0.46200000000000002</v>
      </c>
      <c r="E251" s="68">
        <f>C251*D251</f>
        <v>1848</v>
      </c>
      <c r="I251" s="108"/>
      <c r="J251" s="108"/>
    </row>
    <row r="252" spans="1:10" x14ac:dyDescent="0.2">
      <c r="A252" s="65" t="s">
        <v>119</v>
      </c>
      <c r="B252" s="66" t="s">
        <v>117</v>
      </c>
      <c r="C252" s="120">
        <v>1.8</v>
      </c>
      <c r="D252" s="68">
        <v>21.7</v>
      </c>
      <c r="E252" s="68"/>
      <c r="I252" s="108"/>
      <c r="J252" s="108"/>
    </row>
    <row r="253" spans="1:10" x14ac:dyDescent="0.2">
      <c r="A253" s="65" t="s">
        <v>120</v>
      </c>
      <c r="B253" s="66" t="s">
        <v>115</v>
      </c>
      <c r="C253" s="85">
        <f>C249</f>
        <v>4000</v>
      </c>
      <c r="D253" s="121">
        <f>+C252*D252/1000</f>
        <v>3.9060000000000004E-2</v>
      </c>
      <c r="E253" s="68">
        <f>C253*D253</f>
        <v>156.24</v>
      </c>
      <c r="I253" s="108"/>
      <c r="J253" s="108"/>
    </row>
    <row r="254" spans="1:10" x14ac:dyDescent="0.2">
      <c r="A254" s="65" t="s">
        <v>121</v>
      </c>
      <c r="B254" s="66" t="s">
        <v>117</v>
      </c>
      <c r="C254" s="120">
        <v>1.2</v>
      </c>
      <c r="D254" s="68">
        <v>32</v>
      </c>
      <c r="E254" s="68"/>
      <c r="I254" s="108"/>
      <c r="J254" s="108"/>
    </row>
    <row r="255" spans="1:10" x14ac:dyDescent="0.2">
      <c r="A255" s="65" t="s">
        <v>122</v>
      </c>
      <c r="B255" s="66" t="s">
        <v>115</v>
      </c>
      <c r="C255" s="85">
        <f>C249</f>
        <v>4000</v>
      </c>
      <c r="D255" s="121">
        <f>+C254*D254/1000</f>
        <v>3.8399999999999997E-2</v>
      </c>
      <c r="E255" s="68">
        <f>C255*D255</f>
        <v>153.6</v>
      </c>
      <c r="I255" s="108"/>
      <c r="J255" s="108"/>
    </row>
    <row r="256" spans="1:10" x14ac:dyDescent="0.2">
      <c r="A256" s="65" t="s">
        <v>123</v>
      </c>
      <c r="B256" s="66" t="s">
        <v>124</v>
      </c>
      <c r="C256" s="120">
        <v>2</v>
      </c>
      <c r="D256" s="68">
        <v>10.59</v>
      </c>
      <c r="E256" s="68"/>
      <c r="I256" s="108"/>
      <c r="J256" s="108"/>
    </row>
    <row r="257" spans="1:10" x14ac:dyDescent="0.2">
      <c r="A257" s="65" t="s">
        <v>125</v>
      </c>
      <c r="B257" s="66" t="s">
        <v>115</v>
      </c>
      <c r="C257" s="85">
        <f>C249</f>
        <v>4000</v>
      </c>
      <c r="D257" s="121">
        <f>+C256*D256/1000</f>
        <v>2.1180000000000001E-2</v>
      </c>
      <c r="E257" s="68">
        <f>C257*D257</f>
        <v>84.72</v>
      </c>
      <c r="I257" s="108"/>
      <c r="J257" s="108"/>
    </row>
    <row r="258" spans="1:10" x14ac:dyDescent="0.2">
      <c r="A258" s="80" t="s">
        <v>126</v>
      </c>
      <c r="B258" s="107" t="s">
        <v>127</v>
      </c>
      <c r="C258" s="122"/>
      <c r="D258" s="123">
        <f>IFERROR(D249+D251+D253+D255+D257,0)</f>
        <v>4.2959341176470591</v>
      </c>
      <c r="E258" s="68"/>
      <c r="I258" s="108"/>
      <c r="J258" s="108"/>
    </row>
    <row r="259" spans="1:10" x14ac:dyDescent="0.2">
      <c r="F259" s="100">
        <f>SUM(E248:E257)</f>
        <v>17183.736470588239</v>
      </c>
      <c r="I259" s="108"/>
      <c r="J259" s="108"/>
    </row>
    <row r="260" spans="1:10" x14ac:dyDescent="0.2">
      <c r="I260" s="108"/>
      <c r="J260" s="108"/>
    </row>
    <row r="261" spans="1:10" x14ac:dyDescent="0.2">
      <c r="A261" s="2" t="s">
        <v>128</v>
      </c>
      <c r="I261" s="108"/>
      <c r="J261" s="108"/>
    </row>
    <row r="262" spans="1:10" x14ac:dyDescent="0.2">
      <c r="A262" s="58" t="s">
        <v>16</v>
      </c>
      <c r="B262" s="59" t="s">
        <v>17</v>
      </c>
      <c r="C262" s="59" t="s">
        <v>9</v>
      </c>
      <c r="D262" s="60" t="s">
        <v>18</v>
      </c>
      <c r="E262" s="60" t="s">
        <v>19</v>
      </c>
      <c r="F262" s="61" t="s">
        <v>20</v>
      </c>
      <c r="I262" s="108"/>
      <c r="J262" s="108"/>
    </row>
    <row r="263" spans="1:10" x14ac:dyDescent="0.2">
      <c r="A263" s="62" t="s">
        <v>129</v>
      </c>
      <c r="B263" s="63" t="s">
        <v>127</v>
      </c>
      <c r="C263" s="85">
        <f>C249</f>
        <v>4000</v>
      </c>
      <c r="D263" s="64">
        <v>1.127</v>
      </c>
      <c r="E263" s="64">
        <f>C263*D263</f>
        <v>4508</v>
      </c>
      <c r="I263" s="108"/>
      <c r="J263" s="108"/>
    </row>
    <row r="264" spans="1:10" x14ac:dyDescent="0.2">
      <c r="F264" s="100">
        <f>E263</f>
        <v>4508</v>
      </c>
      <c r="I264" s="108"/>
      <c r="J264" s="108"/>
    </row>
    <row r="265" spans="1:10" x14ac:dyDescent="0.2">
      <c r="I265" s="108"/>
      <c r="J265" s="108"/>
    </row>
    <row r="266" spans="1:10" x14ac:dyDescent="0.2">
      <c r="A266" s="2" t="s">
        <v>130</v>
      </c>
      <c r="I266" s="108"/>
      <c r="J266" s="108"/>
    </row>
    <row r="267" spans="1:10" x14ac:dyDescent="0.2">
      <c r="A267" s="58" t="s">
        <v>16</v>
      </c>
      <c r="B267" s="59" t="s">
        <v>17</v>
      </c>
      <c r="C267" s="59" t="s">
        <v>9</v>
      </c>
      <c r="D267" s="60" t="s">
        <v>18</v>
      </c>
      <c r="E267" s="60" t="s">
        <v>19</v>
      </c>
      <c r="F267" s="61" t="s">
        <v>20</v>
      </c>
      <c r="I267" s="108"/>
      <c r="J267" s="108"/>
    </row>
    <row r="268" spans="1:10" x14ac:dyDescent="0.2">
      <c r="A268" s="62" t="s">
        <v>131</v>
      </c>
      <c r="B268" s="63" t="s">
        <v>60</v>
      </c>
      <c r="C268" s="63">
        <v>6</v>
      </c>
      <c r="D268" s="64">
        <v>2195</v>
      </c>
      <c r="E268" s="64">
        <f>C268*D268</f>
        <v>13170</v>
      </c>
      <c r="I268" s="108"/>
      <c r="J268" s="108"/>
    </row>
    <row r="269" spans="1:10" ht="11.25" customHeight="1" x14ac:dyDescent="0.2">
      <c r="A269" s="62" t="s">
        <v>132</v>
      </c>
      <c r="B269" s="63" t="s">
        <v>60</v>
      </c>
      <c r="C269" s="63">
        <v>2</v>
      </c>
      <c r="D269" s="64"/>
      <c r="E269" s="64"/>
      <c r="I269" s="108"/>
      <c r="J269" s="108"/>
    </row>
    <row r="270" spans="1:10" x14ac:dyDescent="0.2">
      <c r="A270" s="62" t="s">
        <v>133</v>
      </c>
      <c r="B270" s="63" t="s">
        <v>60</v>
      </c>
      <c r="C270" s="64">
        <f>C268*C269</f>
        <v>12</v>
      </c>
      <c r="D270" s="64">
        <v>800</v>
      </c>
      <c r="E270" s="64">
        <f>C270*D270</f>
        <v>9600</v>
      </c>
      <c r="I270" s="108"/>
      <c r="J270" s="108"/>
    </row>
    <row r="271" spans="1:10" x14ac:dyDescent="0.2">
      <c r="A271" s="65" t="s">
        <v>134</v>
      </c>
      <c r="B271" s="66" t="s">
        <v>135</v>
      </c>
      <c r="C271" s="124">
        <v>45000</v>
      </c>
      <c r="D271" s="68">
        <f>E268+E270</f>
        <v>22770</v>
      </c>
      <c r="E271" s="68">
        <f>IFERROR(D271/C271,"-")</f>
        <v>0.50600000000000001</v>
      </c>
      <c r="I271" s="108"/>
      <c r="J271" s="108"/>
    </row>
    <row r="272" spans="1:10" x14ac:dyDescent="0.2">
      <c r="A272" s="65" t="s">
        <v>136</v>
      </c>
      <c r="B272" s="66" t="s">
        <v>115</v>
      </c>
      <c r="C272" s="85">
        <f>B245</f>
        <v>4000</v>
      </c>
      <c r="D272" s="68">
        <f>E271</f>
        <v>0.50600000000000001</v>
      </c>
      <c r="E272" s="68">
        <f>IFERROR(C272*D272,0)</f>
        <v>2024</v>
      </c>
      <c r="I272" s="108"/>
      <c r="J272" s="108"/>
    </row>
    <row r="273" spans="1:10" x14ac:dyDescent="0.2">
      <c r="F273" s="100">
        <f>E272</f>
        <v>2024</v>
      </c>
      <c r="I273" s="108"/>
      <c r="J273" s="108"/>
    </row>
    <row r="274" spans="1:10" ht="11.25" customHeight="1" x14ac:dyDescent="0.2">
      <c r="I274" s="108"/>
      <c r="J274" s="108"/>
    </row>
    <row r="275" spans="1:10" x14ac:dyDescent="0.2">
      <c r="A275" s="89" t="s">
        <v>137</v>
      </c>
      <c r="B275" s="90"/>
      <c r="C275" s="90"/>
      <c r="D275" s="35"/>
      <c r="E275" s="91"/>
      <c r="F275" s="100">
        <f>+SUM(F204:F274)</f>
        <v>48590.72937058824</v>
      </c>
      <c r="I275" s="108"/>
      <c r="J275" s="108"/>
    </row>
    <row r="276" spans="1:10" x14ac:dyDescent="0.2">
      <c r="A276" s="26"/>
      <c r="B276" s="26"/>
      <c r="C276" s="26"/>
      <c r="D276" s="28"/>
      <c r="E276" s="28"/>
      <c r="F276" s="71"/>
      <c r="I276" s="108"/>
      <c r="J276" s="108"/>
    </row>
    <row r="277" spans="1:10" x14ac:dyDescent="0.2">
      <c r="A277" s="2" t="s">
        <v>320</v>
      </c>
      <c r="I277" s="108"/>
      <c r="J277" s="108"/>
    </row>
    <row r="278" spans="1:10" x14ac:dyDescent="0.2">
      <c r="I278" s="108"/>
      <c r="J278" s="108"/>
    </row>
    <row r="279" spans="1:10" x14ac:dyDescent="0.2">
      <c r="A279" s="102" t="s">
        <v>138</v>
      </c>
      <c r="I279" s="108"/>
      <c r="J279" s="108"/>
    </row>
    <row r="280" spans="1:10" x14ac:dyDescent="0.2">
      <c r="A280" s="58" t="s">
        <v>16</v>
      </c>
      <c r="B280" s="59" t="s">
        <v>17</v>
      </c>
      <c r="C280" s="59" t="s">
        <v>9</v>
      </c>
      <c r="D280" s="60" t="s">
        <v>18</v>
      </c>
      <c r="E280" s="60" t="s">
        <v>19</v>
      </c>
      <c r="F280" s="61" t="s">
        <v>20</v>
      </c>
      <c r="I280" s="108"/>
      <c r="J280" s="108"/>
    </row>
    <row r="281" spans="1:10" x14ac:dyDescent="0.2">
      <c r="A281" s="62" t="s">
        <v>139</v>
      </c>
      <c r="B281" s="63" t="s">
        <v>60</v>
      </c>
      <c r="C281" s="63">
        <v>1</v>
      </c>
      <c r="D281" s="64">
        <v>55000</v>
      </c>
      <c r="E281" s="64">
        <f>C281*D281</f>
        <v>55000</v>
      </c>
      <c r="I281" s="108"/>
      <c r="J281" s="108"/>
    </row>
    <row r="282" spans="1:10" x14ac:dyDescent="0.2">
      <c r="A282" s="65" t="s">
        <v>140</v>
      </c>
      <c r="B282" s="66" t="s">
        <v>83</v>
      </c>
      <c r="C282" s="66">
        <v>5</v>
      </c>
      <c r="D282" s="68"/>
      <c r="E282" s="68"/>
      <c r="I282" s="108"/>
      <c r="J282" s="108"/>
    </row>
    <row r="283" spans="1:10" x14ac:dyDescent="0.2">
      <c r="A283" s="65" t="s">
        <v>84</v>
      </c>
      <c r="B283" s="66" t="s">
        <v>83</v>
      </c>
      <c r="C283" s="66">
        <v>3</v>
      </c>
      <c r="D283" s="68"/>
      <c r="E283" s="68"/>
      <c r="F283" s="103"/>
      <c r="I283" s="108"/>
      <c r="J283" s="108"/>
    </row>
    <row r="284" spans="1:10" x14ac:dyDescent="0.2">
      <c r="A284" s="65" t="s">
        <v>141</v>
      </c>
      <c r="B284" s="66" t="s">
        <v>5</v>
      </c>
      <c r="C284" s="68">
        <f>'5. Depreciação'!B7</f>
        <v>55.68</v>
      </c>
      <c r="D284" s="68">
        <f>E281</f>
        <v>55000</v>
      </c>
      <c r="E284" s="68">
        <f>C284*D284/100</f>
        <v>30624</v>
      </c>
      <c r="I284" s="108"/>
      <c r="J284" s="108"/>
    </row>
    <row r="285" spans="1:10" x14ac:dyDescent="0.2">
      <c r="A285" s="104" t="s">
        <v>142</v>
      </c>
      <c r="B285" s="105" t="s">
        <v>22</v>
      </c>
      <c r="C285" s="105">
        <f>C282*12</f>
        <v>60</v>
      </c>
      <c r="D285" s="106">
        <f>IF(C283&lt;=C282,E284,0)</f>
        <v>30624</v>
      </c>
      <c r="E285" s="106">
        <f>IFERROR(D285/C285,0)</f>
        <v>510.4</v>
      </c>
      <c r="I285" s="108"/>
      <c r="J285" s="108"/>
    </row>
    <row r="286" spans="1:10" x14ac:dyDescent="0.2">
      <c r="A286" s="80" t="s">
        <v>93</v>
      </c>
      <c r="B286" s="107" t="s">
        <v>60</v>
      </c>
      <c r="C286" s="73">
        <v>1</v>
      </c>
      <c r="D286" s="81">
        <f>E285</f>
        <v>510.4</v>
      </c>
      <c r="E286" s="72">
        <f>C286*D286</f>
        <v>510.4</v>
      </c>
      <c r="I286" s="108"/>
      <c r="J286" s="108"/>
    </row>
    <row r="287" spans="1:10" x14ac:dyDescent="0.2">
      <c r="A287" s="109"/>
      <c r="B287" s="109"/>
      <c r="C287" s="109"/>
      <c r="D287" s="74" t="s">
        <v>34</v>
      </c>
      <c r="E287" s="75">
        <v>1</v>
      </c>
      <c r="F287" s="100">
        <f>E286*E287</f>
        <v>510.4</v>
      </c>
      <c r="I287" s="108"/>
      <c r="J287" s="108"/>
    </row>
    <row r="288" spans="1:10" x14ac:dyDescent="0.2">
      <c r="A288" s="102" t="s">
        <v>143</v>
      </c>
      <c r="I288" s="108"/>
      <c r="J288" s="108"/>
    </row>
    <row r="289" spans="1:10" x14ac:dyDescent="0.2">
      <c r="A289" s="125" t="s">
        <v>16</v>
      </c>
      <c r="B289" s="125" t="s">
        <v>17</v>
      </c>
      <c r="C289" s="125" t="s">
        <v>9</v>
      </c>
      <c r="D289" s="126" t="s">
        <v>18</v>
      </c>
      <c r="E289" s="126" t="s">
        <v>19</v>
      </c>
      <c r="F289" s="126" t="s">
        <v>20</v>
      </c>
      <c r="I289" s="108"/>
      <c r="J289" s="108"/>
    </row>
    <row r="290" spans="1:10" x14ac:dyDescent="0.2">
      <c r="A290" s="65" t="s">
        <v>144</v>
      </c>
      <c r="B290" s="66" t="s">
        <v>60</v>
      </c>
      <c r="C290" s="66">
        <v>1</v>
      </c>
      <c r="D290" s="68">
        <f>D281</f>
        <v>55000</v>
      </c>
      <c r="E290" s="68">
        <f>C290*D290</f>
        <v>55000</v>
      </c>
      <c r="F290" s="103"/>
      <c r="I290" s="108"/>
      <c r="J290" s="108"/>
    </row>
    <row r="291" spans="1:10" x14ac:dyDescent="0.2">
      <c r="A291" s="65" t="s">
        <v>96</v>
      </c>
      <c r="B291" s="66" t="s">
        <v>5</v>
      </c>
      <c r="C291" s="113">
        <f>C222</f>
        <v>0.14249999999999999</v>
      </c>
      <c r="D291" s="68"/>
      <c r="E291" s="68"/>
      <c r="F291" s="103"/>
      <c r="I291" s="108"/>
      <c r="J291" s="108"/>
    </row>
    <row r="292" spans="1:10" x14ac:dyDescent="0.2">
      <c r="A292" s="65" t="s">
        <v>97</v>
      </c>
      <c r="B292" s="66" t="s">
        <v>27</v>
      </c>
      <c r="C292" s="114">
        <f>IFERROR(IF(C283&lt;=C282,E281-(C284/(100*C282)*C283)*E281,E281-E284),0)</f>
        <v>36625.600000000006</v>
      </c>
      <c r="D292" s="68"/>
      <c r="E292" s="68"/>
      <c r="F292" s="103"/>
      <c r="I292" s="108"/>
      <c r="J292" s="108"/>
    </row>
    <row r="293" spans="1:10" x14ac:dyDescent="0.2">
      <c r="A293" s="65" t="s">
        <v>145</v>
      </c>
      <c r="B293" s="66" t="s">
        <v>27</v>
      </c>
      <c r="C293" s="68">
        <f>IFERROR(IF(C283&gt;=C282,C292,((((C292)-(E281-E284))*(((C282-C283)+1)/(2*(C282-C283))))+(E281-E284))),0)</f>
        <v>33563.200000000004</v>
      </c>
      <c r="D293" s="68"/>
      <c r="E293" s="68"/>
      <c r="F293" s="103"/>
      <c r="I293" s="108"/>
      <c r="J293" s="108"/>
    </row>
    <row r="294" spans="1:10" x14ac:dyDescent="0.2">
      <c r="A294" s="104" t="s">
        <v>99</v>
      </c>
      <c r="B294" s="105" t="s">
        <v>27</v>
      </c>
      <c r="C294" s="105"/>
      <c r="D294" s="106">
        <f>C291*C293/12</f>
        <v>398.56300000000005</v>
      </c>
      <c r="E294" s="106">
        <f>D294</f>
        <v>398.56300000000005</v>
      </c>
      <c r="F294" s="103"/>
      <c r="I294" s="108"/>
      <c r="J294" s="108"/>
    </row>
    <row r="295" spans="1:10" x14ac:dyDescent="0.2">
      <c r="A295" s="80" t="s">
        <v>93</v>
      </c>
      <c r="B295" s="107" t="s">
        <v>60</v>
      </c>
      <c r="C295" s="73">
        <f>C286</f>
        <v>1</v>
      </c>
      <c r="D295" s="81">
        <f>E294</f>
        <v>398.56300000000005</v>
      </c>
      <c r="E295" s="72">
        <f>C295*D295</f>
        <v>398.56300000000005</v>
      </c>
      <c r="F295" s="103"/>
      <c r="I295" s="108"/>
      <c r="J295" s="108"/>
    </row>
    <row r="296" spans="1:10" x14ac:dyDescent="0.2">
      <c r="C296" s="115"/>
      <c r="D296" s="74" t="s">
        <v>34</v>
      </c>
      <c r="E296" s="75">
        <v>1</v>
      </c>
      <c r="F296" s="100">
        <f>E295*E296</f>
        <v>398.56300000000005</v>
      </c>
      <c r="I296" s="108"/>
      <c r="J296" s="108"/>
    </row>
    <row r="297" spans="1:10" x14ac:dyDescent="0.2">
      <c r="A297" s="2" t="s">
        <v>146</v>
      </c>
      <c r="I297" s="108"/>
      <c r="J297" s="108"/>
    </row>
    <row r="298" spans="1:10" x14ac:dyDescent="0.2">
      <c r="A298" s="58" t="s">
        <v>16</v>
      </c>
      <c r="B298" s="59" t="s">
        <v>17</v>
      </c>
      <c r="C298" s="59" t="s">
        <v>9</v>
      </c>
      <c r="D298" s="60" t="s">
        <v>18</v>
      </c>
      <c r="E298" s="60" t="s">
        <v>19</v>
      </c>
      <c r="F298" s="61" t="s">
        <v>20</v>
      </c>
      <c r="I298" s="108"/>
      <c r="J298" s="108"/>
    </row>
    <row r="299" spans="1:10" x14ac:dyDescent="0.2">
      <c r="A299" s="62" t="s">
        <v>105</v>
      </c>
      <c r="B299" s="63" t="s">
        <v>60</v>
      </c>
      <c r="C299" s="64">
        <f>C286</f>
        <v>1</v>
      </c>
      <c r="D299" s="64">
        <f>0.02*($E$162)</f>
        <v>34.4</v>
      </c>
      <c r="E299" s="64">
        <f>C299*D299</f>
        <v>34.4</v>
      </c>
      <c r="I299" s="108"/>
      <c r="J299" s="108"/>
    </row>
    <row r="300" spans="1:10" x14ac:dyDescent="0.2">
      <c r="A300" s="65" t="s">
        <v>106</v>
      </c>
      <c r="B300" s="66" t="s">
        <v>60</v>
      </c>
      <c r="C300" s="64">
        <f>C286</f>
        <v>1</v>
      </c>
      <c r="D300" s="68">
        <f>142.69+12.3</f>
        <v>154.99</v>
      </c>
      <c r="E300" s="68">
        <f>C300*D300</f>
        <v>154.99</v>
      </c>
      <c r="I300" s="108"/>
      <c r="J300" s="108"/>
    </row>
    <row r="301" spans="1:10" x14ac:dyDescent="0.2">
      <c r="A301" s="65" t="s">
        <v>107</v>
      </c>
      <c r="B301" s="66" t="s">
        <v>60</v>
      </c>
      <c r="C301" s="64">
        <f>C286</f>
        <v>1</v>
      </c>
      <c r="D301" s="68">
        <v>2500</v>
      </c>
      <c r="E301" s="68">
        <f>C301*D301</f>
        <v>2500</v>
      </c>
      <c r="F301" s="71"/>
      <c r="I301" s="108"/>
      <c r="J301" s="108"/>
    </row>
    <row r="302" spans="1:10" x14ac:dyDescent="0.2">
      <c r="A302" s="80" t="s">
        <v>108</v>
      </c>
      <c r="B302" s="107" t="s">
        <v>22</v>
      </c>
      <c r="C302" s="107">
        <v>12</v>
      </c>
      <c r="D302" s="81">
        <f>SUM(E299:E301)</f>
        <v>2689.39</v>
      </c>
      <c r="E302" s="81">
        <f>D302/C302</f>
        <v>224.11583333333331</v>
      </c>
      <c r="I302" s="108"/>
      <c r="J302" s="108"/>
    </row>
    <row r="303" spans="1:10" x14ac:dyDescent="0.2">
      <c r="D303" s="74" t="s">
        <v>34</v>
      </c>
      <c r="E303" s="75">
        <v>1</v>
      </c>
      <c r="F303" s="76">
        <f>E302*E303</f>
        <v>224.11583333333331</v>
      </c>
      <c r="I303" s="108"/>
      <c r="J303" s="108"/>
    </row>
    <row r="304" spans="1:10" x14ac:dyDescent="0.2">
      <c r="I304" s="108"/>
      <c r="J304" s="108"/>
    </row>
    <row r="305" spans="1:10" x14ac:dyDescent="0.2">
      <c r="A305" s="2" t="s">
        <v>147</v>
      </c>
      <c r="B305" s="116"/>
      <c r="I305" s="108"/>
      <c r="J305" s="108"/>
    </row>
    <row r="306" spans="1:10" x14ac:dyDescent="0.2">
      <c r="A306" s="80" t="s">
        <v>110</v>
      </c>
      <c r="B306" s="117">
        <v>1800</v>
      </c>
      <c r="I306" s="108"/>
      <c r="J306" s="108"/>
    </row>
    <row r="307" spans="1:10" x14ac:dyDescent="0.2">
      <c r="B307" s="116"/>
      <c r="I307" s="108"/>
      <c r="J307" s="108"/>
    </row>
    <row r="308" spans="1:10" x14ac:dyDescent="0.2">
      <c r="A308" s="58" t="s">
        <v>16</v>
      </c>
      <c r="B308" s="59" t="s">
        <v>17</v>
      </c>
      <c r="C308" s="59" t="s">
        <v>111</v>
      </c>
      <c r="D308" s="60" t="s">
        <v>18</v>
      </c>
      <c r="E308" s="60" t="s">
        <v>19</v>
      </c>
      <c r="F308" s="61" t="s">
        <v>20</v>
      </c>
      <c r="I308" s="108"/>
      <c r="J308" s="108"/>
    </row>
    <row r="309" spans="1:10" x14ac:dyDescent="0.2">
      <c r="A309" s="62" t="s">
        <v>148</v>
      </c>
      <c r="B309" s="63" t="s">
        <v>113</v>
      </c>
      <c r="C309" s="118">
        <v>10</v>
      </c>
      <c r="D309" s="119">
        <v>6.49</v>
      </c>
      <c r="E309" s="64"/>
      <c r="I309" s="108"/>
      <c r="J309" s="108"/>
    </row>
    <row r="310" spans="1:10" x14ac:dyDescent="0.2">
      <c r="A310" s="65" t="s">
        <v>149</v>
      </c>
      <c r="B310" s="66" t="s">
        <v>115</v>
      </c>
      <c r="C310" s="85">
        <f>B306</f>
        <v>1800</v>
      </c>
      <c r="D310" s="119">
        <f>IFERROR(+D309/C309,"-")</f>
        <v>0.64900000000000002</v>
      </c>
      <c r="E310" s="68">
        <f>IFERROR(C310*D310,"-")</f>
        <v>1168.2</v>
      </c>
      <c r="I310" s="108"/>
      <c r="J310" s="108"/>
    </row>
    <row r="311" spans="1:10" x14ac:dyDescent="0.2">
      <c r="A311" s="65" t="s">
        <v>116</v>
      </c>
      <c r="B311" s="66" t="s">
        <v>117</v>
      </c>
      <c r="C311" s="120">
        <v>2.2999999999999998</v>
      </c>
      <c r="D311" s="68">
        <v>21.18</v>
      </c>
      <c r="E311" s="68"/>
      <c r="I311" s="108"/>
      <c r="J311" s="108"/>
    </row>
    <row r="312" spans="1:10" x14ac:dyDescent="0.2">
      <c r="A312" s="65" t="s">
        <v>118</v>
      </c>
      <c r="B312" s="66" t="s">
        <v>115</v>
      </c>
      <c r="C312" s="85">
        <f>C310</f>
        <v>1800</v>
      </c>
      <c r="D312" s="121">
        <f>+C311*D311/1000</f>
        <v>4.8714E-2</v>
      </c>
      <c r="E312" s="68">
        <f>C312*D312</f>
        <v>87.685199999999995</v>
      </c>
      <c r="I312" s="108"/>
      <c r="J312" s="108"/>
    </row>
    <row r="313" spans="1:10" x14ac:dyDescent="0.2">
      <c r="A313" s="65" t="s">
        <v>119</v>
      </c>
      <c r="B313" s="66" t="s">
        <v>117</v>
      </c>
      <c r="C313" s="120">
        <v>0.35</v>
      </c>
      <c r="D313" s="68">
        <v>27.9</v>
      </c>
      <c r="E313" s="68"/>
      <c r="I313" s="108"/>
      <c r="J313" s="108"/>
    </row>
    <row r="314" spans="1:10" x14ac:dyDescent="0.2">
      <c r="A314" s="65" t="s">
        <v>120</v>
      </c>
      <c r="B314" s="66" t="s">
        <v>115</v>
      </c>
      <c r="C314" s="85">
        <f>C310</f>
        <v>1800</v>
      </c>
      <c r="D314" s="121">
        <f>+C313*D313/1000</f>
        <v>9.7649999999999994E-3</v>
      </c>
      <c r="E314" s="68">
        <f>C314*D314</f>
        <v>17.576999999999998</v>
      </c>
      <c r="I314" s="108"/>
      <c r="J314" s="108"/>
    </row>
    <row r="315" spans="1:10" x14ac:dyDescent="0.2">
      <c r="A315" s="80" t="s">
        <v>126</v>
      </c>
      <c r="B315" s="107" t="s">
        <v>127</v>
      </c>
      <c r="C315" s="122"/>
      <c r="D315" s="123">
        <f>IFERROR(D310+D312+D314+#REF!+#REF!,0)</f>
        <v>0</v>
      </c>
      <c r="E315" s="68"/>
      <c r="I315" s="108"/>
      <c r="J315" s="108"/>
    </row>
    <row r="316" spans="1:10" x14ac:dyDescent="0.2">
      <c r="F316" s="100">
        <f>SUM(E309:E314)</f>
        <v>1273.4621999999999</v>
      </c>
      <c r="I316" s="108"/>
      <c r="J316" s="108"/>
    </row>
    <row r="317" spans="1:10" x14ac:dyDescent="0.2">
      <c r="I317" s="108"/>
      <c r="J317" s="108"/>
    </row>
    <row r="318" spans="1:10" x14ac:dyDescent="0.2">
      <c r="A318" s="2" t="s">
        <v>150</v>
      </c>
      <c r="I318" s="108"/>
      <c r="J318" s="108"/>
    </row>
    <row r="319" spans="1:10" x14ac:dyDescent="0.2">
      <c r="A319" s="58" t="s">
        <v>16</v>
      </c>
      <c r="B319" s="59" t="s">
        <v>17</v>
      </c>
      <c r="C319" s="59" t="s">
        <v>9</v>
      </c>
      <c r="D319" s="60" t="s">
        <v>18</v>
      </c>
      <c r="E319" s="60" t="s">
        <v>19</v>
      </c>
      <c r="F319" s="61" t="s">
        <v>20</v>
      </c>
      <c r="I319" s="108"/>
      <c r="J319" s="108"/>
    </row>
    <row r="320" spans="1:10" x14ac:dyDescent="0.2">
      <c r="A320" s="62" t="s">
        <v>151</v>
      </c>
      <c r="B320" s="63" t="s">
        <v>127</v>
      </c>
      <c r="C320" s="85">
        <f>C310</f>
        <v>1800</v>
      </c>
      <c r="D320" s="64">
        <v>0.26</v>
      </c>
      <c r="E320" s="64">
        <f>C320*D320</f>
        <v>468</v>
      </c>
      <c r="I320" s="108"/>
      <c r="J320" s="108"/>
    </row>
    <row r="321" spans="1:10" x14ac:dyDescent="0.2">
      <c r="F321" s="100">
        <f>E320</f>
        <v>468</v>
      </c>
      <c r="I321" s="108"/>
      <c r="J321" s="108"/>
    </row>
    <row r="322" spans="1:10" x14ac:dyDescent="0.2">
      <c r="I322" s="108"/>
      <c r="J322" s="108"/>
    </row>
    <row r="323" spans="1:10" x14ac:dyDescent="0.2">
      <c r="A323" s="2" t="s">
        <v>152</v>
      </c>
      <c r="I323" s="108"/>
      <c r="J323" s="108"/>
    </row>
    <row r="324" spans="1:10" x14ac:dyDescent="0.2">
      <c r="A324" s="58" t="s">
        <v>16</v>
      </c>
      <c r="B324" s="59" t="s">
        <v>17</v>
      </c>
      <c r="C324" s="59" t="s">
        <v>9</v>
      </c>
      <c r="D324" s="60" t="s">
        <v>18</v>
      </c>
      <c r="E324" s="60" t="s">
        <v>19</v>
      </c>
      <c r="F324" s="61" t="s">
        <v>20</v>
      </c>
      <c r="I324" s="108"/>
      <c r="J324" s="108"/>
    </row>
    <row r="325" spans="1:10" x14ac:dyDescent="0.2">
      <c r="A325" s="62" t="s">
        <v>153</v>
      </c>
      <c r="B325" s="63" t="s">
        <v>60</v>
      </c>
      <c r="C325" s="63">
        <v>4</v>
      </c>
      <c r="D325" s="64">
        <v>450</v>
      </c>
      <c r="E325" s="64">
        <f>C325*D325</f>
        <v>1800</v>
      </c>
      <c r="I325" s="108"/>
      <c r="J325" s="108"/>
    </row>
    <row r="326" spans="1:10" x14ac:dyDescent="0.2">
      <c r="A326" s="65" t="s">
        <v>154</v>
      </c>
      <c r="B326" s="66" t="s">
        <v>135</v>
      </c>
      <c r="C326" s="124">
        <v>30000</v>
      </c>
      <c r="D326" s="68">
        <f>E325</f>
        <v>1800</v>
      </c>
      <c r="E326" s="68">
        <f>IFERROR(D326/C326,"-")</f>
        <v>0.06</v>
      </c>
      <c r="I326" s="108"/>
      <c r="J326" s="108"/>
    </row>
    <row r="327" spans="1:10" x14ac:dyDescent="0.2">
      <c r="A327" s="65" t="s">
        <v>136</v>
      </c>
      <c r="B327" s="66" t="s">
        <v>115</v>
      </c>
      <c r="C327" s="85">
        <f>B306</f>
        <v>1800</v>
      </c>
      <c r="D327" s="68">
        <f>E326</f>
        <v>0.06</v>
      </c>
      <c r="E327" s="68">
        <f>IFERROR(C327*D327,0)</f>
        <v>108</v>
      </c>
      <c r="I327" s="108"/>
      <c r="J327" s="108"/>
    </row>
    <row r="328" spans="1:10" x14ac:dyDescent="0.2">
      <c r="F328" s="100">
        <f>E327</f>
        <v>108</v>
      </c>
      <c r="I328" s="108"/>
      <c r="J328" s="108"/>
    </row>
    <row r="329" spans="1:10" x14ac:dyDescent="0.2">
      <c r="A329" s="26"/>
      <c r="B329" s="26"/>
      <c r="C329" s="26"/>
      <c r="D329" s="28"/>
      <c r="E329" s="28"/>
      <c r="F329" s="71"/>
      <c r="I329" s="108"/>
      <c r="J329" s="108"/>
    </row>
    <row r="330" spans="1:10" x14ac:dyDescent="0.2">
      <c r="A330" s="89" t="s">
        <v>155</v>
      </c>
      <c r="B330" s="90"/>
      <c r="C330" s="90"/>
      <c r="D330" s="35"/>
      <c r="E330" s="91"/>
      <c r="F330" s="100">
        <f>+SUM(F280:F329)</f>
        <v>2982.541033333333</v>
      </c>
      <c r="I330" s="108"/>
      <c r="J330" s="108"/>
    </row>
    <row r="331" spans="1:10" x14ac:dyDescent="0.2">
      <c r="A331" s="26"/>
      <c r="B331" s="26"/>
      <c r="C331" s="26"/>
      <c r="D331" s="28"/>
      <c r="E331" s="28"/>
      <c r="F331" s="71"/>
      <c r="I331" s="108"/>
      <c r="J331" s="108"/>
    </row>
    <row r="332" spans="1:10" x14ac:dyDescent="0.2">
      <c r="A332" s="89" t="s">
        <v>156</v>
      </c>
      <c r="B332" s="90"/>
      <c r="C332" s="90"/>
      <c r="D332" s="35"/>
      <c r="E332" s="91"/>
      <c r="F332" s="100">
        <f>F275+F330</f>
        <v>51573.270403921575</v>
      </c>
      <c r="I332" s="108"/>
      <c r="J332" s="108"/>
    </row>
    <row r="333" spans="1:10" x14ac:dyDescent="0.2">
      <c r="A333" s="26"/>
      <c r="B333" s="26"/>
      <c r="C333" s="26"/>
      <c r="D333" s="28"/>
      <c r="E333" s="28"/>
      <c r="F333" s="71"/>
      <c r="I333" s="108"/>
      <c r="J333" s="108"/>
    </row>
    <row r="334" spans="1:10" x14ac:dyDescent="0.2">
      <c r="A334" s="26" t="s">
        <v>157</v>
      </c>
      <c r="I334" s="108"/>
      <c r="J334" s="108"/>
    </row>
    <row r="335" spans="1:10" x14ac:dyDescent="0.2">
      <c r="B335" s="127"/>
      <c r="C335" s="127"/>
      <c r="D335" s="128"/>
      <c r="E335" s="128"/>
      <c r="F335" s="128"/>
      <c r="I335" s="108"/>
      <c r="J335" s="108"/>
    </row>
    <row r="336" spans="1:10" x14ac:dyDescent="0.2">
      <c r="A336" s="58" t="s">
        <v>16</v>
      </c>
      <c r="B336" s="59" t="s">
        <v>17</v>
      </c>
      <c r="C336" s="59" t="s">
        <v>9</v>
      </c>
      <c r="D336" s="60" t="s">
        <v>18</v>
      </c>
      <c r="E336" s="60" t="s">
        <v>19</v>
      </c>
      <c r="F336" s="61" t="s">
        <v>20</v>
      </c>
      <c r="I336" s="108"/>
      <c r="J336" s="108"/>
    </row>
    <row r="337" spans="1:10" x14ac:dyDescent="0.2">
      <c r="A337" s="65" t="s">
        <v>158</v>
      </c>
      <c r="B337" s="66" t="s">
        <v>60</v>
      </c>
      <c r="C337" s="94">
        <v>0.16666666666666699</v>
      </c>
      <c r="D337" s="64">
        <v>50</v>
      </c>
      <c r="E337" s="68">
        <f t="shared" ref="E337:E342" si="3">C337*D337</f>
        <v>8.3333333333333499</v>
      </c>
      <c r="F337" s="103"/>
      <c r="I337" s="108"/>
      <c r="J337" s="108"/>
    </row>
    <row r="338" spans="1:10" ht="11.25" customHeight="1" x14ac:dyDescent="0.2">
      <c r="A338" s="65" t="s">
        <v>159</v>
      </c>
      <c r="B338" s="66" t="s">
        <v>60</v>
      </c>
      <c r="C338" s="94">
        <v>0.16666666666666699</v>
      </c>
      <c r="D338" s="64">
        <v>47</v>
      </c>
      <c r="E338" s="68">
        <f t="shared" si="3"/>
        <v>7.8333333333333481</v>
      </c>
      <c r="F338" s="103"/>
      <c r="I338" s="108"/>
      <c r="J338" s="108"/>
    </row>
    <row r="339" spans="1:10" ht="11.25" customHeight="1" x14ac:dyDescent="0.2">
      <c r="A339" s="65" t="s">
        <v>160</v>
      </c>
      <c r="B339" s="66" t="s">
        <v>60</v>
      </c>
      <c r="C339" s="94">
        <v>0.33333333333333298</v>
      </c>
      <c r="D339" s="64">
        <v>28.9</v>
      </c>
      <c r="E339" s="68">
        <f t="shared" si="3"/>
        <v>9.6333333333333222</v>
      </c>
      <c r="F339" s="103"/>
      <c r="G339" s="2"/>
    </row>
    <row r="340" spans="1:10" x14ac:dyDescent="0.2">
      <c r="A340" s="65" t="s">
        <v>161</v>
      </c>
      <c r="B340" s="66" t="s">
        <v>162</v>
      </c>
      <c r="C340" s="94">
        <v>8.3333333333333301E-2</v>
      </c>
      <c r="D340" s="64">
        <v>1200</v>
      </c>
      <c r="E340" s="68">
        <f t="shared" si="3"/>
        <v>99.999999999999957</v>
      </c>
      <c r="F340" s="103"/>
      <c r="G340" s="2"/>
    </row>
    <row r="341" spans="1:10" x14ac:dyDescent="0.2">
      <c r="A341" s="65" t="s">
        <v>163</v>
      </c>
      <c r="B341" s="66" t="s">
        <v>162</v>
      </c>
      <c r="C341" s="94">
        <v>8.3333333333333301E-2</v>
      </c>
      <c r="D341" s="64">
        <v>85</v>
      </c>
      <c r="E341" s="68">
        <f t="shared" si="3"/>
        <v>7.0833333333333304</v>
      </c>
      <c r="F341" s="103"/>
      <c r="G341" s="2"/>
    </row>
    <row r="342" spans="1:10" ht="11.25" customHeight="1" x14ac:dyDescent="0.2">
      <c r="A342" s="65" t="s">
        <v>164</v>
      </c>
      <c r="B342" s="66" t="s">
        <v>22</v>
      </c>
      <c r="C342" s="94">
        <v>1</v>
      </c>
      <c r="D342" s="64">
        <v>1000</v>
      </c>
      <c r="E342" s="68">
        <f t="shared" si="3"/>
        <v>1000</v>
      </c>
      <c r="F342" s="103"/>
      <c r="G342" s="2"/>
    </row>
    <row r="343" spans="1:10" x14ac:dyDescent="0.2">
      <c r="A343" s="26"/>
      <c r="B343" s="26"/>
      <c r="C343" s="26"/>
      <c r="D343" s="26"/>
      <c r="E343" s="28"/>
      <c r="F343" s="100">
        <f>SUM(E337:E342)-0.01</f>
        <v>1132.8733333333332</v>
      </c>
      <c r="G343" s="2"/>
    </row>
    <row r="344" spans="1:10" s="129" customFormat="1" x14ac:dyDescent="0.2">
      <c r="A344" s="2"/>
      <c r="B344" s="2"/>
      <c r="C344" s="2"/>
      <c r="D344" s="3"/>
      <c r="E344" s="3"/>
      <c r="F344" s="3"/>
      <c r="G344" s="2"/>
      <c r="H344" s="2"/>
      <c r="I344" s="2"/>
      <c r="J344" s="2"/>
    </row>
    <row r="345" spans="1:10" ht="11.25" customHeight="1" x14ac:dyDescent="0.2">
      <c r="G345" s="2"/>
    </row>
    <row r="346" spans="1:10" x14ac:dyDescent="0.2">
      <c r="A346" s="89" t="s">
        <v>165</v>
      </c>
      <c r="B346" s="90"/>
      <c r="C346" s="90"/>
      <c r="D346" s="35"/>
      <c r="E346" s="91"/>
      <c r="F346" s="100">
        <f>F343</f>
        <v>1132.8733333333332</v>
      </c>
      <c r="G346" s="2"/>
    </row>
    <row r="347" spans="1:10" x14ac:dyDescent="0.2">
      <c r="G347" s="2"/>
    </row>
    <row r="348" spans="1:10" x14ac:dyDescent="0.2">
      <c r="A348" s="26" t="s">
        <v>166</v>
      </c>
      <c r="B348" s="26"/>
      <c r="C348" s="26"/>
      <c r="D348" s="28"/>
      <c r="E348" s="28"/>
      <c r="F348" s="71"/>
      <c r="G348" s="2"/>
    </row>
    <row r="349" spans="1:10" x14ac:dyDescent="0.2">
      <c r="G349" s="2"/>
    </row>
    <row r="350" spans="1:10" x14ac:dyDescent="0.2">
      <c r="A350" s="58" t="s">
        <v>16</v>
      </c>
      <c r="B350" s="59" t="s">
        <v>17</v>
      </c>
      <c r="C350" s="59" t="s">
        <v>9</v>
      </c>
      <c r="D350" s="60" t="s">
        <v>18</v>
      </c>
      <c r="E350" s="60" t="s">
        <v>19</v>
      </c>
      <c r="F350" s="61" t="s">
        <v>20</v>
      </c>
      <c r="G350" s="2"/>
    </row>
    <row r="351" spans="1:10" x14ac:dyDescent="0.2">
      <c r="A351" s="65" t="s">
        <v>167</v>
      </c>
      <c r="B351" s="130" t="s">
        <v>162</v>
      </c>
      <c r="C351" s="79">
        <f>E46</f>
        <v>4</v>
      </c>
      <c r="D351" s="68">
        <v>70</v>
      </c>
      <c r="E351" s="68">
        <f>+D351*C351</f>
        <v>280</v>
      </c>
      <c r="F351" s="103"/>
      <c r="G351" s="2"/>
    </row>
    <row r="352" spans="1:10" x14ac:dyDescent="0.2">
      <c r="A352" s="65" t="s">
        <v>168</v>
      </c>
      <c r="B352" s="130" t="s">
        <v>22</v>
      </c>
      <c r="C352" s="66">
        <v>60</v>
      </c>
      <c r="D352" s="131">
        <f>SUM(E351)</f>
        <v>280</v>
      </c>
      <c r="E352" s="131">
        <f>+D352/C352</f>
        <v>4.666666666666667</v>
      </c>
      <c r="F352" s="103"/>
      <c r="G352" s="2"/>
    </row>
    <row r="353" spans="1:10" x14ac:dyDescent="0.2">
      <c r="A353" s="65" t="s">
        <v>169</v>
      </c>
      <c r="B353" s="66" t="s">
        <v>60</v>
      </c>
      <c r="C353" s="79">
        <f>+C351</f>
        <v>4</v>
      </c>
      <c r="D353" s="68">
        <v>68</v>
      </c>
      <c r="E353" s="68">
        <f>C353*D353</f>
        <v>272</v>
      </c>
      <c r="F353" s="103"/>
      <c r="G353" s="2"/>
    </row>
    <row r="354" spans="1:10" x14ac:dyDescent="0.2">
      <c r="A354" s="65" t="s">
        <v>170</v>
      </c>
      <c r="B354" s="130" t="s">
        <v>22</v>
      </c>
      <c r="C354" s="66">
        <v>1</v>
      </c>
      <c r="D354" s="131">
        <f>+E353</f>
        <v>272</v>
      </c>
      <c r="E354" s="131">
        <f>+D354/C354</f>
        <v>272</v>
      </c>
      <c r="F354" s="103"/>
      <c r="G354" s="2"/>
    </row>
    <row r="355" spans="1:10" ht="11.25" customHeight="1" x14ac:dyDescent="0.2">
      <c r="A355" s="78"/>
      <c r="B355" s="78"/>
      <c r="C355" s="78"/>
      <c r="D355" s="74" t="s">
        <v>34</v>
      </c>
      <c r="E355" s="75">
        <f>$B$48</f>
        <v>1</v>
      </c>
      <c r="F355" s="100">
        <f>(E352+E354)*E355</f>
        <v>276.66666666666669</v>
      </c>
      <c r="G355" s="2"/>
    </row>
    <row r="357" spans="1:10" ht="11.25" customHeight="1" x14ac:dyDescent="0.2">
      <c r="A357" s="89" t="s">
        <v>171</v>
      </c>
      <c r="B357" s="90"/>
      <c r="C357" s="90"/>
      <c r="D357" s="35"/>
      <c r="E357" s="91"/>
      <c r="F357" s="100">
        <f>+F355</f>
        <v>276.66666666666669</v>
      </c>
    </row>
    <row r="359" spans="1:10" x14ac:dyDescent="0.2">
      <c r="A359" s="89" t="s">
        <v>172</v>
      </c>
      <c r="B359" s="97"/>
      <c r="C359" s="97"/>
      <c r="D359" s="98"/>
      <c r="E359" s="99"/>
      <c r="F359" s="87">
        <f>F357+F346+F332+F197+F165</f>
        <v>139347.17136297253</v>
      </c>
    </row>
    <row r="361" spans="1:10" x14ac:dyDescent="0.2">
      <c r="A361" s="26" t="s">
        <v>173</v>
      </c>
    </row>
    <row r="363" spans="1:10" x14ac:dyDescent="0.2">
      <c r="A363" s="58" t="s">
        <v>16</v>
      </c>
      <c r="B363" s="59" t="s">
        <v>17</v>
      </c>
      <c r="C363" s="59" t="s">
        <v>9</v>
      </c>
      <c r="D363" s="60" t="s">
        <v>18</v>
      </c>
      <c r="E363" s="60" t="s">
        <v>19</v>
      </c>
      <c r="F363" s="61" t="s">
        <v>20</v>
      </c>
    </row>
    <row r="364" spans="1:10" ht="11.25" customHeight="1" x14ac:dyDescent="0.2">
      <c r="A364" s="62" t="s">
        <v>174</v>
      </c>
      <c r="B364" s="63" t="s">
        <v>5</v>
      </c>
      <c r="C364" s="132">
        <f>'4.BDI'!C17</f>
        <v>0.2787</v>
      </c>
      <c r="D364" s="64">
        <f>+F359</f>
        <v>139347.17136297253</v>
      </c>
      <c r="E364" s="64">
        <f>C364*D364</f>
        <v>38836.056658860442</v>
      </c>
      <c r="G364" s="133"/>
      <c r="H364" s="129"/>
      <c r="I364" s="129"/>
      <c r="J364" s="129"/>
    </row>
    <row r="365" spans="1:10" s="6" customFormat="1" x14ac:dyDescent="0.2">
      <c r="A365" s="2"/>
      <c r="B365" s="2"/>
      <c r="C365" s="2"/>
      <c r="D365" s="3"/>
      <c r="E365" s="3"/>
      <c r="F365" s="100">
        <f>+E364</f>
        <v>38836.056658860442</v>
      </c>
      <c r="G365" s="3"/>
      <c r="H365" s="2"/>
      <c r="I365" s="2"/>
      <c r="J365" s="2"/>
    </row>
    <row r="366" spans="1:10" s="6" customFormat="1" ht="11.25" customHeight="1" x14ac:dyDescent="0.2">
      <c r="A366" s="2"/>
      <c r="B366" s="2"/>
      <c r="C366" s="2"/>
      <c r="D366" s="3"/>
      <c r="E366" s="3"/>
      <c r="F366" s="3"/>
      <c r="G366" s="3"/>
      <c r="H366" s="2"/>
      <c r="I366" s="2"/>
      <c r="J366" s="2"/>
    </row>
    <row r="367" spans="1:10" s="6" customFormat="1" x14ac:dyDescent="0.2">
      <c r="A367" s="89" t="s">
        <v>175</v>
      </c>
      <c r="B367" s="97"/>
      <c r="C367" s="97"/>
      <c r="D367" s="98"/>
      <c r="E367" s="99"/>
      <c r="F367" s="87">
        <f>F365</f>
        <v>38836.056658860442</v>
      </c>
      <c r="G367" s="3"/>
      <c r="H367" s="2"/>
      <c r="I367" s="2"/>
      <c r="J367" s="2"/>
    </row>
    <row r="368" spans="1:10" ht="11.25" customHeight="1" x14ac:dyDescent="0.2">
      <c r="A368" s="26"/>
      <c r="B368" s="26"/>
      <c r="C368" s="26"/>
      <c r="D368" s="28"/>
      <c r="E368" s="28"/>
      <c r="F368" s="71"/>
    </row>
    <row r="369" spans="1:8" x14ac:dyDescent="0.2">
      <c r="H369" s="108"/>
    </row>
    <row r="370" spans="1:8" ht="11.25" customHeight="1" x14ac:dyDescent="0.2">
      <c r="A370" s="89" t="s">
        <v>176</v>
      </c>
      <c r="B370" s="97"/>
      <c r="C370" s="97"/>
      <c r="D370" s="98"/>
      <c r="E370" s="99"/>
      <c r="F370" s="87">
        <f>F359+F367</f>
        <v>178183.22802183297</v>
      </c>
    </row>
    <row r="371" spans="1:8" ht="15.75" x14ac:dyDescent="0.2">
      <c r="A371" s="134"/>
      <c r="B371" s="134"/>
      <c r="C371" s="134"/>
      <c r="D371" s="135"/>
      <c r="E371" s="135"/>
      <c r="F371" s="136"/>
    </row>
    <row r="372" spans="1:8" ht="14.25" x14ac:dyDescent="0.2">
      <c r="A372" s="24"/>
      <c r="B372" s="24"/>
      <c r="C372" s="24"/>
      <c r="D372" s="25"/>
      <c r="E372" s="25"/>
    </row>
    <row r="373" spans="1:8" x14ac:dyDescent="0.2">
      <c r="A373" s="137" t="s">
        <v>177</v>
      </c>
      <c r="B373" s="138"/>
      <c r="C373" s="138"/>
      <c r="D373" s="44">
        <v>700</v>
      </c>
      <c r="E373" s="139" t="s">
        <v>178</v>
      </c>
    </row>
    <row r="374" spans="1:8" ht="11.25" customHeight="1" x14ac:dyDescent="0.2">
      <c r="H374" s="108"/>
    </row>
    <row r="375" spans="1:8" x14ac:dyDescent="0.2">
      <c r="A375" s="89" t="s">
        <v>179</v>
      </c>
      <c r="B375" s="90"/>
      <c r="C375" s="90"/>
      <c r="D375" s="35"/>
      <c r="E375" s="140" t="s">
        <v>180</v>
      </c>
      <c r="F375" s="141">
        <f>(F370+F371)/D373</f>
        <v>254.54746860261852</v>
      </c>
      <c r="G375" s="142"/>
    </row>
    <row r="376" spans="1:8" x14ac:dyDescent="0.2">
      <c r="A376" s="26"/>
    </row>
  </sheetData>
  <mergeCells count="7">
    <mergeCell ref="A34:D34"/>
    <mergeCell ref="A43:D43"/>
    <mergeCell ref="A2:F4"/>
    <mergeCell ref="A6:F7"/>
    <mergeCell ref="A9:F9"/>
    <mergeCell ref="A18:C18"/>
    <mergeCell ref="A33:E33"/>
  </mergeCells>
  <hyperlinks>
    <hyperlink ref="A203" location="AbaDeprec" display="3.1.1. Depreciação" xr:uid="{00000000-0004-0000-0000-000000000000}"/>
    <hyperlink ref="A219" location="AbaRemun" display="3.1.2. Remuneração do Capital" xr:uid="{00000000-0004-0000-0000-000001000000}"/>
    <hyperlink ref="A279" location="AbaDeprec" display="3.2.1. Depreciação" xr:uid="{00000000-0004-0000-0000-000002000000}"/>
    <hyperlink ref="A288" location="AbaRemun" display="3.2.2. Remuneração do Capital" xr:uid="{00000000-0004-0000-0000-000003000000}"/>
  </hyperlinks>
  <pageMargins left="0.59027777777777801" right="0.59027777777777801" top="0.74791666666666701" bottom="0.74791666666666701" header="0.511811023622047" footer="0.31527777777777799"/>
  <pageSetup paperSize="9" scale="75" orientation="portrait" horizontalDpi="300" verticalDpi="300" r:id="rId1"/>
  <headerFooter>
    <oddFooter>&amp;R&amp;P de &amp;N</oddFooter>
  </headerFooter>
  <rowBreaks count="3" manualBreakCount="3">
    <brk id="63" max="16383" man="1"/>
    <brk id="158" max="16383" man="1"/>
    <brk id="218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6"/>
  <sheetViews>
    <sheetView view="pageBreakPreview" topLeftCell="A166" zoomScaleNormal="100" workbookViewId="0">
      <selection activeCell="D184" sqref="D184"/>
    </sheetView>
  </sheetViews>
  <sheetFormatPr defaultColWidth="9.140625" defaultRowHeight="12.75" x14ac:dyDescent="0.2"/>
  <cols>
    <col min="1" max="1" width="44.5703125" style="2" customWidth="1"/>
    <col min="2" max="2" width="16" style="2" customWidth="1"/>
    <col min="3" max="3" width="11.85546875" style="2" customWidth="1"/>
    <col min="4" max="4" width="14.7109375" style="3" customWidth="1"/>
    <col min="5" max="5" width="15.42578125" style="3" customWidth="1"/>
    <col min="6" max="6" width="13.42578125" style="3" customWidth="1"/>
    <col min="7" max="7" width="28.140625" style="3" customWidth="1"/>
    <col min="8" max="8" width="9.42578125" style="2" customWidth="1"/>
    <col min="9" max="9" width="14.5703125" style="2" customWidth="1"/>
    <col min="10" max="10" width="13.42578125" style="2" customWidth="1"/>
    <col min="11" max="16384" width="9.140625" style="2"/>
  </cols>
  <sheetData>
    <row r="1" spans="1:10" x14ac:dyDescent="0.2">
      <c r="B1" s="4"/>
      <c r="C1" s="4"/>
      <c r="D1" s="5"/>
      <c r="E1" s="5"/>
      <c r="F1" s="5"/>
    </row>
    <row r="2" spans="1:10" ht="12.75" customHeight="1" x14ac:dyDescent="0.2">
      <c r="A2" s="257" t="s">
        <v>0</v>
      </c>
      <c r="B2" s="257"/>
      <c r="C2" s="257"/>
      <c r="D2" s="257"/>
      <c r="E2" s="257"/>
      <c r="F2" s="257"/>
    </row>
    <row r="3" spans="1:10" ht="12.75" customHeight="1" x14ac:dyDescent="0.2">
      <c r="A3" s="257"/>
      <c r="B3" s="257"/>
      <c r="C3" s="257"/>
      <c r="D3" s="257"/>
      <c r="E3" s="257"/>
      <c r="F3" s="257"/>
    </row>
    <row r="4" spans="1:10" ht="12.75" customHeight="1" x14ac:dyDescent="0.2">
      <c r="A4" s="257"/>
      <c r="B4" s="257"/>
      <c r="C4" s="257"/>
      <c r="D4" s="257"/>
      <c r="E4" s="257"/>
      <c r="F4" s="257"/>
    </row>
    <row r="5" spans="1:10" x14ac:dyDescent="0.2">
      <c r="B5" s="4"/>
      <c r="C5" s="4"/>
      <c r="D5" s="5"/>
      <c r="E5" s="5"/>
      <c r="F5" s="5"/>
    </row>
    <row r="6" spans="1:10" ht="19.5" customHeight="1" x14ac:dyDescent="0.2">
      <c r="A6" s="258" t="s">
        <v>181</v>
      </c>
      <c r="B6" s="258"/>
      <c r="C6" s="258"/>
      <c r="D6" s="258"/>
      <c r="E6" s="258"/>
      <c r="F6" s="258"/>
    </row>
    <row r="7" spans="1:10" s="6" customFormat="1" ht="42" customHeight="1" x14ac:dyDescent="0.2">
      <c r="A7" s="258"/>
      <c r="B7" s="258"/>
      <c r="C7" s="258"/>
      <c r="D7" s="258"/>
      <c r="E7" s="258"/>
      <c r="F7" s="258"/>
      <c r="G7" s="3"/>
      <c r="H7" s="2"/>
      <c r="I7" s="2"/>
      <c r="J7" s="2"/>
    </row>
    <row r="8" spans="1:10" s="6" customFormat="1" x14ac:dyDescent="0.2">
      <c r="A8" s="7"/>
      <c r="B8" s="4"/>
      <c r="C8" s="4"/>
      <c r="D8" s="5"/>
      <c r="E8" s="5"/>
      <c r="F8" s="8"/>
      <c r="G8" s="3"/>
      <c r="H8" s="2"/>
      <c r="I8" s="2"/>
      <c r="J8" s="2"/>
    </row>
    <row r="9" spans="1:10" s="6" customFormat="1" ht="15" customHeight="1" x14ac:dyDescent="0.2">
      <c r="A9" s="259" t="s">
        <v>2</v>
      </c>
      <c r="B9" s="259"/>
      <c r="C9" s="259"/>
      <c r="D9" s="259"/>
      <c r="E9" s="259"/>
      <c r="F9" s="259"/>
      <c r="G9" s="5"/>
    </row>
    <row r="10" spans="1:10" s="6" customFormat="1" ht="15" customHeight="1" x14ac:dyDescent="0.2">
      <c r="A10" s="9" t="s">
        <v>3</v>
      </c>
      <c r="B10" s="10"/>
      <c r="C10" s="10"/>
      <c r="D10" s="11"/>
      <c r="E10" s="12" t="s">
        <v>4</v>
      </c>
      <c r="F10" s="13" t="s">
        <v>5</v>
      </c>
      <c r="G10" s="5"/>
    </row>
    <row r="11" spans="1:10" s="24" customFormat="1" ht="15" customHeight="1" x14ac:dyDescent="0.2">
      <c r="A11" s="14" t="str">
        <f>A43</f>
        <v>1. Mão-de-obra</v>
      </c>
      <c r="B11" s="15"/>
      <c r="C11" s="16"/>
      <c r="D11" s="16"/>
      <c r="E11" s="17">
        <f>+F87</f>
        <v>11067.32975858005</v>
      </c>
      <c r="F11" s="18">
        <f t="shared" ref="F11:F27" si="0">IFERROR(E11/$E$28,0)</f>
        <v>0.22767424796116165</v>
      </c>
      <c r="G11" s="5"/>
      <c r="H11" s="6"/>
      <c r="I11" s="6"/>
      <c r="J11" s="6"/>
    </row>
    <row r="12" spans="1:10" s="6" customFormat="1" ht="15" customHeight="1" x14ac:dyDescent="0.2">
      <c r="A12" s="19" t="str">
        <f>A45</f>
        <v>1.1. Coletor Turno Dia</v>
      </c>
      <c r="B12" s="20"/>
      <c r="C12" s="21"/>
      <c r="D12" s="21"/>
      <c r="E12" s="22">
        <f>F56</f>
        <v>4356.949931320054</v>
      </c>
      <c r="F12" s="23">
        <f t="shared" si="0"/>
        <v>8.9630048137736021E-2</v>
      </c>
      <c r="G12" s="5"/>
    </row>
    <row r="13" spans="1:10" s="6" customFormat="1" ht="16.5" customHeight="1" x14ac:dyDescent="0.2">
      <c r="A13" s="19" t="str">
        <f>A58</f>
        <v>1.2. Motorista Turno do Dia</v>
      </c>
      <c r="B13" s="20"/>
      <c r="C13" s="21"/>
      <c r="D13" s="21"/>
      <c r="E13" s="22">
        <f>F71</f>
        <v>5432.2422272599952</v>
      </c>
      <c r="F13" s="23">
        <f t="shared" si="0"/>
        <v>0.11175068339094701</v>
      </c>
      <c r="G13" s="5"/>
    </row>
    <row r="14" spans="1:10" s="26" customFormat="1" ht="17.25" customHeight="1" x14ac:dyDescent="0.2">
      <c r="A14" s="19" t="str">
        <f>A73</f>
        <v>1.3. Vale Transporte</v>
      </c>
      <c r="B14" s="20"/>
      <c r="C14" s="21"/>
      <c r="D14" s="21"/>
      <c r="E14" s="22">
        <f>F79</f>
        <v>418.13760000000002</v>
      </c>
      <c r="F14" s="23">
        <f t="shared" si="0"/>
        <v>8.6018186591468454E-3</v>
      </c>
      <c r="G14" s="25"/>
      <c r="H14" s="24"/>
      <c r="I14" s="24"/>
      <c r="J14" s="24"/>
    </row>
    <row r="15" spans="1:10" s="6" customFormat="1" ht="15.75" customHeight="1" x14ac:dyDescent="0.2">
      <c r="A15" s="19" t="str">
        <f>A81</f>
        <v>1.4. Auxílio Alimentação (mensal)</v>
      </c>
      <c r="B15" s="20"/>
      <c r="C15" s="21"/>
      <c r="D15" s="21"/>
      <c r="E15" s="22">
        <f>F85</f>
        <v>860</v>
      </c>
      <c r="F15" s="23">
        <f t="shared" si="0"/>
        <v>1.7691697773331762E-2</v>
      </c>
      <c r="G15" s="5"/>
    </row>
    <row r="16" spans="1:10" s="6" customFormat="1" ht="15.75" customHeight="1" x14ac:dyDescent="0.2">
      <c r="A16" s="260" t="str">
        <f>A89</f>
        <v>2. Uniformes e Equipamentos de Proteção Individual</v>
      </c>
      <c r="B16" s="260"/>
      <c r="C16" s="260"/>
      <c r="D16" s="16"/>
      <c r="E16" s="17">
        <f>+F118</f>
        <v>253.73166666666665</v>
      </c>
      <c r="F16" s="18">
        <f t="shared" si="0"/>
        <v>5.2197022816167712E-3</v>
      </c>
      <c r="G16" s="5"/>
    </row>
    <row r="17" spans="1:10" s="6" customFormat="1" ht="15.75" customHeight="1" x14ac:dyDescent="0.2">
      <c r="A17" s="1" t="str">
        <f>A120</f>
        <v>3. Veículos e Equipamentos</v>
      </c>
      <c r="B17" s="27"/>
      <c r="C17" s="16"/>
      <c r="D17" s="16"/>
      <c r="E17" s="17">
        <f>+F197</f>
        <v>14225.694041991341</v>
      </c>
      <c r="F17" s="18">
        <f t="shared" si="0"/>
        <v>0.29264730186836874</v>
      </c>
      <c r="G17" s="28"/>
      <c r="H17" s="26"/>
      <c r="I17" s="26"/>
      <c r="J17" s="26"/>
    </row>
    <row r="18" spans="1:10" s="6" customFormat="1" ht="15.75" customHeight="1" x14ac:dyDescent="0.2">
      <c r="A18" s="29" t="str">
        <f>A122</f>
        <v>3.1. Veículo Caminhão Baú 30 m³</v>
      </c>
      <c r="B18" s="30"/>
      <c r="C18" s="21"/>
      <c r="D18" s="21"/>
      <c r="E18" s="22">
        <f>SUM(E19:E24)</f>
        <v>14225.694041991341</v>
      </c>
      <c r="F18" s="31">
        <f t="shared" si="0"/>
        <v>0.29264730186836874</v>
      </c>
      <c r="G18" s="5"/>
    </row>
    <row r="19" spans="1:10" s="6" customFormat="1" ht="15.75" customHeight="1" x14ac:dyDescent="0.2">
      <c r="A19" s="29" t="str">
        <f>A124</f>
        <v>3.1.1. Depreciação</v>
      </c>
      <c r="B19" s="30"/>
      <c r="C19" s="21"/>
      <c r="D19" s="21"/>
      <c r="E19" s="22">
        <f>F138</f>
        <v>3248</v>
      </c>
      <c r="F19" s="31">
        <f t="shared" si="0"/>
        <v>6.6817016706722743E-2</v>
      </c>
      <c r="G19" s="5"/>
    </row>
    <row r="20" spans="1:10" s="6" customFormat="1" ht="15.75" customHeight="1" x14ac:dyDescent="0.2">
      <c r="A20" s="29" t="str">
        <f>A140</f>
        <v>3.1.2. Remuneração do Capital</v>
      </c>
      <c r="B20" s="30"/>
      <c r="C20" s="21"/>
      <c r="D20" s="21"/>
      <c r="E20" s="22">
        <f>F154</f>
        <v>2536.31</v>
      </c>
      <c r="F20" s="31">
        <f t="shared" si="0"/>
        <v>5.2176313929626836E-2</v>
      </c>
      <c r="G20" s="5"/>
    </row>
    <row r="21" spans="1:10" s="6" customFormat="1" ht="15.75" customHeight="1" x14ac:dyDescent="0.2">
      <c r="A21" s="29" t="str">
        <f>A156</f>
        <v>3.1.3. Impostos e Seguros</v>
      </c>
      <c r="B21" s="30"/>
      <c r="C21" s="21"/>
      <c r="D21" s="21"/>
      <c r="E21" s="22">
        <f>F162</f>
        <v>408.74916666666667</v>
      </c>
      <c r="F21" s="31">
        <f t="shared" si="0"/>
        <v>8.4086822346138134E-3</v>
      </c>
      <c r="G21" s="5"/>
    </row>
    <row r="22" spans="1:10" s="26" customFormat="1" ht="15.75" customHeight="1" x14ac:dyDescent="0.2">
      <c r="A22" s="29" t="str">
        <f>A164</f>
        <v>3.1.4. Consumos</v>
      </c>
      <c r="B22" s="30"/>
      <c r="C22" s="21"/>
      <c r="D22" s="21"/>
      <c r="E22" s="22">
        <f>F180</f>
        <v>5687.7530571428561</v>
      </c>
      <c r="F22" s="31">
        <f t="shared" si="0"/>
        <v>0.11700698615850604</v>
      </c>
      <c r="G22" s="5"/>
      <c r="H22" s="6"/>
      <c r="I22" s="6"/>
      <c r="J22" s="6"/>
    </row>
    <row r="23" spans="1:10" s="26" customFormat="1" ht="15.75" customHeight="1" x14ac:dyDescent="0.2">
      <c r="A23" s="29" t="str">
        <f>A182</f>
        <v>3.1.5. Manutenção</v>
      </c>
      <c r="B23" s="30"/>
      <c r="C23" s="21"/>
      <c r="D23" s="21"/>
      <c r="E23" s="22">
        <f>F185</f>
        <v>1912.6200000000001</v>
      </c>
      <c r="F23" s="31">
        <f t="shared" si="0"/>
        <v>3.9345924413057905E-2</v>
      </c>
      <c r="G23" s="5"/>
      <c r="H23" s="6"/>
      <c r="I23" s="6"/>
      <c r="J23" s="6"/>
    </row>
    <row r="24" spans="1:10" s="6" customFormat="1" ht="15.75" customHeight="1" x14ac:dyDescent="0.2">
      <c r="A24" s="29" t="str">
        <f>A187</f>
        <v>3.1.6. Pneus</v>
      </c>
      <c r="B24" s="30"/>
      <c r="C24" s="21"/>
      <c r="D24" s="21"/>
      <c r="E24" s="22">
        <f>F194</f>
        <v>432.26181818181823</v>
      </c>
      <c r="F24" s="31">
        <f t="shared" si="0"/>
        <v>8.8923784258414101E-3</v>
      </c>
      <c r="G24" s="5"/>
    </row>
    <row r="25" spans="1:10" s="6" customFormat="1" ht="15.75" customHeight="1" x14ac:dyDescent="0.2">
      <c r="A25" s="1" t="str">
        <f>A199</f>
        <v>4. Ferramentas e Materiais de Consumo</v>
      </c>
      <c r="B25" s="27"/>
      <c r="C25" s="16"/>
      <c r="D25" s="16"/>
      <c r="E25" s="17">
        <f>F217</f>
        <v>12399.54</v>
      </c>
      <c r="F25" s="18">
        <f t="shared" si="0"/>
        <v>0.25508013280039316</v>
      </c>
      <c r="G25" s="28"/>
      <c r="H25" s="26"/>
      <c r="I25" s="26"/>
      <c r="J25" s="26"/>
    </row>
    <row r="26" spans="1:10" s="6" customFormat="1" ht="15.75" customHeight="1" x14ac:dyDescent="0.2">
      <c r="A26" s="1" t="str">
        <f>A219</f>
        <v>5. Monitoramento da Frota</v>
      </c>
      <c r="B26" s="27"/>
      <c r="C26" s="16"/>
      <c r="D26" s="16"/>
      <c r="E26" s="17">
        <f>+F228</f>
        <v>69.166666666666671</v>
      </c>
      <c r="F26" s="18">
        <f t="shared" si="0"/>
        <v>1.4228787937854033E-3</v>
      </c>
      <c r="G26" s="28"/>
      <c r="H26" s="26"/>
      <c r="I26" s="26"/>
      <c r="J26" s="26"/>
    </row>
    <row r="27" spans="1:10" s="6" customFormat="1" ht="15.75" customHeight="1" x14ac:dyDescent="0.2">
      <c r="A27" s="1" t="str">
        <f>A232</f>
        <v>6. Benefícios e Despesas Indiretas - BDI</v>
      </c>
      <c r="B27" s="27"/>
      <c r="C27" s="16"/>
      <c r="D27" s="16"/>
      <c r="E27" s="32">
        <f>F238</f>
        <v>10594.909296719246</v>
      </c>
      <c r="F27" s="18">
        <f t="shared" si="0"/>
        <v>0.21795573629467427</v>
      </c>
      <c r="G27" s="5"/>
    </row>
    <row r="28" spans="1:10" s="6" customFormat="1" ht="15.75" customHeight="1" x14ac:dyDescent="0.2">
      <c r="A28" s="33" t="s">
        <v>6</v>
      </c>
      <c r="B28" s="34"/>
      <c r="C28" s="35"/>
      <c r="D28" s="35"/>
      <c r="E28" s="36">
        <f>E11+E16+E17+E25+E26+E27</f>
        <v>48610.371430623971</v>
      </c>
      <c r="F28" s="37">
        <f>F11+F16+F17+F25+F26+F27</f>
        <v>0.99999999999999989</v>
      </c>
      <c r="G28" s="5"/>
    </row>
    <row r="29" spans="1:10" s="6" customFormat="1" ht="15.75" customHeight="1" x14ac:dyDescent="0.2">
      <c r="A29" s="2"/>
      <c r="B29" s="2"/>
      <c r="C29" s="2"/>
      <c r="D29" s="3"/>
      <c r="E29" s="3"/>
      <c r="F29" s="3"/>
      <c r="G29" s="5"/>
    </row>
    <row r="30" spans="1:10" s="26" customFormat="1" ht="15.75" customHeight="1" x14ac:dyDescent="0.2">
      <c r="A30" s="2"/>
      <c r="B30" s="2"/>
      <c r="C30" s="2"/>
      <c r="D30" s="3"/>
      <c r="E30" s="3"/>
      <c r="F30" s="3"/>
      <c r="G30" s="5"/>
      <c r="H30" s="6"/>
      <c r="I30" s="6"/>
      <c r="J30" s="6"/>
    </row>
    <row r="31" spans="1:10" s="26" customFormat="1" ht="15.75" customHeight="1" x14ac:dyDescent="0.2">
      <c r="A31" s="261" t="s">
        <v>7</v>
      </c>
      <c r="B31" s="261"/>
      <c r="C31" s="261"/>
      <c r="D31" s="261"/>
      <c r="E31" s="261"/>
      <c r="F31" s="3"/>
      <c r="G31" s="5"/>
      <c r="H31" s="6"/>
      <c r="I31" s="6"/>
      <c r="J31" s="6"/>
    </row>
    <row r="32" spans="1:10" s="6" customFormat="1" ht="15.75" customHeight="1" x14ac:dyDescent="0.2">
      <c r="A32" s="256" t="s">
        <v>8</v>
      </c>
      <c r="B32" s="256"/>
      <c r="C32" s="256"/>
      <c r="D32" s="256"/>
      <c r="E32" s="38" t="s">
        <v>9</v>
      </c>
      <c r="F32" s="3"/>
      <c r="G32" s="5"/>
    </row>
    <row r="33" spans="1:10" ht="15.75" customHeight="1" x14ac:dyDescent="0.2">
      <c r="A33" s="39" t="str">
        <f>+A45</f>
        <v>1.1. Coletor Turno Dia</v>
      </c>
      <c r="B33" s="40"/>
      <c r="C33" s="40"/>
      <c r="D33" s="41"/>
      <c r="E33" s="143">
        <v>1</v>
      </c>
      <c r="G33" s="5"/>
      <c r="H33" s="6"/>
      <c r="I33" s="6"/>
      <c r="J33" s="6"/>
    </row>
    <row r="34" spans="1:10" s="6" customFormat="1" ht="15.75" customHeight="1" x14ac:dyDescent="0.2">
      <c r="A34" s="43" t="str">
        <f>+A58</f>
        <v>1.2. Motorista Turno do Dia</v>
      </c>
      <c r="B34" s="44"/>
      <c r="C34" s="44"/>
      <c r="D34" s="45"/>
      <c r="E34" s="144">
        <v>1</v>
      </c>
      <c r="F34" s="3"/>
      <c r="G34" s="28"/>
      <c r="H34" s="26"/>
      <c r="I34" s="26"/>
      <c r="J34" s="26"/>
    </row>
    <row r="35" spans="1:10" s="6" customFormat="1" ht="15.75" customHeight="1" x14ac:dyDescent="0.2">
      <c r="A35" s="47" t="s">
        <v>10</v>
      </c>
      <c r="B35" s="48"/>
      <c r="C35" s="48"/>
      <c r="D35" s="49"/>
      <c r="E35" s="145">
        <f>SUM(E33:E34)</f>
        <v>2</v>
      </c>
      <c r="F35" s="3"/>
      <c r="G35" s="5"/>
    </row>
    <row r="36" spans="1:10" s="6" customFormat="1" x14ac:dyDescent="0.2">
      <c r="A36" s="51"/>
      <c r="B36" s="52"/>
      <c r="C36" s="3"/>
      <c r="D36" s="3"/>
      <c r="E36" s="53"/>
      <c r="F36" s="3"/>
      <c r="G36" s="3"/>
      <c r="H36" s="2"/>
      <c r="I36" s="2"/>
      <c r="J36" s="2"/>
    </row>
    <row r="37" spans="1:10" s="6" customFormat="1" x14ac:dyDescent="0.2">
      <c r="A37" s="262" t="s">
        <v>11</v>
      </c>
      <c r="B37" s="262"/>
      <c r="C37" s="262"/>
      <c r="D37" s="262"/>
      <c r="E37" s="38" t="s">
        <v>9</v>
      </c>
      <c r="F37" s="2"/>
      <c r="G37" s="3"/>
      <c r="H37" s="2"/>
      <c r="I37" s="2"/>
      <c r="J37" s="2"/>
    </row>
    <row r="38" spans="1:10" s="6" customFormat="1" ht="15" customHeight="1" x14ac:dyDescent="0.2">
      <c r="A38" s="146" t="str">
        <f>+A122</f>
        <v>3.1. Veículo Caminhão Baú 30 m³</v>
      </c>
      <c r="B38" s="147"/>
      <c r="C38" s="147"/>
      <c r="D38" s="148"/>
      <c r="E38" s="149">
        <v>1</v>
      </c>
      <c r="F38" s="2"/>
      <c r="G38" s="5"/>
    </row>
    <row r="39" spans="1:10" s="6" customFormat="1" ht="15" customHeight="1" x14ac:dyDescent="0.2">
      <c r="A39" s="3"/>
      <c r="B39" s="3"/>
      <c r="C39" s="3"/>
      <c r="D39" s="2"/>
      <c r="E39" s="150"/>
      <c r="F39" s="2"/>
      <c r="G39" s="5"/>
    </row>
    <row r="40" spans="1:10" s="6" customFormat="1" ht="15" customHeight="1" x14ac:dyDescent="0.2">
      <c r="A40" s="3"/>
      <c r="B40" s="3"/>
      <c r="C40" s="3"/>
      <c r="D40" s="2"/>
      <c r="E40" s="54"/>
      <c r="F40" s="2"/>
      <c r="G40" s="5"/>
    </row>
    <row r="41" spans="1:10" s="6" customFormat="1" ht="15" customHeight="1" x14ac:dyDescent="0.2">
      <c r="A41" s="55" t="s">
        <v>13</v>
      </c>
      <c r="B41" s="151">
        <v>1</v>
      </c>
      <c r="C41" s="28"/>
      <c r="D41" s="26"/>
      <c r="E41" s="57"/>
      <c r="F41" s="26"/>
      <c r="G41" s="5"/>
    </row>
    <row r="42" spans="1:10" ht="15" customHeight="1" x14ac:dyDescent="0.2">
      <c r="A42" s="3"/>
      <c r="B42" s="3"/>
      <c r="C42" s="3"/>
      <c r="D42" s="2"/>
      <c r="E42" s="54"/>
      <c r="F42" s="2"/>
      <c r="G42" s="5"/>
      <c r="H42" s="6"/>
      <c r="I42" s="6"/>
      <c r="J42" s="6"/>
    </row>
    <row r="43" spans="1:10" ht="15" customHeight="1" x14ac:dyDescent="0.2">
      <c r="A43" s="26" t="s">
        <v>14</v>
      </c>
      <c r="G43" s="5"/>
      <c r="H43" s="6"/>
      <c r="I43" s="6"/>
      <c r="J43" s="6"/>
    </row>
    <row r="44" spans="1:10" ht="15" customHeight="1" x14ac:dyDescent="0.2">
      <c r="G44" s="5"/>
      <c r="H44" s="6"/>
      <c r="I44" s="6"/>
      <c r="J44" s="6"/>
    </row>
    <row r="45" spans="1:10" ht="15" customHeight="1" x14ac:dyDescent="0.2">
      <c r="A45" s="2" t="s">
        <v>15</v>
      </c>
      <c r="G45" s="5"/>
      <c r="H45" s="6"/>
      <c r="I45" s="6"/>
      <c r="J45" s="6"/>
    </row>
    <row r="46" spans="1:10" ht="15" customHeight="1" x14ac:dyDescent="0.2">
      <c r="A46" s="58" t="s">
        <v>16</v>
      </c>
      <c r="B46" s="59" t="s">
        <v>17</v>
      </c>
      <c r="C46" s="59" t="s">
        <v>9</v>
      </c>
      <c r="D46" s="60" t="s">
        <v>18</v>
      </c>
      <c r="E46" s="60" t="s">
        <v>19</v>
      </c>
      <c r="F46" s="61" t="s">
        <v>20</v>
      </c>
      <c r="G46" s="5"/>
      <c r="H46" s="6"/>
      <c r="I46" s="6"/>
      <c r="J46" s="6"/>
    </row>
    <row r="47" spans="1:10" ht="15" customHeight="1" x14ac:dyDescent="0.2">
      <c r="A47" s="62" t="s">
        <v>21</v>
      </c>
      <c r="B47" s="63" t="s">
        <v>22</v>
      </c>
      <c r="C47" s="63">
        <v>1</v>
      </c>
      <c r="D47" s="64">
        <v>1731.4</v>
      </c>
      <c r="E47" s="64">
        <f>C47*D47</f>
        <v>1731.4</v>
      </c>
      <c r="G47" s="5"/>
      <c r="H47" s="6"/>
      <c r="I47" s="6"/>
      <c r="J47" s="6"/>
    </row>
    <row r="48" spans="1:10" ht="15" customHeight="1" x14ac:dyDescent="0.2">
      <c r="A48" s="65" t="s">
        <v>23</v>
      </c>
      <c r="B48" s="66" t="s">
        <v>24</v>
      </c>
      <c r="C48" s="67">
        <v>0</v>
      </c>
      <c r="D48" s="68">
        <v>2</v>
      </c>
      <c r="E48" s="68">
        <f>C48*D48</f>
        <v>0</v>
      </c>
      <c r="G48" s="5"/>
      <c r="H48" s="6"/>
      <c r="I48" s="6"/>
      <c r="J48" s="6"/>
    </row>
    <row r="49" spans="1:10" x14ac:dyDescent="0.2">
      <c r="A49" s="65" t="s">
        <v>25</v>
      </c>
      <c r="B49" s="66" t="s">
        <v>24</v>
      </c>
      <c r="C49" s="67">
        <v>8</v>
      </c>
      <c r="D49" s="68">
        <f>D47/220*1.5</f>
        <v>11.805</v>
      </c>
      <c r="E49" s="68">
        <f>C49*D49</f>
        <v>94.44</v>
      </c>
      <c r="G49" s="5"/>
      <c r="H49" s="6"/>
      <c r="I49" s="6"/>
      <c r="J49" s="6"/>
    </row>
    <row r="50" spans="1:10" ht="15.75" customHeight="1" x14ac:dyDescent="0.2">
      <c r="A50" s="65" t="s">
        <v>26</v>
      </c>
      <c r="B50" s="66" t="s">
        <v>27</v>
      </c>
      <c r="D50" s="68">
        <f>63/302*(SUM(E48:E49))</f>
        <v>19.701059602649007</v>
      </c>
      <c r="E50" s="68">
        <f>D50</f>
        <v>19.701059602649007</v>
      </c>
      <c r="G50" s="28"/>
      <c r="H50" s="26"/>
      <c r="I50" s="26"/>
      <c r="J50" s="26"/>
    </row>
    <row r="51" spans="1:10" ht="15.75" customHeight="1" x14ac:dyDescent="0.2">
      <c r="A51" s="65" t="s">
        <v>28</v>
      </c>
      <c r="B51" s="66" t="s">
        <v>5</v>
      </c>
      <c r="C51" s="66">
        <v>40</v>
      </c>
      <c r="D51" s="68">
        <v>1518</v>
      </c>
      <c r="E51" s="68">
        <f>C51*D51/100</f>
        <v>607.20000000000005</v>
      </c>
      <c r="G51" s="5"/>
      <c r="H51" s="6"/>
      <c r="I51" s="6"/>
      <c r="J51" s="6"/>
    </row>
    <row r="52" spans="1:10" ht="12.75" customHeight="1" x14ac:dyDescent="0.2">
      <c r="A52" s="69" t="s">
        <v>29</v>
      </c>
      <c r="B52" s="70"/>
      <c r="C52" s="70"/>
      <c r="D52" s="71"/>
      <c r="E52" s="72">
        <f>SUM(E47:E51)</f>
        <v>2452.7410596026493</v>
      </c>
    </row>
    <row r="53" spans="1:10" ht="11.25" customHeight="1" x14ac:dyDescent="0.2">
      <c r="A53" s="65" t="s">
        <v>30</v>
      </c>
      <c r="B53" s="66" t="s">
        <v>5</v>
      </c>
      <c r="C53" s="68">
        <f>'2.Encargos Sociais'!$C$34*100</f>
        <v>77.635952000000017</v>
      </c>
      <c r="D53" s="68">
        <f>E52</f>
        <v>2452.7410596026493</v>
      </c>
      <c r="E53" s="68">
        <f>D53*C53/100</f>
        <v>1904.2088717174047</v>
      </c>
    </row>
    <row r="54" spans="1:10" ht="13.5" customHeight="1" x14ac:dyDescent="0.2">
      <c r="A54" s="69" t="s">
        <v>31</v>
      </c>
      <c r="B54" s="70"/>
      <c r="C54" s="70"/>
      <c r="D54" s="71"/>
      <c r="E54" s="72">
        <f>E52+E53</f>
        <v>4356.949931320054</v>
      </c>
    </row>
    <row r="55" spans="1:10" s="78" customFormat="1" ht="13.5" customHeight="1" x14ac:dyDescent="0.2">
      <c r="A55" s="65" t="s">
        <v>32</v>
      </c>
      <c r="B55" s="66" t="s">
        <v>33</v>
      </c>
      <c r="C55" s="73">
        <f>E33</f>
        <v>1</v>
      </c>
      <c r="D55" s="68">
        <f>E54</f>
        <v>4356.949931320054</v>
      </c>
      <c r="E55" s="68">
        <f>C55*D55</f>
        <v>4356.949931320054</v>
      </c>
      <c r="F55" s="3"/>
      <c r="G55" s="3"/>
      <c r="H55" s="2"/>
      <c r="I55" s="2"/>
      <c r="J55" s="2"/>
    </row>
    <row r="56" spans="1:10" ht="12.75" customHeight="1" x14ac:dyDescent="0.2">
      <c r="D56" s="74" t="s">
        <v>34</v>
      </c>
      <c r="E56" s="75">
        <f>$B$41</f>
        <v>1</v>
      </c>
      <c r="F56" s="76">
        <f>E55*E56</f>
        <v>4356.949931320054</v>
      </c>
    </row>
    <row r="58" spans="1:10" x14ac:dyDescent="0.2">
      <c r="A58" s="2" t="s">
        <v>182</v>
      </c>
    </row>
    <row r="59" spans="1:10" ht="12.75" customHeight="1" x14ac:dyDescent="0.2">
      <c r="A59" s="58" t="s">
        <v>16</v>
      </c>
      <c r="B59" s="59" t="s">
        <v>17</v>
      </c>
      <c r="C59" s="59" t="s">
        <v>9</v>
      </c>
      <c r="D59" s="60" t="s">
        <v>18</v>
      </c>
      <c r="E59" s="60" t="s">
        <v>19</v>
      </c>
      <c r="F59" s="61" t="s">
        <v>20</v>
      </c>
    </row>
    <row r="60" spans="1:10" x14ac:dyDescent="0.2">
      <c r="A60" s="62" t="s">
        <v>42</v>
      </c>
      <c r="B60" s="63" t="s">
        <v>22</v>
      </c>
      <c r="C60" s="63">
        <v>1</v>
      </c>
      <c r="D60" s="64">
        <v>2584.12</v>
      </c>
      <c r="E60" s="64">
        <f>C60*D60</f>
        <v>2584.12</v>
      </c>
    </row>
    <row r="61" spans="1:10" x14ac:dyDescent="0.2">
      <c r="A61" s="62" t="s">
        <v>43</v>
      </c>
      <c r="B61" s="63" t="s">
        <v>22</v>
      </c>
      <c r="C61" s="63">
        <v>1</v>
      </c>
      <c r="D61" s="64">
        <v>1518</v>
      </c>
      <c r="E61" s="64"/>
    </row>
    <row r="62" spans="1:10" x14ac:dyDescent="0.2">
      <c r="A62" s="65" t="s">
        <v>23</v>
      </c>
      <c r="B62" s="66" t="s">
        <v>24</v>
      </c>
      <c r="C62" s="67">
        <v>0</v>
      </c>
      <c r="D62" s="68">
        <f>D60/220*2</f>
        <v>23.491999999999997</v>
      </c>
      <c r="E62" s="68">
        <f>C62*D62</f>
        <v>0</v>
      </c>
    </row>
    <row r="63" spans="1:10" x14ac:dyDescent="0.2">
      <c r="A63" s="65" t="s">
        <v>25</v>
      </c>
      <c r="B63" s="66" t="s">
        <v>24</v>
      </c>
      <c r="C63" s="67">
        <v>8</v>
      </c>
      <c r="D63" s="68">
        <f>D60/220*1.5</f>
        <v>17.619</v>
      </c>
      <c r="E63" s="68">
        <f>C63*D63</f>
        <v>140.952</v>
      </c>
    </row>
    <row r="64" spans="1:10" x14ac:dyDescent="0.2">
      <c r="A64" s="65" t="s">
        <v>26</v>
      </c>
      <c r="B64" s="66" t="s">
        <v>27</v>
      </c>
      <c r="D64" s="68">
        <f>63/302*(SUM(E62:E63))</f>
        <v>29.4038940397351</v>
      </c>
      <c r="E64" s="68">
        <f>D64</f>
        <v>29.4038940397351</v>
      </c>
    </row>
    <row r="65" spans="1:10" s="26" customFormat="1" x14ac:dyDescent="0.2">
      <c r="A65" s="65" t="s">
        <v>44</v>
      </c>
      <c r="B65" s="66"/>
      <c r="C65" s="79">
        <v>1</v>
      </c>
      <c r="D65" s="68"/>
      <c r="E65" s="68"/>
      <c r="F65" s="3"/>
      <c r="G65" s="3"/>
      <c r="H65" s="2"/>
      <c r="I65" s="2"/>
      <c r="J65" s="2"/>
    </row>
    <row r="66" spans="1:10" ht="11.25" customHeight="1" x14ac:dyDescent="0.2">
      <c r="A66" s="65" t="s">
        <v>28</v>
      </c>
      <c r="B66" s="66" t="s">
        <v>5</v>
      </c>
      <c r="C66" s="66">
        <v>20</v>
      </c>
      <c r="D66" s="68">
        <v>1518</v>
      </c>
      <c r="E66" s="68">
        <f>C66*D66/100</f>
        <v>303.60000000000002</v>
      </c>
    </row>
    <row r="67" spans="1:10" s="26" customFormat="1" x14ac:dyDescent="0.2">
      <c r="A67" s="80" t="s">
        <v>29</v>
      </c>
      <c r="B67" s="70"/>
      <c r="C67" s="70"/>
      <c r="D67" s="71"/>
      <c r="E67" s="81">
        <f>SUM(E60:E66)</f>
        <v>3058.075894039735</v>
      </c>
      <c r="F67" s="28"/>
      <c r="G67" s="3"/>
      <c r="H67" s="2"/>
      <c r="I67" s="2"/>
      <c r="J67" s="2"/>
    </row>
    <row r="68" spans="1:10" ht="12.75" customHeight="1" x14ac:dyDescent="0.2">
      <c r="A68" s="65" t="s">
        <v>30</v>
      </c>
      <c r="B68" s="66" t="s">
        <v>5</v>
      </c>
      <c r="C68" s="68">
        <f>'2.Encargos Sociais'!$C$34*100</f>
        <v>77.635952000000017</v>
      </c>
      <c r="D68" s="68">
        <f>E67</f>
        <v>3058.075894039735</v>
      </c>
      <c r="E68" s="68">
        <f>D68*C68/100</f>
        <v>2374.1663332202602</v>
      </c>
      <c r="H68" s="78"/>
      <c r="I68" s="78"/>
      <c r="J68" s="78"/>
    </row>
    <row r="69" spans="1:10" x14ac:dyDescent="0.2">
      <c r="A69" s="80" t="s">
        <v>45</v>
      </c>
      <c r="B69" s="82"/>
      <c r="C69" s="82"/>
      <c r="D69" s="83"/>
      <c r="E69" s="81">
        <f>E67+E68</f>
        <v>5432.2422272599952</v>
      </c>
      <c r="F69" s="28"/>
    </row>
    <row r="70" spans="1:10" x14ac:dyDescent="0.2">
      <c r="A70" s="65" t="s">
        <v>32</v>
      </c>
      <c r="B70" s="66" t="s">
        <v>33</v>
      </c>
      <c r="C70" s="73">
        <f>E34</f>
        <v>1</v>
      </c>
      <c r="D70" s="68">
        <f>E69</f>
        <v>5432.2422272599952</v>
      </c>
      <c r="E70" s="68">
        <f>C70*D70</f>
        <v>5432.2422272599952</v>
      </c>
    </row>
    <row r="71" spans="1:10" x14ac:dyDescent="0.2">
      <c r="D71" s="74" t="s">
        <v>34</v>
      </c>
      <c r="E71" s="75">
        <f>$B$41</f>
        <v>1</v>
      </c>
      <c r="F71" s="76">
        <f>E70*E71</f>
        <v>5432.2422272599952</v>
      </c>
    </row>
    <row r="73" spans="1:10" ht="12.75" customHeight="1" x14ac:dyDescent="0.2">
      <c r="A73" s="2" t="s">
        <v>183</v>
      </c>
      <c r="B73" s="84"/>
      <c r="D73" s="2"/>
      <c r="E73" s="2"/>
    </row>
    <row r="74" spans="1:10" x14ac:dyDescent="0.2">
      <c r="A74" s="58" t="s">
        <v>16</v>
      </c>
      <c r="B74" s="59" t="s">
        <v>17</v>
      </c>
      <c r="C74" s="59" t="s">
        <v>9</v>
      </c>
      <c r="D74" s="60" t="s">
        <v>18</v>
      </c>
      <c r="E74" s="60" t="s">
        <v>19</v>
      </c>
      <c r="F74" s="61" t="s">
        <v>20</v>
      </c>
    </row>
    <row r="75" spans="1:10" x14ac:dyDescent="0.2">
      <c r="A75" s="65" t="s">
        <v>53</v>
      </c>
      <c r="B75" s="66" t="s">
        <v>27</v>
      </c>
      <c r="C75" s="85">
        <v>1</v>
      </c>
      <c r="D75" s="3">
        <v>4.5</v>
      </c>
      <c r="E75" s="68"/>
    </row>
    <row r="76" spans="1:10" x14ac:dyDescent="0.2">
      <c r="A76" s="65" t="s">
        <v>54</v>
      </c>
      <c r="B76" s="66" t="s">
        <v>55</v>
      </c>
      <c r="C76" s="2">
        <v>26</v>
      </c>
      <c r="D76" s="68"/>
      <c r="E76" s="68"/>
      <c r="G76" s="28"/>
      <c r="H76" s="26"/>
      <c r="I76" s="26"/>
      <c r="J76" s="26"/>
    </row>
    <row r="77" spans="1:10" x14ac:dyDescent="0.2">
      <c r="A77" s="65" t="s">
        <v>56</v>
      </c>
      <c r="B77" s="66" t="s">
        <v>57</v>
      </c>
      <c r="C77" s="86">
        <f>$C$76*2*(C55+E33)</f>
        <v>104</v>
      </c>
      <c r="D77" s="64">
        <f>IFERROR((($C$76*2*$D$75)-(E47*0.06*C76/26))/($C$76*2),"-")</f>
        <v>2.5022307692307688</v>
      </c>
      <c r="E77" s="68">
        <f>IFERROR(C77*D77,"-")</f>
        <v>260.23199999999997</v>
      </c>
    </row>
    <row r="78" spans="1:10" x14ac:dyDescent="0.2">
      <c r="A78" s="62" t="s">
        <v>58</v>
      </c>
      <c r="B78" s="63" t="s">
        <v>57</v>
      </c>
      <c r="C78" s="86">
        <f>$C$76*2*(C70+E34)</f>
        <v>104</v>
      </c>
      <c r="D78" s="64">
        <f>IFERROR((($C$76*2*$D$75)-(E60*0.06*C76/26))/($C$76*2),"-")</f>
        <v>1.5183230769230773</v>
      </c>
      <c r="E78" s="64">
        <f>IFERROR(C78*D78,"-")</f>
        <v>157.90560000000005</v>
      </c>
      <c r="G78" s="28"/>
      <c r="H78" s="26"/>
      <c r="I78" s="26"/>
      <c r="J78" s="26"/>
    </row>
    <row r="79" spans="1:10" x14ac:dyDescent="0.2">
      <c r="F79" s="87">
        <f>SUM(E77:E78)</f>
        <v>418.13760000000002</v>
      </c>
    </row>
    <row r="81" spans="1:7" x14ac:dyDescent="0.2">
      <c r="A81" s="2" t="s">
        <v>184</v>
      </c>
      <c r="F81" s="28"/>
      <c r="G81" s="2"/>
    </row>
    <row r="82" spans="1:7" x14ac:dyDescent="0.2">
      <c r="A82" s="58" t="s">
        <v>16</v>
      </c>
      <c r="B82" s="59" t="s">
        <v>17</v>
      </c>
      <c r="C82" s="59" t="s">
        <v>9</v>
      </c>
      <c r="D82" s="60" t="s">
        <v>18</v>
      </c>
      <c r="E82" s="60" t="s">
        <v>19</v>
      </c>
      <c r="F82" s="61" t="s">
        <v>20</v>
      </c>
      <c r="G82" s="2"/>
    </row>
    <row r="83" spans="1:7" ht="11.25" customHeight="1" x14ac:dyDescent="0.2">
      <c r="A83" s="65" t="str">
        <f>A77</f>
        <v>Coletor</v>
      </c>
      <c r="B83" s="66" t="s">
        <v>60</v>
      </c>
      <c r="C83" s="88">
        <f>E33</f>
        <v>1</v>
      </c>
      <c r="D83" s="68">
        <v>430</v>
      </c>
      <c r="E83" s="75">
        <f>C83*D83</f>
        <v>430</v>
      </c>
      <c r="F83" s="28"/>
      <c r="G83" s="2"/>
    </row>
    <row r="84" spans="1:7" x14ac:dyDescent="0.2">
      <c r="A84" s="65" t="str">
        <f>A78</f>
        <v>Motorista</v>
      </c>
      <c r="B84" s="66" t="s">
        <v>60</v>
      </c>
      <c r="C84" s="88">
        <f>E34</f>
        <v>1</v>
      </c>
      <c r="D84" s="68">
        <v>430</v>
      </c>
      <c r="E84" s="75">
        <f>C84*D84</f>
        <v>430</v>
      </c>
      <c r="F84" s="28"/>
      <c r="G84" s="2"/>
    </row>
    <row r="85" spans="1:7" x14ac:dyDescent="0.2">
      <c r="D85" s="74" t="s">
        <v>34</v>
      </c>
      <c r="E85" s="75">
        <f>$B$41</f>
        <v>1</v>
      </c>
      <c r="F85" s="87">
        <f>SUM(E83:E84)*E85</f>
        <v>860</v>
      </c>
      <c r="G85" s="2"/>
    </row>
    <row r="86" spans="1:7" x14ac:dyDescent="0.2">
      <c r="G86" s="2"/>
    </row>
    <row r="87" spans="1:7" x14ac:dyDescent="0.2">
      <c r="A87" s="89" t="s">
        <v>61</v>
      </c>
      <c r="B87" s="90"/>
      <c r="C87" s="90"/>
      <c r="D87" s="35"/>
      <c r="E87" s="91"/>
      <c r="F87" s="87">
        <f>F85+F79+F71+F56</f>
        <v>11067.32975858005</v>
      </c>
      <c r="G87" s="2"/>
    </row>
    <row r="88" spans="1:7" x14ac:dyDescent="0.2">
      <c r="G88" s="2"/>
    </row>
    <row r="89" spans="1:7" x14ac:dyDescent="0.2">
      <c r="A89" s="26" t="s">
        <v>62</v>
      </c>
      <c r="G89" s="2"/>
    </row>
    <row r="90" spans="1:7" x14ac:dyDescent="0.2">
      <c r="G90" s="2"/>
    </row>
    <row r="91" spans="1:7" x14ac:dyDescent="0.2">
      <c r="A91" s="2" t="s">
        <v>63</v>
      </c>
      <c r="G91" s="2"/>
    </row>
    <row r="92" spans="1:7" x14ac:dyDescent="0.2">
      <c r="G92" s="2"/>
    </row>
    <row r="93" spans="1:7" ht="24" x14ac:dyDescent="0.2">
      <c r="A93" s="58" t="s">
        <v>16</v>
      </c>
      <c r="B93" s="59" t="s">
        <v>17</v>
      </c>
      <c r="C93" s="93" t="s">
        <v>64</v>
      </c>
      <c r="D93" s="60" t="s">
        <v>18</v>
      </c>
      <c r="E93" s="60" t="s">
        <v>19</v>
      </c>
      <c r="F93" s="61" t="s">
        <v>20</v>
      </c>
      <c r="G93" s="2"/>
    </row>
    <row r="94" spans="1:7" x14ac:dyDescent="0.2">
      <c r="A94" s="62" t="str">
        <f>'1.1 Coleta Domiciliar'!A172</f>
        <v>Jaqueta com reflexivo (NBR 15.292)</v>
      </c>
      <c r="B94" s="62" t="str">
        <f>'1.1 Coleta Domiciliar'!B172</f>
        <v>unidade</v>
      </c>
      <c r="C94" s="63">
        <f>'1.1 Coleta Domiciliar'!C172</f>
        <v>12</v>
      </c>
      <c r="D94" s="152">
        <f>'1.1 Coleta Domiciliar'!D172</f>
        <v>63</v>
      </c>
      <c r="E94" s="64">
        <f t="shared" ref="E94:E102" si="1">IFERROR(D94/C94,0)</f>
        <v>5.25</v>
      </c>
      <c r="G94" s="2"/>
    </row>
    <row r="95" spans="1:7" x14ac:dyDescent="0.2">
      <c r="A95" s="62" t="str">
        <f>'1.1 Coleta Domiciliar'!A173</f>
        <v>Calça</v>
      </c>
      <c r="B95" s="62" t="str">
        <f>'1.1 Coleta Domiciliar'!B173</f>
        <v>unidade</v>
      </c>
      <c r="C95" s="63">
        <f>'1.1 Coleta Domiciliar'!C173</f>
        <v>4</v>
      </c>
      <c r="D95" s="152">
        <f>'1.1 Coleta Domiciliar'!D173</f>
        <v>59.9</v>
      </c>
      <c r="E95" s="64">
        <f t="shared" si="1"/>
        <v>14.975</v>
      </c>
      <c r="G95" s="2"/>
    </row>
    <row r="96" spans="1:7" x14ac:dyDescent="0.2">
      <c r="A96" s="62" t="str">
        <f>'1.1 Coleta Domiciliar'!A174</f>
        <v>Camiseta</v>
      </c>
      <c r="B96" s="62" t="str">
        <f>'1.1 Coleta Domiciliar'!B174</f>
        <v>unidade</v>
      </c>
      <c r="C96" s="63">
        <f>'1.1 Coleta Domiciliar'!C174</f>
        <v>2</v>
      </c>
      <c r="D96" s="152">
        <f>'1.1 Coleta Domiciliar'!D174</f>
        <v>27.5</v>
      </c>
      <c r="E96" s="64">
        <f t="shared" si="1"/>
        <v>13.75</v>
      </c>
      <c r="G96" s="2"/>
    </row>
    <row r="97" spans="1:10" x14ac:dyDescent="0.2">
      <c r="A97" s="62" t="str">
        <f>'1.1 Coleta Domiciliar'!A175</f>
        <v>Boné</v>
      </c>
      <c r="B97" s="62" t="str">
        <f>'1.1 Coleta Domiciliar'!B175</f>
        <v>unidade</v>
      </c>
      <c r="C97" s="63">
        <f>'1.1 Coleta Domiciliar'!C175</f>
        <v>3</v>
      </c>
      <c r="D97" s="152">
        <f>'1.1 Coleta Domiciliar'!D175</f>
        <v>19</v>
      </c>
      <c r="E97" s="64">
        <f t="shared" si="1"/>
        <v>6.333333333333333</v>
      </c>
    </row>
    <row r="98" spans="1:10" x14ac:dyDescent="0.2">
      <c r="A98" s="62" t="str">
        <f>'1.1 Coleta Domiciliar'!A176</f>
        <v>Tênis de segurança c/ palmilha aço</v>
      </c>
      <c r="B98" s="62" t="str">
        <f>'1.1 Coleta Domiciliar'!B176</f>
        <v>par</v>
      </c>
      <c r="C98" s="63">
        <f>'1.1 Coleta Domiciliar'!C176</f>
        <v>2</v>
      </c>
      <c r="D98" s="152">
        <f>'1.1 Coleta Domiciliar'!D176</f>
        <v>98.62</v>
      </c>
      <c r="E98" s="64">
        <f t="shared" si="1"/>
        <v>49.31</v>
      </c>
      <c r="G98" s="2"/>
    </row>
    <row r="99" spans="1:10" x14ac:dyDescent="0.2">
      <c r="A99" s="62" t="str">
        <f>'1.1 Coleta Domiciliar'!A177</f>
        <v>Capa de chuva amarela com reflexivo</v>
      </c>
      <c r="B99" s="62" t="str">
        <f>'1.1 Coleta Domiciliar'!B177</f>
        <v>unidade</v>
      </c>
      <c r="C99" s="63">
        <f>'1.1 Coleta Domiciliar'!C177</f>
        <v>6</v>
      </c>
      <c r="D99" s="152">
        <f>'1.1 Coleta Domiciliar'!D177</f>
        <v>128</v>
      </c>
      <c r="E99" s="64">
        <f t="shared" si="1"/>
        <v>21.333333333333332</v>
      </c>
      <c r="G99" s="2"/>
    </row>
    <row r="100" spans="1:10" ht="13.5" customHeight="1" x14ac:dyDescent="0.2">
      <c r="A100" s="62" t="str">
        <f>'1.1 Coleta Domiciliar'!A178</f>
        <v>Luva de proteção</v>
      </c>
      <c r="B100" s="62" t="str">
        <f>'1.1 Coleta Domiciliar'!B178</f>
        <v>par</v>
      </c>
      <c r="C100" s="63">
        <f>'1.1 Coleta Domiciliar'!C178</f>
        <v>1</v>
      </c>
      <c r="D100" s="152">
        <f>'1.1 Coleta Domiciliar'!D178</f>
        <v>32</v>
      </c>
      <c r="E100" s="64">
        <f t="shared" si="1"/>
        <v>32</v>
      </c>
      <c r="G100" s="2"/>
    </row>
    <row r="101" spans="1:10" x14ac:dyDescent="0.2">
      <c r="A101" s="62" t="str">
        <f>'1.1 Coleta Domiciliar'!A179</f>
        <v>Protetor solar FPS 30</v>
      </c>
      <c r="B101" s="62" t="str">
        <f>'1.1 Coleta Domiciliar'!B179</f>
        <v>frasco 120g</v>
      </c>
      <c r="C101" s="63">
        <f>'1.1 Coleta Domiciliar'!C179</f>
        <v>2</v>
      </c>
      <c r="D101" s="152">
        <f>'1.1 Coleta Domiciliar'!D179</f>
        <v>19</v>
      </c>
      <c r="E101" s="64">
        <f t="shared" si="1"/>
        <v>9.5</v>
      </c>
      <c r="F101" s="95"/>
      <c r="G101" s="2"/>
    </row>
    <row r="102" spans="1:10" ht="16.5" customHeight="1" x14ac:dyDescent="0.2">
      <c r="A102" s="62" t="str">
        <f>'1.1 Coleta Domiciliar'!A180</f>
        <v xml:space="preserve">Óculos de sol </v>
      </c>
      <c r="B102" s="62" t="str">
        <f>'1.1 Coleta Domiciliar'!B180</f>
        <v>unidade</v>
      </c>
      <c r="C102" s="63">
        <f>'1.1 Coleta Domiciliar'!C180</f>
        <v>4</v>
      </c>
      <c r="D102" s="152">
        <f>'1.1 Coleta Domiciliar'!D180</f>
        <v>4.5999999999999996</v>
      </c>
      <c r="E102" s="64">
        <f t="shared" si="1"/>
        <v>1.1499999999999999</v>
      </c>
      <c r="G102" s="2"/>
    </row>
    <row r="103" spans="1:10" x14ac:dyDescent="0.2">
      <c r="A103" s="65" t="s">
        <v>32</v>
      </c>
      <c r="B103" s="66" t="s">
        <v>33</v>
      </c>
      <c r="C103" s="79">
        <f>E33</f>
        <v>1</v>
      </c>
      <c r="D103" s="68">
        <f>+SUM(E94:E102)</f>
        <v>153.60166666666666</v>
      </c>
      <c r="E103" s="68">
        <f>C103*D103</f>
        <v>153.60166666666666</v>
      </c>
      <c r="G103" s="2"/>
    </row>
    <row r="104" spans="1:10" ht="12.75" customHeight="1" x14ac:dyDescent="0.2">
      <c r="D104" s="74" t="s">
        <v>34</v>
      </c>
      <c r="E104" s="75">
        <f>$B$41</f>
        <v>1</v>
      </c>
      <c r="F104" s="76">
        <f>E103*E104</f>
        <v>153.60166666666666</v>
      </c>
      <c r="G104" s="2"/>
    </row>
    <row r="105" spans="1:10" ht="13.5" customHeight="1" x14ac:dyDescent="0.2">
      <c r="G105" s="2"/>
    </row>
    <row r="106" spans="1:10" ht="12.75" customHeight="1" x14ac:dyDescent="0.2">
      <c r="A106" s="2" t="s">
        <v>76</v>
      </c>
    </row>
    <row r="108" spans="1:10" ht="24" x14ac:dyDescent="0.2">
      <c r="A108" s="58" t="s">
        <v>16</v>
      </c>
      <c r="B108" s="59" t="s">
        <v>17</v>
      </c>
      <c r="C108" s="93" t="s">
        <v>64</v>
      </c>
      <c r="D108" s="60" t="s">
        <v>18</v>
      </c>
      <c r="E108" s="60" t="s">
        <v>19</v>
      </c>
      <c r="F108" s="61" t="s">
        <v>20</v>
      </c>
      <c r="G108" s="95"/>
      <c r="H108" s="92"/>
      <c r="I108" s="92"/>
      <c r="J108" s="92"/>
    </row>
    <row r="109" spans="1:10" x14ac:dyDescent="0.2">
      <c r="A109" s="62" t="s">
        <v>65</v>
      </c>
      <c r="B109" s="63" t="s">
        <v>60</v>
      </c>
      <c r="C109" s="94">
        <v>12</v>
      </c>
      <c r="D109" s="64">
        <f>+D94</f>
        <v>63</v>
      </c>
      <c r="E109" s="64">
        <f t="shared" ref="E109:E114" si="2">IFERROR(D109/C109,0)</f>
        <v>5.25</v>
      </c>
    </row>
    <row r="110" spans="1:10" ht="12.75" customHeight="1" x14ac:dyDescent="0.2">
      <c r="A110" s="65" t="s">
        <v>66</v>
      </c>
      <c r="B110" s="66" t="s">
        <v>60</v>
      </c>
      <c r="C110" s="94">
        <v>4</v>
      </c>
      <c r="D110" s="68">
        <f>+D95</f>
        <v>59.9</v>
      </c>
      <c r="E110" s="64">
        <f t="shared" si="2"/>
        <v>14.975</v>
      </c>
    </row>
    <row r="111" spans="1:10" x14ac:dyDescent="0.2">
      <c r="A111" s="65" t="s">
        <v>67</v>
      </c>
      <c r="B111" s="66" t="s">
        <v>60</v>
      </c>
      <c r="C111" s="94">
        <v>2</v>
      </c>
      <c r="D111" s="68">
        <f>+D96</f>
        <v>27.5</v>
      </c>
      <c r="E111" s="64">
        <f t="shared" si="2"/>
        <v>13.75</v>
      </c>
    </row>
    <row r="112" spans="1:10" x14ac:dyDescent="0.2">
      <c r="A112" s="65" t="s">
        <v>185</v>
      </c>
      <c r="B112" s="66" t="s">
        <v>70</v>
      </c>
      <c r="C112" s="94">
        <v>4</v>
      </c>
      <c r="D112" s="68">
        <f>+D98</f>
        <v>98.62</v>
      </c>
      <c r="E112" s="64">
        <f t="shared" si="2"/>
        <v>24.655000000000001</v>
      </c>
    </row>
    <row r="113" spans="1:7" x14ac:dyDescent="0.2">
      <c r="A113" s="65" t="s">
        <v>71</v>
      </c>
      <c r="B113" s="66" t="s">
        <v>60</v>
      </c>
      <c r="C113" s="94">
        <v>4</v>
      </c>
      <c r="D113" s="68">
        <v>128</v>
      </c>
      <c r="E113" s="64">
        <f t="shared" si="2"/>
        <v>32</v>
      </c>
    </row>
    <row r="114" spans="1:7" x14ac:dyDescent="0.2">
      <c r="A114" s="65" t="s">
        <v>73</v>
      </c>
      <c r="B114" s="66" t="s">
        <v>74</v>
      </c>
      <c r="C114" s="94">
        <v>2</v>
      </c>
      <c r="D114" s="68">
        <f>D101</f>
        <v>19</v>
      </c>
      <c r="E114" s="64">
        <f t="shared" si="2"/>
        <v>9.5</v>
      </c>
    </row>
    <row r="115" spans="1:7" ht="11.25" customHeight="1" x14ac:dyDescent="0.2">
      <c r="A115" s="65" t="s">
        <v>32</v>
      </c>
      <c r="B115" s="66" t="s">
        <v>33</v>
      </c>
      <c r="C115" s="79">
        <f>E34</f>
        <v>1</v>
      </c>
      <c r="D115" s="68">
        <f>+SUM(E109:E114)</f>
        <v>100.13</v>
      </c>
      <c r="E115" s="68">
        <f>C115*D115</f>
        <v>100.13</v>
      </c>
    </row>
    <row r="116" spans="1:7" x14ac:dyDescent="0.2">
      <c r="D116" s="74" t="s">
        <v>34</v>
      </c>
      <c r="E116" s="75">
        <f>$B$41</f>
        <v>1</v>
      </c>
      <c r="F116" s="76">
        <f>E115*E116</f>
        <v>100.13</v>
      </c>
    </row>
    <row r="118" spans="1:7" x14ac:dyDescent="0.2">
      <c r="A118" s="89" t="s">
        <v>77</v>
      </c>
      <c r="B118" s="97"/>
      <c r="C118" s="97"/>
      <c r="D118" s="98"/>
      <c r="E118" s="99"/>
      <c r="F118" s="100">
        <f>+F104+F116</f>
        <v>253.73166666666665</v>
      </c>
    </row>
    <row r="120" spans="1:7" x14ac:dyDescent="0.2">
      <c r="A120" s="26" t="s">
        <v>78</v>
      </c>
    </row>
    <row r="121" spans="1:7" x14ac:dyDescent="0.2">
      <c r="B121" s="101"/>
      <c r="G121" s="2"/>
    </row>
    <row r="122" spans="1:7" x14ac:dyDescent="0.2">
      <c r="A122" s="2" t="s">
        <v>186</v>
      </c>
      <c r="G122" s="2"/>
    </row>
    <row r="123" spans="1:7" x14ac:dyDescent="0.2">
      <c r="G123" s="2"/>
    </row>
    <row r="124" spans="1:7" x14ac:dyDescent="0.2">
      <c r="A124" s="102" t="s">
        <v>80</v>
      </c>
      <c r="G124" s="2"/>
    </row>
    <row r="125" spans="1:7" x14ac:dyDescent="0.2">
      <c r="A125" s="58" t="s">
        <v>16</v>
      </c>
      <c r="B125" s="59" t="s">
        <v>17</v>
      </c>
      <c r="C125" s="59" t="s">
        <v>9</v>
      </c>
      <c r="D125" s="60" t="s">
        <v>18</v>
      </c>
      <c r="E125" s="60" t="s">
        <v>19</v>
      </c>
      <c r="F125" s="61" t="s">
        <v>20</v>
      </c>
      <c r="G125" s="2"/>
    </row>
    <row r="126" spans="1:7" ht="11.25" customHeight="1" x14ac:dyDescent="0.2">
      <c r="A126" s="62" t="s">
        <v>81</v>
      </c>
      <c r="B126" s="63" t="s">
        <v>60</v>
      </c>
      <c r="C126" s="63">
        <v>1</v>
      </c>
      <c r="D126" s="64">
        <v>275000</v>
      </c>
      <c r="E126" s="64">
        <f>C126*D126</f>
        <v>275000</v>
      </c>
      <c r="G126" s="2"/>
    </row>
    <row r="127" spans="1:7" x14ac:dyDescent="0.2">
      <c r="A127" s="65" t="s">
        <v>82</v>
      </c>
      <c r="B127" s="66" t="s">
        <v>83</v>
      </c>
      <c r="C127" s="66">
        <v>5</v>
      </c>
      <c r="D127" s="68"/>
      <c r="E127" s="68"/>
      <c r="G127" s="2"/>
    </row>
    <row r="128" spans="1:7" ht="11.25" customHeight="1" x14ac:dyDescent="0.2">
      <c r="A128" s="65" t="s">
        <v>84</v>
      </c>
      <c r="B128" s="66" t="s">
        <v>83</v>
      </c>
      <c r="C128" s="66">
        <v>3</v>
      </c>
      <c r="D128" s="68"/>
      <c r="E128" s="68"/>
      <c r="F128" s="103"/>
      <c r="G128" s="2"/>
    </row>
    <row r="129" spans="1:10" x14ac:dyDescent="0.2">
      <c r="A129" s="65" t="s">
        <v>85</v>
      </c>
      <c r="B129" s="66" t="s">
        <v>5</v>
      </c>
      <c r="C129" s="68">
        <f>IFERROR(VLOOKUP(C127,'5. Depreciação'!A3:B17,2,FALSE()),0)</f>
        <v>55.68</v>
      </c>
      <c r="D129" s="68">
        <f>E126</f>
        <v>275000</v>
      </c>
      <c r="E129" s="68">
        <f>C129*D129/100</f>
        <v>153120</v>
      </c>
      <c r="G129" s="2"/>
    </row>
    <row r="130" spans="1:10" ht="11.25" customHeight="1" x14ac:dyDescent="0.2">
      <c r="A130" s="104" t="s">
        <v>187</v>
      </c>
      <c r="B130" s="105" t="s">
        <v>22</v>
      </c>
      <c r="C130" s="105">
        <f>C127*12</f>
        <v>60</v>
      </c>
      <c r="D130" s="106">
        <f>IF(C128&lt;=C127,E129,0)</f>
        <v>153120</v>
      </c>
      <c r="E130" s="106">
        <f>IFERROR(D130/C130,0)</f>
        <v>2552</v>
      </c>
      <c r="G130" s="2"/>
    </row>
    <row r="131" spans="1:10" x14ac:dyDescent="0.2">
      <c r="A131" s="62" t="s">
        <v>87</v>
      </c>
      <c r="B131" s="63" t="s">
        <v>60</v>
      </c>
      <c r="C131" s="63">
        <f>C126</f>
        <v>1</v>
      </c>
      <c r="D131" s="64">
        <v>75000</v>
      </c>
      <c r="E131" s="64">
        <f>C131*D131</f>
        <v>75000</v>
      </c>
      <c r="G131" s="2"/>
    </row>
    <row r="132" spans="1:10" ht="11.25" customHeight="1" x14ac:dyDescent="0.2">
      <c r="A132" s="65" t="s">
        <v>188</v>
      </c>
      <c r="B132" s="66" t="s">
        <v>83</v>
      </c>
      <c r="C132" s="66">
        <v>5</v>
      </c>
      <c r="D132" s="68"/>
      <c r="E132" s="68"/>
      <c r="G132" s="2"/>
    </row>
    <row r="133" spans="1:10" x14ac:dyDescent="0.2">
      <c r="A133" s="65" t="s">
        <v>189</v>
      </c>
      <c r="B133" s="66" t="s">
        <v>83</v>
      </c>
      <c r="C133" s="66">
        <v>3</v>
      </c>
      <c r="D133" s="68"/>
      <c r="E133" s="68"/>
      <c r="F133" s="103"/>
      <c r="G133" s="2"/>
    </row>
    <row r="134" spans="1:10" x14ac:dyDescent="0.2">
      <c r="A134" s="65" t="s">
        <v>190</v>
      </c>
      <c r="B134" s="66" t="s">
        <v>5</v>
      </c>
      <c r="C134" s="75">
        <f>IFERROR(VLOOKUP(C132,'5. Depreciação'!A3:B17,2,FALSE()),0)</f>
        <v>55.68</v>
      </c>
      <c r="D134" s="68">
        <f>E131</f>
        <v>75000</v>
      </c>
      <c r="E134" s="68">
        <f>C134*D134/100</f>
        <v>41760</v>
      </c>
      <c r="G134" s="2"/>
    </row>
    <row r="135" spans="1:10" x14ac:dyDescent="0.2">
      <c r="A135" s="80" t="s">
        <v>191</v>
      </c>
      <c r="B135" s="107" t="s">
        <v>22</v>
      </c>
      <c r="C135" s="107">
        <f>C132*12</f>
        <v>60</v>
      </c>
      <c r="D135" s="81">
        <f>IF(C133&lt;=C132,E134,0)</f>
        <v>41760</v>
      </c>
      <c r="E135" s="81">
        <f>IFERROR(D135/C135,0)</f>
        <v>696</v>
      </c>
      <c r="G135" s="2"/>
    </row>
    <row r="136" spans="1:10" x14ac:dyDescent="0.2">
      <c r="A136" s="69" t="s">
        <v>92</v>
      </c>
      <c r="B136" s="70"/>
      <c r="C136" s="70"/>
      <c r="D136" s="71"/>
      <c r="E136" s="72">
        <f>E130+E135</f>
        <v>3248</v>
      </c>
      <c r="G136" s="2"/>
    </row>
    <row r="137" spans="1:10" x14ac:dyDescent="0.2">
      <c r="A137" s="80" t="s">
        <v>93</v>
      </c>
      <c r="B137" s="107" t="s">
        <v>60</v>
      </c>
      <c r="C137" s="67">
        <f>E38</f>
        <v>1</v>
      </c>
      <c r="D137" s="81">
        <f>E136</f>
        <v>3248</v>
      </c>
      <c r="E137" s="72">
        <f>C137*D137</f>
        <v>3248</v>
      </c>
      <c r="I137" s="108"/>
      <c r="J137" s="108"/>
    </row>
    <row r="138" spans="1:10" x14ac:dyDescent="0.2">
      <c r="A138" s="109"/>
      <c r="B138" s="109"/>
      <c r="C138" s="109"/>
      <c r="D138" s="74" t="s">
        <v>34</v>
      </c>
      <c r="E138" s="75">
        <v>1</v>
      </c>
      <c r="F138" s="100">
        <f>E137*E138</f>
        <v>3248</v>
      </c>
    </row>
    <row r="140" spans="1:10" x14ac:dyDescent="0.2">
      <c r="A140" s="102" t="s">
        <v>94</v>
      </c>
      <c r="G140" s="2"/>
    </row>
    <row r="141" spans="1:10" x14ac:dyDescent="0.2">
      <c r="A141" s="110" t="s">
        <v>16</v>
      </c>
      <c r="B141" s="111" t="s">
        <v>17</v>
      </c>
      <c r="C141" s="111" t="s">
        <v>9</v>
      </c>
      <c r="D141" s="60" t="s">
        <v>18</v>
      </c>
      <c r="E141" s="112" t="s">
        <v>19</v>
      </c>
      <c r="F141" s="61" t="s">
        <v>20</v>
      </c>
    </row>
    <row r="142" spans="1:10" x14ac:dyDescent="0.2">
      <c r="A142" s="65" t="s">
        <v>95</v>
      </c>
      <c r="B142" s="66" t="s">
        <v>60</v>
      </c>
      <c r="C142" s="63">
        <v>1</v>
      </c>
      <c r="D142" s="68">
        <f>D126</f>
        <v>275000</v>
      </c>
      <c r="E142" s="68">
        <f>C142*D142</f>
        <v>275000</v>
      </c>
      <c r="F142" s="103"/>
      <c r="I142" s="108"/>
      <c r="J142" s="108"/>
    </row>
    <row r="143" spans="1:10" x14ac:dyDescent="0.2">
      <c r="A143" s="65" t="s">
        <v>96</v>
      </c>
      <c r="B143" s="66" t="s">
        <v>5</v>
      </c>
      <c r="C143" s="113">
        <f>'4.BDI'!E12</f>
        <v>0.14249999999999999</v>
      </c>
      <c r="D143" s="68"/>
      <c r="E143" s="68"/>
      <c r="F143" s="103"/>
    </row>
    <row r="144" spans="1:10" x14ac:dyDescent="0.2">
      <c r="A144" s="65" t="s">
        <v>97</v>
      </c>
      <c r="B144" s="66" t="s">
        <v>27</v>
      </c>
      <c r="C144" s="114">
        <f>IFERROR(IF(C128&lt;=C127,E126-(C129/(100*C127)*C128)*E126,E126-E129),0)</f>
        <v>183128</v>
      </c>
      <c r="D144" s="68"/>
      <c r="E144" s="68"/>
      <c r="F144" s="103"/>
    </row>
    <row r="145" spans="1:10" x14ac:dyDescent="0.2">
      <c r="A145" s="65" t="s">
        <v>98</v>
      </c>
      <c r="B145" s="66" t="s">
        <v>27</v>
      </c>
      <c r="C145" s="68">
        <f>IFERROR(IF(C128&gt;=C127,C144,((((C144)-(E126-E129))*(((C127-C128)+1)/(2*(C127-C128))))+(E126-E129))),0)</f>
        <v>167816</v>
      </c>
      <c r="D145" s="68"/>
      <c r="E145" s="68"/>
      <c r="F145" s="103"/>
    </row>
    <row r="146" spans="1:10" x14ac:dyDescent="0.2">
      <c r="A146" s="104" t="s">
        <v>99</v>
      </c>
      <c r="B146" s="105" t="s">
        <v>27</v>
      </c>
      <c r="C146" s="105"/>
      <c r="D146" s="106">
        <f>C143*C145/12</f>
        <v>1992.8149999999998</v>
      </c>
      <c r="E146" s="106">
        <f>D146</f>
        <v>1992.8149999999998</v>
      </c>
      <c r="F146" s="103"/>
    </row>
    <row r="147" spans="1:10" x14ac:dyDescent="0.2">
      <c r="A147" s="62" t="s">
        <v>100</v>
      </c>
      <c r="B147" s="63" t="s">
        <v>60</v>
      </c>
      <c r="C147" s="63">
        <f>C131</f>
        <v>1</v>
      </c>
      <c r="D147" s="64">
        <f>D131</f>
        <v>75000</v>
      </c>
      <c r="E147" s="64">
        <f>C147*D147</f>
        <v>75000</v>
      </c>
      <c r="F147" s="103"/>
    </row>
    <row r="148" spans="1:10" ht="11.25" customHeight="1" x14ac:dyDescent="0.2">
      <c r="A148" s="65" t="s">
        <v>96</v>
      </c>
      <c r="B148" s="66" t="s">
        <v>5</v>
      </c>
      <c r="C148" s="113">
        <f>C143</f>
        <v>0.14249999999999999</v>
      </c>
      <c r="D148" s="68"/>
      <c r="E148" s="68"/>
      <c r="F148" s="103"/>
    </row>
    <row r="149" spans="1:10" x14ac:dyDescent="0.2">
      <c r="A149" s="65" t="s">
        <v>101</v>
      </c>
      <c r="B149" s="66" t="s">
        <v>27</v>
      </c>
      <c r="C149" s="114">
        <f>IFERROR(IF(C133&lt;=C132,E131-(C134/(100*C132)*C133)*E131,E131-E134),0)</f>
        <v>49944</v>
      </c>
      <c r="D149" s="68"/>
      <c r="E149" s="68"/>
      <c r="F149" s="103"/>
    </row>
    <row r="150" spans="1:10" x14ac:dyDescent="0.2">
      <c r="A150" s="65" t="s">
        <v>102</v>
      </c>
      <c r="B150" s="66" t="s">
        <v>27</v>
      </c>
      <c r="C150" s="68">
        <f>IFERROR(IF(C133&gt;=C132,C149,((((C149)-(E131-E134))*(((C132-C133)+1)/(2*(C132-C133))))+(E131-E134))),0)</f>
        <v>45768</v>
      </c>
      <c r="D150" s="68"/>
      <c r="E150" s="68"/>
      <c r="F150" s="103"/>
      <c r="I150" s="108"/>
      <c r="J150" s="108"/>
    </row>
    <row r="151" spans="1:10" x14ac:dyDescent="0.2">
      <c r="A151" s="80" t="s">
        <v>192</v>
      </c>
      <c r="B151" s="107" t="s">
        <v>27</v>
      </c>
      <c r="C151" s="107"/>
      <c r="D151" s="81">
        <f>C148*C150/12</f>
        <v>543.495</v>
      </c>
      <c r="E151" s="81">
        <f>D151</f>
        <v>543.495</v>
      </c>
      <c r="F151" s="103"/>
      <c r="I151" s="108"/>
      <c r="J151" s="108"/>
    </row>
    <row r="152" spans="1:10" x14ac:dyDescent="0.2">
      <c r="A152" s="69" t="s">
        <v>92</v>
      </c>
      <c r="B152" s="70"/>
      <c r="C152" s="70"/>
      <c r="D152" s="71"/>
      <c r="E152" s="72">
        <f>E146+E151</f>
        <v>2536.31</v>
      </c>
      <c r="F152" s="103"/>
      <c r="I152" s="108"/>
      <c r="J152" s="108"/>
    </row>
    <row r="153" spans="1:10" x14ac:dyDescent="0.2">
      <c r="A153" s="80" t="s">
        <v>93</v>
      </c>
      <c r="B153" s="107" t="s">
        <v>60</v>
      </c>
      <c r="C153" s="67">
        <f>C137</f>
        <v>1</v>
      </c>
      <c r="D153" s="81">
        <f>E152</f>
        <v>2536.31</v>
      </c>
      <c r="E153" s="72">
        <f>C153*D153</f>
        <v>2536.31</v>
      </c>
      <c r="F153" s="103"/>
      <c r="I153" s="108"/>
      <c r="J153" s="108"/>
    </row>
    <row r="154" spans="1:10" x14ac:dyDescent="0.2">
      <c r="C154" s="115"/>
      <c r="D154" s="74" t="s">
        <v>34</v>
      </c>
      <c r="E154" s="75">
        <f>$B$41</f>
        <v>1</v>
      </c>
      <c r="F154" s="100">
        <f>E153*E154</f>
        <v>2536.31</v>
      </c>
      <c r="I154" s="108"/>
      <c r="J154" s="108"/>
    </row>
    <row r="155" spans="1:10" x14ac:dyDescent="0.2">
      <c r="I155" s="108"/>
      <c r="J155" s="108"/>
    </row>
    <row r="156" spans="1:10" x14ac:dyDescent="0.2">
      <c r="A156" s="2" t="s">
        <v>104</v>
      </c>
      <c r="I156" s="108"/>
      <c r="J156" s="108"/>
    </row>
    <row r="157" spans="1:10" x14ac:dyDescent="0.2">
      <c r="A157" s="58" t="s">
        <v>16</v>
      </c>
      <c r="B157" s="59" t="s">
        <v>17</v>
      </c>
      <c r="C157" s="59" t="s">
        <v>9</v>
      </c>
      <c r="D157" s="60" t="s">
        <v>18</v>
      </c>
      <c r="E157" s="60" t="s">
        <v>19</v>
      </c>
      <c r="F157" s="61" t="s">
        <v>20</v>
      </c>
      <c r="I157" s="108"/>
      <c r="J157" s="108"/>
    </row>
    <row r="158" spans="1:10" x14ac:dyDescent="0.2">
      <c r="A158" s="62" t="s">
        <v>105</v>
      </c>
      <c r="B158" s="63" t="s">
        <v>60</v>
      </c>
      <c r="C158" s="64">
        <f>C137</f>
        <v>1</v>
      </c>
      <c r="D158" s="64">
        <f>0.01*($E$126)</f>
        <v>2750</v>
      </c>
      <c r="E158" s="64">
        <f>C158*D158</f>
        <v>2750</v>
      </c>
      <c r="I158" s="108"/>
      <c r="J158" s="108"/>
    </row>
    <row r="159" spans="1:10" x14ac:dyDescent="0.2">
      <c r="A159" s="65" t="s">
        <v>106</v>
      </c>
      <c r="B159" s="66" t="s">
        <v>60</v>
      </c>
      <c r="C159" s="64">
        <f>C137</f>
        <v>1</v>
      </c>
      <c r="D159" s="68">
        <f>142.69+12.3</f>
        <v>154.99</v>
      </c>
      <c r="E159" s="68">
        <f>C159*D159</f>
        <v>154.99</v>
      </c>
      <c r="I159" s="108"/>
      <c r="J159" s="108"/>
    </row>
    <row r="160" spans="1:10" x14ac:dyDescent="0.2">
      <c r="A160" s="65" t="s">
        <v>107</v>
      </c>
      <c r="B160" s="66" t="s">
        <v>60</v>
      </c>
      <c r="C160" s="64">
        <f>C137</f>
        <v>1</v>
      </c>
      <c r="D160" s="68">
        <v>2000</v>
      </c>
      <c r="E160" s="68">
        <f>C160*D160</f>
        <v>2000</v>
      </c>
      <c r="F160" s="71"/>
      <c r="I160" s="108"/>
      <c r="J160" s="108"/>
    </row>
    <row r="161" spans="1:10" x14ac:dyDescent="0.2">
      <c r="A161" s="80" t="s">
        <v>108</v>
      </c>
      <c r="B161" s="107" t="s">
        <v>22</v>
      </c>
      <c r="C161" s="107">
        <v>12</v>
      </c>
      <c r="D161" s="81">
        <f>SUM(E158:E160)</f>
        <v>4904.99</v>
      </c>
      <c r="E161" s="81">
        <f>D161/C161</f>
        <v>408.74916666666667</v>
      </c>
      <c r="I161" s="108"/>
      <c r="J161" s="108"/>
    </row>
    <row r="162" spans="1:10" x14ac:dyDescent="0.2">
      <c r="D162" s="74" t="s">
        <v>34</v>
      </c>
      <c r="E162" s="75">
        <f>$B$41</f>
        <v>1</v>
      </c>
      <c r="F162" s="76">
        <f>E161*E162</f>
        <v>408.74916666666667</v>
      </c>
      <c r="I162" s="108"/>
      <c r="J162" s="108"/>
    </row>
    <row r="163" spans="1:10" x14ac:dyDescent="0.2">
      <c r="I163" s="108"/>
      <c r="J163" s="108"/>
    </row>
    <row r="164" spans="1:10" ht="11.25" customHeight="1" x14ac:dyDescent="0.2">
      <c r="A164" s="2" t="s">
        <v>109</v>
      </c>
      <c r="B164" s="116"/>
      <c r="I164" s="108"/>
      <c r="J164" s="108"/>
    </row>
    <row r="165" spans="1:10" x14ac:dyDescent="0.2">
      <c r="B165" s="116"/>
      <c r="I165" s="108"/>
      <c r="J165" s="108"/>
    </row>
    <row r="166" spans="1:10" x14ac:dyDescent="0.2">
      <c r="A166" s="80" t="s">
        <v>110</v>
      </c>
      <c r="B166" s="117">
        <v>1905</v>
      </c>
      <c r="I166" s="108"/>
      <c r="J166" s="108"/>
    </row>
    <row r="167" spans="1:10" x14ac:dyDescent="0.2">
      <c r="B167" s="116"/>
      <c r="I167" s="108"/>
      <c r="J167" s="108"/>
    </row>
    <row r="168" spans="1:10" x14ac:dyDescent="0.2">
      <c r="A168" s="58" t="s">
        <v>16</v>
      </c>
      <c r="B168" s="59" t="s">
        <v>17</v>
      </c>
      <c r="C168" s="59" t="s">
        <v>111</v>
      </c>
      <c r="D168" s="60" t="s">
        <v>18</v>
      </c>
      <c r="E168" s="60" t="s">
        <v>19</v>
      </c>
      <c r="F168" s="61" t="s">
        <v>20</v>
      </c>
      <c r="I168" s="108"/>
      <c r="J168" s="108"/>
    </row>
    <row r="169" spans="1:10" x14ac:dyDescent="0.2">
      <c r="A169" s="62" t="s">
        <v>112</v>
      </c>
      <c r="B169" s="63" t="s">
        <v>113</v>
      </c>
      <c r="C169" s="118">
        <v>2.8</v>
      </c>
      <c r="D169" s="119">
        <v>6.35</v>
      </c>
      <c r="E169" s="64"/>
      <c r="I169" s="108"/>
      <c r="J169" s="108"/>
    </row>
    <row r="170" spans="1:10" x14ac:dyDescent="0.2">
      <c r="A170" s="65" t="s">
        <v>114</v>
      </c>
      <c r="B170" s="66" t="s">
        <v>115</v>
      </c>
      <c r="C170" s="85">
        <f>B166</f>
        <v>1905</v>
      </c>
      <c r="D170" s="119">
        <f>IFERROR(+D169/C169,"-")</f>
        <v>2.2678571428571428</v>
      </c>
      <c r="E170" s="68">
        <f>IFERROR(C170*D170,"-")</f>
        <v>4320.2678571428569</v>
      </c>
      <c r="I170" s="108"/>
      <c r="J170" s="108"/>
    </row>
    <row r="171" spans="1:10" x14ac:dyDescent="0.2">
      <c r="A171" s="65" t="s">
        <v>116</v>
      </c>
      <c r="B171" s="66" t="s">
        <v>117</v>
      </c>
      <c r="C171" s="120">
        <v>33</v>
      </c>
      <c r="D171" s="68">
        <v>18.45</v>
      </c>
      <c r="E171" s="68"/>
      <c r="I171" s="108"/>
      <c r="J171" s="108"/>
    </row>
    <row r="172" spans="1:10" ht="11.25" customHeight="1" x14ac:dyDescent="0.2">
      <c r="A172" s="65" t="s">
        <v>118</v>
      </c>
      <c r="B172" s="66" t="s">
        <v>115</v>
      </c>
      <c r="C172" s="85">
        <f>C170</f>
        <v>1905</v>
      </c>
      <c r="D172" s="121">
        <f>+C171*D171/1000</f>
        <v>0.60885</v>
      </c>
      <c r="E172" s="68">
        <f>C172*D172</f>
        <v>1159.85925</v>
      </c>
      <c r="I172" s="108"/>
      <c r="J172" s="108"/>
    </row>
    <row r="173" spans="1:10" x14ac:dyDescent="0.2">
      <c r="A173" s="65" t="s">
        <v>119</v>
      </c>
      <c r="B173" s="66" t="s">
        <v>117</v>
      </c>
      <c r="C173" s="120">
        <v>1.8</v>
      </c>
      <c r="D173" s="68">
        <v>27.45</v>
      </c>
      <c r="E173" s="68"/>
      <c r="I173" s="108"/>
      <c r="J173" s="108"/>
    </row>
    <row r="174" spans="1:10" x14ac:dyDescent="0.2">
      <c r="A174" s="65" t="s">
        <v>120</v>
      </c>
      <c r="B174" s="66" t="s">
        <v>115</v>
      </c>
      <c r="C174" s="85">
        <f>C170</f>
        <v>1905</v>
      </c>
      <c r="D174" s="121">
        <f>+C173*D173/1000</f>
        <v>4.9409999999999996E-2</v>
      </c>
      <c r="E174" s="68">
        <f>C174*D174</f>
        <v>94.126049999999992</v>
      </c>
      <c r="I174" s="108"/>
      <c r="J174" s="108"/>
    </row>
    <row r="175" spans="1:10" x14ac:dyDescent="0.2">
      <c r="A175" s="65" t="s">
        <v>121</v>
      </c>
      <c r="B175" s="66" t="s">
        <v>117</v>
      </c>
      <c r="C175" s="120">
        <v>1.2</v>
      </c>
      <c r="D175" s="68">
        <v>32</v>
      </c>
      <c r="E175" s="68"/>
      <c r="I175" s="108"/>
      <c r="J175" s="108"/>
    </row>
    <row r="176" spans="1:10" x14ac:dyDescent="0.2">
      <c r="A176" s="65" t="s">
        <v>122</v>
      </c>
      <c r="B176" s="66" t="s">
        <v>115</v>
      </c>
      <c r="C176" s="85">
        <f>C170</f>
        <v>1905</v>
      </c>
      <c r="D176" s="121">
        <f>+C175*D175/1000</f>
        <v>3.8399999999999997E-2</v>
      </c>
      <c r="E176" s="68">
        <f>C176*D176</f>
        <v>73.151999999999987</v>
      </c>
      <c r="I176" s="108"/>
      <c r="J176" s="108"/>
    </row>
    <row r="177" spans="1:10" x14ac:dyDescent="0.2">
      <c r="A177" s="65" t="s">
        <v>123</v>
      </c>
      <c r="B177" s="66" t="s">
        <v>124</v>
      </c>
      <c r="C177" s="120">
        <v>2</v>
      </c>
      <c r="D177" s="68">
        <v>10.59</v>
      </c>
      <c r="E177" s="68"/>
      <c r="I177" s="108"/>
      <c r="J177" s="108"/>
    </row>
    <row r="178" spans="1:10" x14ac:dyDescent="0.2">
      <c r="A178" s="65" t="s">
        <v>125</v>
      </c>
      <c r="B178" s="66" t="s">
        <v>115</v>
      </c>
      <c r="C178" s="85">
        <f>C170</f>
        <v>1905</v>
      </c>
      <c r="D178" s="121">
        <f>+C177*D177/1000</f>
        <v>2.1180000000000001E-2</v>
      </c>
      <c r="E178" s="68">
        <f>C178*D178</f>
        <v>40.347900000000003</v>
      </c>
      <c r="I178" s="108"/>
      <c r="J178" s="108"/>
    </row>
    <row r="179" spans="1:10" x14ac:dyDescent="0.2">
      <c r="A179" s="80" t="s">
        <v>126</v>
      </c>
      <c r="B179" s="107" t="s">
        <v>127</v>
      </c>
      <c r="C179" s="122"/>
      <c r="D179" s="123">
        <f>IFERROR(D170+D172+D174+D176+D178,0)</f>
        <v>2.985697142857143</v>
      </c>
      <c r="E179" s="68"/>
      <c r="I179" s="108"/>
      <c r="J179" s="108"/>
    </row>
    <row r="180" spans="1:10" x14ac:dyDescent="0.2">
      <c r="F180" s="100">
        <f>SUM(E169:E178)</f>
        <v>5687.7530571428561</v>
      </c>
      <c r="I180" s="108"/>
      <c r="J180" s="108"/>
    </row>
    <row r="181" spans="1:10" s="129" customFormat="1" x14ac:dyDescent="0.2">
      <c r="A181" s="2"/>
      <c r="B181" s="2"/>
      <c r="C181" s="2"/>
      <c r="D181" s="3"/>
      <c r="E181" s="3"/>
      <c r="F181" s="3"/>
      <c r="G181" s="3"/>
      <c r="H181" s="2"/>
      <c r="I181" s="108"/>
      <c r="J181" s="108"/>
    </row>
    <row r="182" spans="1:10" x14ac:dyDescent="0.2">
      <c r="A182" s="2" t="s">
        <v>128</v>
      </c>
      <c r="I182" s="108"/>
      <c r="J182" s="108"/>
    </row>
    <row r="183" spans="1:10" x14ac:dyDescent="0.2">
      <c r="A183" s="58" t="s">
        <v>16</v>
      </c>
      <c r="B183" s="59" t="s">
        <v>17</v>
      </c>
      <c r="C183" s="59" t="s">
        <v>9</v>
      </c>
      <c r="D183" s="60" t="s">
        <v>18</v>
      </c>
      <c r="E183" s="60" t="s">
        <v>19</v>
      </c>
      <c r="F183" s="61" t="s">
        <v>20</v>
      </c>
      <c r="I183" s="108"/>
      <c r="J183" s="108"/>
    </row>
    <row r="184" spans="1:10" x14ac:dyDescent="0.2">
      <c r="A184" s="62" t="s">
        <v>129</v>
      </c>
      <c r="B184" s="63" t="s">
        <v>127</v>
      </c>
      <c r="C184" s="85">
        <f>C170</f>
        <v>1905</v>
      </c>
      <c r="D184" s="64">
        <v>1.004</v>
      </c>
      <c r="E184" s="64">
        <f>C184*D184</f>
        <v>1912.6200000000001</v>
      </c>
      <c r="I184" s="108"/>
      <c r="J184" s="108"/>
    </row>
    <row r="185" spans="1:10" x14ac:dyDescent="0.2">
      <c r="F185" s="100">
        <f>E184</f>
        <v>1912.6200000000001</v>
      </c>
      <c r="I185" s="108"/>
      <c r="J185" s="108"/>
    </row>
    <row r="186" spans="1:10" x14ac:dyDescent="0.2">
      <c r="I186" s="108"/>
      <c r="J186" s="108"/>
    </row>
    <row r="187" spans="1:10" x14ac:dyDescent="0.2">
      <c r="A187" s="2" t="s">
        <v>130</v>
      </c>
      <c r="I187" s="108"/>
      <c r="J187" s="108"/>
    </row>
    <row r="188" spans="1:10" x14ac:dyDescent="0.2">
      <c r="A188" s="58" t="s">
        <v>16</v>
      </c>
      <c r="B188" s="59" t="s">
        <v>17</v>
      </c>
      <c r="C188" s="59" t="s">
        <v>9</v>
      </c>
      <c r="D188" s="60" t="s">
        <v>18</v>
      </c>
      <c r="E188" s="60" t="s">
        <v>19</v>
      </c>
      <c r="F188" s="61" t="s">
        <v>20</v>
      </c>
      <c r="I188" s="108"/>
      <c r="J188" s="108"/>
    </row>
    <row r="189" spans="1:10" x14ac:dyDescent="0.2">
      <c r="A189" s="62" t="s">
        <v>193</v>
      </c>
      <c r="B189" s="63" t="s">
        <v>60</v>
      </c>
      <c r="C189" s="63">
        <v>6</v>
      </c>
      <c r="D189" s="64">
        <v>980</v>
      </c>
      <c r="E189" s="64">
        <f>C189*D189</f>
        <v>5880</v>
      </c>
      <c r="I189" s="108"/>
      <c r="J189" s="108"/>
    </row>
    <row r="190" spans="1:10" ht="11.25" customHeight="1" x14ac:dyDescent="0.2">
      <c r="A190" s="62" t="s">
        <v>132</v>
      </c>
      <c r="B190" s="63" t="s">
        <v>60</v>
      </c>
      <c r="C190" s="63">
        <v>2</v>
      </c>
      <c r="D190" s="64"/>
      <c r="E190" s="64"/>
      <c r="I190" s="108"/>
      <c r="J190" s="108"/>
    </row>
    <row r="191" spans="1:10" x14ac:dyDescent="0.2">
      <c r="A191" s="62" t="s">
        <v>133</v>
      </c>
      <c r="B191" s="63" t="s">
        <v>60</v>
      </c>
      <c r="C191" s="64">
        <f>C189*C190</f>
        <v>12</v>
      </c>
      <c r="D191" s="64">
        <v>550</v>
      </c>
      <c r="E191" s="64">
        <f>C191*D191</f>
        <v>6600</v>
      </c>
      <c r="I191" s="108"/>
      <c r="J191" s="108"/>
    </row>
    <row r="192" spans="1:10" x14ac:dyDescent="0.2">
      <c r="A192" s="65" t="s">
        <v>134</v>
      </c>
      <c r="B192" s="66" t="s">
        <v>135</v>
      </c>
      <c r="C192" s="124">
        <v>55000</v>
      </c>
      <c r="D192" s="68">
        <f>E189+E191</f>
        <v>12480</v>
      </c>
      <c r="E192" s="68">
        <f>IFERROR(D192/C192,"-")</f>
        <v>0.22690909090909092</v>
      </c>
      <c r="I192" s="108"/>
      <c r="J192" s="108"/>
    </row>
    <row r="193" spans="1:10" x14ac:dyDescent="0.2">
      <c r="A193" s="65" t="s">
        <v>136</v>
      </c>
      <c r="B193" s="66" t="s">
        <v>115</v>
      </c>
      <c r="C193" s="85">
        <f>B166</f>
        <v>1905</v>
      </c>
      <c r="D193" s="68">
        <f>E192</f>
        <v>0.22690909090909092</v>
      </c>
      <c r="E193" s="68">
        <f>IFERROR(C193*D193,0)</f>
        <v>432.26181818181823</v>
      </c>
      <c r="I193" s="108"/>
      <c r="J193" s="108"/>
    </row>
    <row r="194" spans="1:10" x14ac:dyDescent="0.2">
      <c r="F194" s="100">
        <f>E193</f>
        <v>432.26181818181823</v>
      </c>
      <c r="I194" s="108"/>
      <c r="J194" s="108"/>
    </row>
    <row r="195" spans="1:10" ht="11.25" customHeight="1" x14ac:dyDescent="0.2">
      <c r="I195" s="108"/>
      <c r="J195" s="108"/>
    </row>
    <row r="196" spans="1:10" x14ac:dyDescent="0.2">
      <c r="I196" s="108"/>
      <c r="J196" s="108"/>
    </row>
    <row r="197" spans="1:10" x14ac:dyDescent="0.2">
      <c r="A197" s="89" t="s">
        <v>156</v>
      </c>
      <c r="B197" s="90"/>
      <c r="C197" s="90"/>
      <c r="D197" s="35"/>
      <c r="E197" s="91"/>
      <c r="F197" s="100">
        <f>+SUM(F126:F196)</f>
        <v>14225.694041991341</v>
      </c>
      <c r="I197" s="108"/>
      <c r="J197" s="108"/>
    </row>
    <row r="198" spans="1:10" x14ac:dyDescent="0.2">
      <c r="I198" s="108"/>
      <c r="J198" s="108"/>
    </row>
    <row r="199" spans="1:10" x14ac:dyDescent="0.2">
      <c r="A199" s="26" t="s">
        <v>157</v>
      </c>
      <c r="B199" s="26"/>
      <c r="C199" s="26"/>
      <c r="D199" s="28"/>
      <c r="E199" s="28"/>
      <c r="F199" s="71"/>
      <c r="I199" s="108"/>
      <c r="J199" s="108"/>
    </row>
    <row r="200" spans="1:10" x14ac:dyDescent="0.2">
      <c r="I200" s="108"/>
      <c r="J200" s="108"/>
    </row>
    <row r="201" spans="1:10" s="6" customFormat="1" x14ac:dyDescent="0.2">
      <c r="A201" s="58" t="s">
        <v>16</v>
      </c>
      <c r="B201" s="59" t="s">
        <v>17</v>
      </c>
      <c r="C201" s="59" t="s">
        <v>9</v>
      </c>
      <c r="D201" s="60" t="s">
        <v>18</v>
      </c>
      <c r="E201" s="60" t="s">
        <v>19</v>
      </c>
      <c r="F201" s="61" t="s">
        <v>20</v>
      </c>
      <c r="G201" s="3"/>
      <c r="H201" s="2"/>
      <c r="I201" s="108"/>
      <c r="J201" s="108"/>
    </row>
    <row r="202" spans="1:10" s="6" customFormat="1" x14ac:dyDescent="0.2">
      <c r="A202" s="65" t="s">
        <v>158</v>
      </c>
      <c r="B202" s="66" t="s">
        <v>60</v>
      </c>
      <c r="C202" s="94">
        <v>0.16666666666666699</v>
      </c>
      <c r="D202" s="64">
        <v>50</v>
      </c>
      <c r="E202" s="68">
        <f>C202*D202</f>
        <v>8.3333333333333499</v>
      </c>
      <c r="F202" s="103"/>
      <c r="G202" s="3"/>
      <c r="H202" s="2"/>
      <c r="I202" s="108"/>
      <c r="J202" s="108"/>
    </row>
    <row r="203" spans="1:10" s="6" customFormat="1" x14ac:dyDescent="0.2">
      <c r="A203" s="65" t="s">
        <v>159</v>
      </c>
      <c r="B203" s="66" t="s">
        <v>60</v>
      </c>
      <c r="C203" s="94">
        <v>0.16666666666666699</v>
      </c>
      <c r="D203" s="64">
        <v>47</v>
      </c>
      <c r="E203" s="68">
        <f>C203*D203</f>
        <v>7.8333333333333481</v>
      </c>
      <c r="F203" s="103"/>
      <c r="G203" s="3"/>
      <c r="H203" s="2"/>
      <c r="I203" s="108"/>
      <c r="J203" s="108"/>
    </row>
    <row r="204" spans="1:10" ht="11.25" customHeight="1" x14ac:dyDescent="0.2">
      <c r="A204" s="65" t="s">
        <v>160</v>
      </c>
      <c r="B204" s="66" t="s">
        <v>60</v>
      </c>
      <c r="C204" s="94">
        <v>0.33333333333333298</v>
      </c>
      <c r="D204" s="64">
        <v>28.9</v>
      </c>
      <c r="E204" s="68">
        <f>C204*D204</f>
        <v>9.6333333333333222</v>
      </c>
      <c r="F204" s="103"/>
      <c r="I204" s="108"/>
      <c r="J204" s="108"/>
    </row>
    <row r="205" spans="1:10" ht="11.25" customHeight="1" x14ac:dyDescent="0.2">
      <c r="A205" s="65" t="s">
        <v>161</v>
      </c>
      <c r="B205" s="66" t="s">
        <v>162</v>
      </c>
      <c r="C205" s="94">
        <v>8.3333333333333301E-2</v>
      </c>
      <c r="D205" s="64">
        <v>800</v>
      </c>
      <c r="E205" s="68">
        <f>C205*D205</f>
        <v>66.666666666666643</v>
      </c>
      <c r="F205" s="103"/>
      <c r="G205" s="2"/>
    </row>
    <row r="206" spans="1:10" x14ac:dyDescent="0.2">
      <c r="A206" s="65" t="s">
        <v>163</v>
      </c>
      <c r="B206" s="66" t="s">
        <v>162</v>
      </c>
      <c r="C206" s="94">
        <v>8.3333333333333301E-2</v>
      </c>
      <c r="D206" s="64">
        <v>85</v>
      </c>
      <c r="E206" s="68">
        <f>C206*D206</f>
        <v>7.0833333333333304</v>
      </c>
      <c r="F206" s="103"/>
      <c r="G206" s="2"/>
    </row>
    <row r="207" spans="1:10" ht="11.25" customHeight="1" x14ac:dyDescent="0.2">
      <c r="A207" s="26"/>
      <c r="B207" s="26"/>
      <c r="C207" s="26"/>
      <c r="D207" s="26"/>
      <c r="E207" s="28"/>
      <c r="F207" s="100">
        <f>SUM(E202:E206)-0.01</f>
        <v>99.539999999999992</v>
      </c>
      <c r="G207" s="2"/>
    </row>
    <row r="208" spans="1:10" x14ac:dyDescent="0.2">
      <c r="A208" s="26" t="s">
        <v>194</v>
      </c>
      <c r="B208" s="26"/>
      <c r="C208" s="26"/>
      <c r="D208" s="28"/>
      <c r="E208" s="28"/>
      <c r="F208" s="71"/>
      <c r="G208" s="2"/>
    </row>
    <row r="209" spans="1:8" x14ac:dyDescent="0.2">
      <c r="G209" s="2"/>
    </row>
    <row r="210" spans="1:8" ht="11.25" customHeight="1" x14ac:dyDescent="0.2">
      <c r="A210" s="58" t="s">
        <v>16</v>
      </c>
      <c r="B210" s="59" t="s">
        <v>17</v>
      </c>
      <c r="C210" s="59" t="s">
        <v>9</v>
      </c>
      <c r="D210" s="60" t="s">
        <v>18</v>
      </c>
      <c r="E210" s="60" t="s">
        <v>19</v>
      </c>
      <c r="F210" s="61" t="s">
        <v>20</v>
      </c>
      <c r="G210" s="2"/>
    </row>
    <row r="211" spans="1:8" x14ac:dyDescent="0.2">
      <c r="A211" s="65" t="s">
        <v>195</v>
      </c>
      <c r="B211" s="66" t="s">
        <v>60</v>
      </c>
      <c r="C211" s="94">
        <v>200</v>
      </c>
      <c r="D211" s="64">
        <v>1650</v>
      </c>
      <c r="E211" s="68">
        <f>C211*D211</f>
        <v>330000</v>
      </c>
      <c r="F211" s="103"/>
      <c r="G211" s="2"/>
    </row>
    <row r="212" spans="1:8" x14ac:dyDescent="0.2">
      <c r="A212" s="65" t="s">
        <v>196</v>
      </c>
      <c r="B212" s="66" t="s">
        <v>60</v>
      </c>
      <c r="C212" s="94">
        <v>200</v>
      </c>
      <c r="D212" s="64">
        <v>20</v>
      </c>
      <c r="E212" s="68">
        <f>C212*D212</f>
        <v>4000</v>
      </c>
      <c r="F212" s="103"/>
      <c r="G212" s="2"/>
    </row>
    <row r="213" spans="1:8" x14ac:dyDescent="0.2">
      <c r="A213" s="65" t="s">
        <v>197</v>
      </c>
      <c r="B213" s="66" t="s">
        <v>60</v>
      </c>
      <c r="C213" s="94">
        <v>200</v>
      </c>
      <c r="D213" s="64">
        <v>14</v>
      </c>
      <c r="E213" s="68">
        <f>C213*D213</f>
        <v>2800</v>
      </c>
      <c r="F213" s="103"/>
      <c r="G213" s="2"/>
    </row>
    <row r="214" spans="1:8" x14ac:dyDescent="0.2">
      <c r="A214" s="26"/>
      <c r="B214" s="26"/>
      <c r="C214" s="26"/>
      <c r="D214" s="26"/>
      <c r="E214" s="28"/>
      <c r="F214" s="100">
        <f>SUM(E212:E213)+(E211/60)</f>
        <v>12300</v>
      </c>
      <c r="G214" s="108"/>
      <c r="H214" s="108"/>
    </row>
    <row r="215" spans="1:8" x14ac:dyDescent="0.2">
      <c r="G215" s="2"/>
    </row>
    <row r="216" spans="1:8" x14ac:dyDescent="0.2">
      <c r="G216" s="2"/>
    </row>
    <row r="217" spans="1:8" x14ac:dyDescent="0.2">
      <c r="A217" s="89" t="s">
        <v>165</v>
      </c>
      <c r="B217" s="90"/>
      <c r="C217" s="90"/>
      <c r="D217" s="35"/>
      <c r="E217" s="91"/>
      <c r="F217" s="100">
        <f>F207+F214</f>
        <v>12399.54</v>
      </c>
      <c r="G217" s="2"/>
    </row>
    <row r="218" spans="1:8" x14ac:dyDescent="0.2">
      <c r="G218" s="2"/>
    </row>
    <row r="219" spans="1:8" x14ac:dyDescent="0.2">
      <c r="A219" s="26" t="s">
        <v>166</v>
      </c>
      <c r="B219" s="26"/>
      <c r="C219" s="26"/>
      <c r="D219" s="28"/>
      <c r="E219" s="28"/>
      <c r="F219" s="71"/>
      <c r="G219" s="2"/>
    </row>
    <row r="220" spans="1:8" ht="11.25" customHeight="1" x14ac:dyDescent="0.2">
      <c r="G220" s="2"/>
    </row>
    <row r="221" spans="1:8" x14ac:dyDescent="0.2">
      <c r="A221" s="58" t="s">
        <v>16</v>
      </c>
      <c r="B221" s="59" t="s">
        <v>17</v>
      </c>
      <c r="C221" s="59" t="s">
        <v>9</v>
      </c>
      <c r="D221" s="60" t="s">
        <v>18</v>
      </c>
      <c r="E221" s="60" t="s">
        <v>19</v>
      </c>
      <c r="F221" s="61" t="s">
        <v>20</v>
      </c>
    </row>
    <row r="222" spans="1:8" ht="11.25" customHeight="1" x14ac:dyDescent="0.2">
      <c r="A222" s="65" t="s">
        <v>167</v>
      </c>
      <c r="B222" s="130" t="s">
        <v>162</v>
      </c>
      <c r="C222" s="79">
        <f>C137</f>
        <v>1</v>
      </c>
      <c r="D222" s="68">
        <v>70</v>
      </c>
      <c r="E222" s="68">
        <f>+D222*C222</f>
        <v>70</v>
      </c>
      <c r="F222" s="103"/>
    </row>
    <row r="223" spans="1:8" x14ac:dyDescent="0.2">
      <c r="A223" s="65" t="s">
        <v>168</v>
      </c>
      <c r="B223" s="130" t="s">
        <v>22</v>
      </c>
      <c r="C223" s="66">
        <v>60</v>
      </c>
      <c r="D223" s="131">
        <f>SUM(E222)</f>
        <v>70</v>
      </c>
      <c r="E223" s="131">
        <f>+D223/C223</f>
        <v>1.1666666666666667</v>
      </c>
      <c r="F223" s="103"/>
    </row>
    <row r="224" spans="1:8" x14ac:dyDescent="0.2">
      <c r="A224" s="65" t="s">
        <v>169</v>
      </c>
      <c r="B224" s="66" t="s">
        <v>60</v>
      </c>
      <c r="C224" s="79">
        <f>+C222</f>
        <v>1</v>
      </c>
      <c r="D224" s="68">
        <v>68</v>
      </c>
      <c r="E224" s="68">
        <f>C224*D224</f>
        <v>68</v>
      </c>
      <c r="F224" s="103"/>
    </row>
    <row r="225" spans="1:10" x14ac:dyDescent="0.2">
      <c r="A225" s="65" t="s">
        <v>170</v>
      </c>
      <c r="B225" s="130" t="s">
        <v>22</v>
      </c>
      <c r="C225" s="66">
        <v>1</v>
      </c>
      <c r="D225" s="131">
        <f>+E224</f>
        <v>68</v>
      </c>
      <c r="E225" s="131">
        <f>+D225/C225</f>
        <v>68</v>
      </c>
      <c r="F225" s="103"/>
    </row>
    <row r="226" spans="1:10" x14ac:dyDescent="0.2">
      <c r="A226" s="78"/>
      <c r="B226" s="78"/>
      <c r="C226" s="78"/>
      <c r="D226" s="74" t="s">
        <v>34</v>
      </c>
      <c r="E226" s="75">
        <f>$B$41</f>
        <v>1</v>
      </c>
      <c r="F226" s="100">
        <f>(E223+E225)*E226</f>
        <v>69.166666666666671</v>
      </c>
    </row>
    <row r="228" spans="1:10" x14ac:dyDescent="0.2">
      <c r="A228" s="89" t="s">
        <v>171</v>
      </c>
      <c r="B228" s="90"/>
      <c r="C228" s="90"/>
      <c r="D228" s="35"/>
      <c r="E228" s="91"/>
      <c r="F228" s="100">
        <f>+F226</f>
        <v>69.166666666666671</v>
      </c>
    </row>
    <row r="229" spans="1:10" ht="11.25" customHeight="1" x14ac:dyDescent="0.2">
      <c r="G229" s="133"/>
      <c r="H229" s="129"/>
      <c r="I229" s="129"/>
      <c r="J229" s="129"/>
    </row>
    <row r="230" spans="1:10" x14ac:dyDescent="0.2">
      <c r="A230" s="89" t="s">
        <v>172</v>
      </c>
      <c r="B230" s="97"/>
      <c r="C230" s="97"/>
      <c r="D230" s="98"/>
      <c r="E230" s="99"/>
      <c r="F230" s="87">
        <f>F87+F118+F197+F217+F228</f>
        <v>38015.462133904723</v>
      </c>
    </row>
    <row r="231" spans="1:10" ht="11.25" customHeight="1" x14ac:dyDescent="0.2"/>
    <row r="232" spans="1:10" x14ac:dyDescent="0.2">
      <c r="A232" s="26" t="s">
        <v>173</v>
      </c>
    </row>
    <row r="233" spans="1:10" ht="11.25" customHeight="1" x14ac:dyDescent="0.2"/>
    <row r="234" spans="1:10" x14ac:dyDescent="0.2">
      <c r="A234" s="58" t="s">
        <v>16</v>
      </c>
      <c r="B234" s="59" t="s">
        <v>17</v>
      </c>
      <c r="C234" s="59" t="s">
        <v>9</v>
      </c>
      <c r="D234" s="60" t="s">
        <v>18</v>
      </c>
      <c r="E234" s="60" t="s">
        <v>19</v>
      </c>
      <c r="F234" s="61" t="s">
        <v>20</v>
      </c>
      <c r="H234" s="108"/>
    </row>
    <row r="235" spans="1:10" ht="11.25" customHeight="1" x14ac:dyDescent="0.2">
      <c r="A235" s="62" t="s">
        <v>174</v>
      </c>
      <c r="B235" s="63" t="s">
        <v>5</v>
      </c>
      <c r="C235" s="68">
        <f>'4.BDI'!C17*100</f>
        <v>27.87</v>
      </c>
      <c r="D235" s="64">
        <f>+F230</f>
        <v>38015.462133904723</v>
      </c>
      <c r="E235" s="64">
        <f>C235*D235/100</f>
        <v>10594.909296719246</v>
      </c>
    </row>
    <row r="236" spans="1:10" x14ac:dyDescent="0.2">
      <c r="F236" s="100">
        <f>+E235</f>
        <v>10594.909296719246</v>
      </c>
    </row>
    <row r="238" spans="1:10" x14ac:dyDescent="0.2">
      <c r="A238" s="89" t="s">
        <v>175</v>
      </c>
      <c r="B238" s="97"/>
      <c r="C238" s="97"/>
      <c r="D238" s="98"/>
      <c r="E238" s="99"/>
      <c r="F238" s="87">
        <f>F236</f>
        <v>10594.909296719246</v>
      </c>
    </row>
    <row r="239" spans="1:10" ht="11.25" customHeight="1" x14ac:dyDescent="0.2">
      <c r="A239" s="26"/>
      <c r="B239" s="26"/>
      <c r="C239" s="26"/>
      <c r="D239" s="28"/>
      <c r="E239" s="28"/>
      <c r="F239" s="71"/>
      <c r="H239" s="108"/>
    </row>
    <row r="240" spans="1:10" x14ac:dyDescent="0.2">
      <c r="G240" s="142"/>
    </row>
    <row r="241" spans="1:6" x14ac:dyDescent="0.2">
      <c r="A241" s="89" t="s">
        <v>176</v>
      </c>
      <c r="B241" s="97"/>
      <c r="C241" s="97"/>
      <c r="D241" s="98"/>
      <c r="E241" s="99"/>
      <c r="F241" s="87">
        <f>F230+F238</f>
        <v>48610.371430623971</v>
      </c>
    </row>
    <row r="242" spans="1:6" ht="11.25" customHeight="1" x14ac:dyDescent="0.2">
      <c r="A242" s="134"/>
      <c r="B242" s="134"/>
      <c r="C242" s="134"/>
      <c r="D242" s="135"/>
      <c r="E242" s="135"/>
      <c r="F242" s="135"/>
    </row>
    <row r="243" spans="1:6" ht="12" customHeight="1" x14ac:dyDescent="0.2">
      <c r="A243" s="137"/>
      <c r="B243" s="138"/>
      <c r="C243" s="138"/>
      <c r="D243" s="44">
        <v>200</v>
      </c>
      <c r="E243" s="139" t="s">
        <v>198</v>
      </c>
    </row>
    <row r="245" spans="1:6" ht="15.75" customHeight="1" x14ac:dyDescent="0.2">
      <c r="A245" s="89" t="s">
        <v>319</v>
      </c>
      <c r="B245" s="90"/>
      <c r="C245" s="90"/>
      <c r="D245" s="35"/>
      <c r="E245" s="140" t="s">
        <v>199</v>
      </c>
      <c r="F245" s="141">
        <f>IFERROR(F241/D243,"-")</f>
        <v>243.05185715311984</v>
      </c>
    </row>
    <row r="246" spans="1:6" x14ac:dyDescent="0.2">
      <c r="A246" s="26"/>
      <c r="B246" s="26"/>
      <c r="C246" s="26"/>
      <c r="D246" s="28"/>
      <c r="E246" s="28"/>
      <c r="F246" s="28"/>
    </row>
  </sheetData>
  <mergeCells count="7">
    <mergeCell ref="A32:D32"/>
    <mergeCell ref="A37:D37"/>
    <mergeCell ref="A2:F4"/>
    <mergeCell ref="A6:F7"/>
    <mergeCell ref="A9:F9"/>
    <mergeCell ref="A16:C16"/>
    <mergeCell ref="A31:E31"/>
  </mergeCells>
  <hyperlinks>
    <hyperlink ref="A124" location="AbaDeprec" display="3.1.1. Depreciação" xr:uid="{00000000-0004-0000-0100-000000000000}"/>
    <hyperlink ref="A140" location="AbaRemun" display="3.1.2. Remuneração do Capital" xr:uid="{00000000-0004-0000-0100-000001000000}"/>
  </hyperlinks>
  <pageMargins left="0.59027777777777801" right="0.59027777777777801" top="0.74791666666666701" bottom="0.74791666666666701" header="0.511811023622047" footer="0.31527777777777799"/>
  <pageSetup paperSize="9" scale="75" orientation="portrait" horizontalDpi="300" verticalDpi="300" r:id="rId1"/>
  <headerFooter>
    <oddFooter>&amp;R&amp;P de &amp;N</oddFooter>
  </headerFooter>
  <rowBreaks count="4" manualBreakCount="4">
    <brk id="56" max="16383" man="1"/>
    <brk id="80" max="16383" man="1"/>
    <brk id="139" max="16383" man="1"/>
    <brk id="198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6"/>
  <sheetViews>
    <sheetView view="pageBreakPreview" topLeftCell="A25" zoomScaleNormal="100" workbookViewId="0">
      <selection activeCell="D17" sqref="D17"/>
    </sheetView>
  </sheetViews>
  <sheetFormatPr defaultColWidth="9.140625" defaultRowHeight="12.75" x14ac:dyDescent="0.2"/>
  <cols>
    <col min="1" max="1" width="13.5703125" style="92" customWidth="1"/>
    <col min="2" max="2" width="39.5703125" style="92" customWidth="1"/>
    <col min="3" max="3" width="14.5703125" style="92" customWidth="1"/>
    <col min="4" max="4" width="37.28515625" style="92" customWidth="1"/>
    <col min="5" max="10" width="9.140625" style="92"/>
    <col min="11" max="11" width="11" style="92" customWidth="1"/>
    <col min="12" max="16384" width="9.140625" style="92"/>
  </cols>
  <sheetData>
    <row r="1" spans="1:7" x14ac:dyDescent="0.2">
      <c r="A1" s="26" t="s">
        <v>200</v>
      </c>
    </row>
    <row r="2" spans="1:7" x14ac:dyDescent="0.2">
      <c r="A2" s="153" t="s">
        <v>201</v>
      </c>
    </row>
    <row r="3" spans="1:7" s="6" customFormat="1" ht="15" customHeight="1" x14ac:dyDescent="0.2">
      <c r="B3" s="4"/>
      <c r="C3" s="4"/>
      <c r="D3" s="4"/>
      <c r="E3" s="4"/>
      <c r="F3" s="4"/>
      <c r="G3" s="5"/>
    </row>
    <row r="4" spans="1:7" ht="18" x14ac:dyDescent="0.2">
      <c r="A4" s="263" t="s">
        <v>202</v>
      </c>
      <c r="B4" s="263"/>
      <c r="C4" s="263"/>
      <c r="D4" s="154"/>
      <c r="E4" s="154"/>
      <c r="F4" s="154"/>
    </row>
    <row r="5" spans="1:7" ht="14.25" x14ac:dyDescent="0.2">
      <c r="A5" s="155" t="s">
        <v>203</v>
      </c>
      <c r="B5" s="156" t="s">
        <v>204</v>
      </c>
      <c r="C5" s="157" t="s">
        <v>205</v>
      </c>
      <c r="D5" s="158"/>
    </row>
    <row r="6" spans="1:7" ht="14.25" x14ac:dyDescent="0.2">
      <c r="A6" s="155" t="s">
        <v>206</v>
      </c>
      <c r="B6" s="156" t="s">
        <v>207</v>
      </c>
      <c r="C6" s="159">
        <v>0.26</v>
      </c>
      <c r="D6" s="158"/>
    </row>
    <row r="7" spans="1:7" ht="14.25" x14ac:dyDescent="0.2">
      <c r="A7" s="155" t="s">
        <v>208</v>
      </c>
      <c r="B7" s="156" t="s">
        <v>209</v>
      </c>
      <c r="C7" s="159">
        <v>1.4999999999999999E-2</v>
      </c>
      <c r="D7" s="158"/>
    </row>
    <row r="8" spans="1:7" ht="14.25" x14ac:dyDescent="0.2">
      <c r="A8" s="155" t="s">
        <v>210</v>
      </c>
      <c r="B8" s="156" t="s">
        <v>211</v>
      </c>
      <c r="C8" s="159">
        <v>0.01</v>
      </c>
      <c r="D8" s="158"/>
    </row>
    <row r="9" spans="1:7" ht="14.25" x14ac:dyDescent="0.2">
      <c r="A9" s="155" t="s">
        <v>212</v>
      </c>
      <c r="B9" s="156" t="s">
        <v>213</v>
      </c>
      <c r="C9" s="159">
        <v>2E-3</v>
      </c>
      <c r="D9" s="158"/>
    </row>
    <row r="10" spans="1:7" ht="14.25" x14ac:dyDescent="0.2">
      <c r="A10" s="155" t="s">
        <v>214</v>
      </c>
      <c r="B10" s="156" t="s">
        <v>215</v>
      </c>
      <c r="C10" s="159">
        <v>6.0000000000000001E-3</v>
      </c>
      <c r="D10" s="158"/>
    </row>
    <row r="11" spans="1:7" ht="14.25" x14ac:dyDescent="0.2">
      <c r="A11" s="155" t="s">
        <v>216</v>
      </c>
      <c r="B11" s="156" t="s">
        <v>217</v>
      </c>
      <c r="C11" s="159">
        <v>2.5000000000000001E-2</v>
      </c>
      <c r="D11" s="158"/>
    </row>
    <row r="12" spans="1:7" ht="14.25" x14ac:dyDescent="0.2">
      <c r="A12" s="155" t="s">
        <v>218</v>
      </c>
      <c r="B12" s="156" t="s">
        <v>219</v>
      </c>
      <c r="C12" s="159">
        <v>0.03</v>
      </c>
      <c r="D12" s="158"/>
    </row>
    <row r="13" spans="1:7" ht="14.25" x14ac:dyDescent="0.2">
      <c r="A13" s="155" t="s">
        <v>220</v>
      </c>
      <c r="B13" s="156" t="s">
        <v>221</v>
      </c>
      <c r="C13" s="159">
        <v>0.08</v>
      </c>
      <c r="D13" s="158"/>
    </row>
    <row r="14" spans="1:7" ht="15" x14ac:dyDescent="0.2">
      <c r="A14" s="155" t="s">
        <v>222</v>
      </c>
      <c r="B14" s="160" t="s">
        <v>223</v>
      </c>
      <c r="C14" s="161">
        <f>SUM(C6:C13)</f>
        <v>0.4280000000000001</v>
      </c>
      <c r="D14" s="158"/>
    </row>
    <row r="15" spans="1:7" ht="15" x14ac:dyDescent="0.2">
      <c r="A15" s="162"/>
      <c r="B15" s="163"/>
      <c r="C15" s="164"/>
      <c r="D15" s="158"/>
    </row>
    <row r="16" spans="1:7" ht="14.25" x14ac:dyDescent="0.2">
      <c r="A16" s="155" t="s">
        <v>224</v>
      </c>
      <c r="B16" s="165" t="s">
        <v>225</v>
      </c>
      <c r="C16" s="159">
        <f>ROUND(IF('3.CAGED'!C24&gt;24,(1-12/'3.CAGED'!C24)*0.1111,0.1111-C25),4)</f>
        <v>6.1899999999999997E-2</v>
      </c>
      <c r="D16" s="158"/>
    </row>
    <row r="17" spans="1:8" ht="14.25" x14ac:dyDescent="0.2">
      <c r="A17" s="155" t="s">
        <v>226</v>
      </c>
      <c r="B17" s="165" t="s">
        <v>227</v>
      </c>
      <c r="C17" s="159">
        <f>ROUND('3.CAGED'!C28/'3.CAGED'!C25,4)</f>
        <v>8.3299999999999999E-2</v>
      </c>
      <c r="D17" s="158"/>
    </row>
    <row r="18" spans="1:8" ht="14.25" x14ac:dyDescent="0.2">
      <c r="A18" s="155" t="s">
        <v>228</v>
      </c>
      <c r="B18" s="165" t="s">
        <v>229</v>
      </c>
      <c r="C18" s="159">
        <v>5.9999999999999995E-4</v>
      </c>
      <c r="D18" s="158"/>
    </row>
    <row r="19" spans="1:8" ht="14.25" x14ac:dyDescent="0.2">
      <c r="A19" s="155" t="s">
        <v>230</v>
      </c>
      <c r="B19" s="165" t="s">
        <v>231</v>
      </c>
      <c r="C19" s="159">
        <v>8.2000000000000007E-3</v>
      </c>
      <c r="D19" s="158"/>
    </row>
    <row r="20" spans="1:8" ht="14.25" x14ac:dyDescent="0.2">
      <c r="A20" s="155" t="s">
        <v>232</v>
      </c>
      <c r="B20" s="165" t="s">
        <v>233</v>
      </c>
      <c r="C20" s="159">
        <v>3.0999999999999999E-3</v>
      </c>
      <c r="D20" s="158"/>
    </row>
    <row r="21" spans="1:8" ht="14.25" x14ac:dyDescent="0.2">
      <c r="A21" s="155" t="s">
        <v>234</v>
      </c>
      <c r="B21" s="165" t="s">
        <v>235</v>
      </c>
      <c r="C21" s="159">
        <v>1.66E-2</v>
      </c>
      <c r="D21" s="158"/>
    </row>
    <row r="22" spans="1:8" ht="15" x14ac:dyDescent="0.2">
      <c r="A22" s="155" t="s">
        <v>236</v>
      </c>
      <c r="B22" s="160" t="s">
        <v>237</v>
      </c>
      <c r="C22" s="161">
        <f>SUM(C16:C21)</f>
        <v>0.17369999999999999</v>
      </c>
      <c r="D22" s="166"/>
    </row>
    <row r="23" spans="1:8" ht="15" x14ac:dyDescent="0.2">
      <c r="A23" s="162"/>
      <c r="B23" s="163"/>
      <c r="C23" s="164"/>
      <c r="D23" s="166"/>
    </row>
    <row r="24" spans="1:8" ht="14.25" x14ac:dyDescent="0.2">
      <c r="A24" s="155" t="s">
        <v>238</v>
      </c>
      <c r="B24" s="156" t="s">
        <v>239</v>
      </c>
      <c r="C24" s="159">
        <f>ROUND(('3.CAGED'!C29) *'3.CAGED'!C22/'3.CAGED'!C25,4)</f>
        <v>2.5600000000000001E-2</v>
      </c>
      <c r="D24" s="158"/>
      <c r="E24" s="167"/>
    </row>
    <row r="25" spans="1:8" ht="14.25" x14ac:dyDescent="0.2">
      <c r="A25" s="155" t="s">
        <v>240</v>
      </c>
      <c r="B25" s="156" t="s">
        <v>241</v>
      </c>
      <c r="C25" s="159">
        <f>ROUND(IF('3.CAGED'!C24&gt;12,12/'3.CAGED'!C24*0.1111,0.1111),4)</f>
        <v>4.9200000000000001E-2</v>
      </c>
      <c r="D25" s="158"/>
      <c r="H25" s="168"/>
    </row>
    <row r="26" spans="1:8" ht="14.25" x14ac:dyDescent="0.2">
      <c r="A26" s="155" t="s">
        <v>242</v>
      </c>
      <c r="B26" s="156" t="s">
        <v>243</v>
      </c>
      <c r="C26" s="159">
        <f>C24*C25</f>
        <v>1.2595200000000001E-3</v>
      </c>
      <c r="D26" s="158"/>
      <c r="E26" s="167"/>
    </row>
    <row r="27" spans="1:8" ht="14.25" x14ac:dyDescent="0.2">
      <c r="A27" s="155" t="s">
        <v>244</v>
      </c>
      <c r="B27" s="156" t="s">
        <v>245</v>
      </c>
      <c r="C27" s="159">
        <f>ROUND(('3.CAGED'!C25+'3.CAGED'!C26+'3.CAGED'!C28)/'3.CAGED'!C23*'3.CAGED'!C30*'3.CAGED'!C31*'3.CAGED'!C22/'3.CAGED'!C25,4)</f>
        <v>2.0500000000000001E-2</v>
      </c>
      <c r="D27" s="158"/>
      <c r="G27" s="167"/>
    </row>
    <row r="28" spans="1:8" ht="14.25" x14ac:dyDescent="0.2">
      <c r="A28" s="155" t="s">
        <v>246</v>
      </c>
      <c r="B28" s="156" t="s">
        <v>247</v>
      </c>
      <c r="C28" s="159">
        <f>ROUND(('3.CAGED'!C27/'3.CAGED'!C25)*'3.CAGED'!C22/12,4)</f>
        <v>1.8E-3</v>
      </c>
      <c r="D28" s="158"/>
    </row>
    <row r="29" spans="1:8" ht="15" x14ac:dyDescent="0.2">
      <c r="A29" s="155" t="s">
        <v>248</v>
      </c>
      <c r="B29" s="160" t="s">
        <v>249</v>
      </c>
      <c r="C29" s="161">
        <f>SUM(C24:C28)</f>
        <v>9.8359520000000006E-2</v>
      </c>
      <c r="D29" s="166"/>
    </row>
    <row r="30" spans="1:8" ht="15" x14ac:dyDescent="0.2">
      <c r="A30" s="162"/>
      <c r="B30" s="163"/>
      <c r="C30" s="164"/>
      <c r="D30" s="166"/>
    </row>
    <row r="31" spans="1:8" ht="14.25" x14ac:dyDescent="0.2">
      <c r="A31" s="155" t="s">
        <v>250</v>
      </c>
      <c r="B31" s="156" t="s">
        <v>251</v>
      </c>
      <c r="C31" s="159">
        <f>ROUND(C14*C22,4)</f>
        <v>7.4300000000000005E-2</v>
      </c>
      <c r="D31" s="158"/>
    </row>
    <row r="32" spans="1:8" ht="28.5" x14ac:dyDescent="0.2">
      <c r="A32" s="155" t="s">
        <v>252</v>
      </c>
      <c r="B32" s="169" t="s">
        <v>253</v>
      </c>
      <c r="C32" s="159">
        <f>ROUND((C24*C13),4)</f>
        <v>2E-3</v>
      </c>
      <c r="D32" s="158"/>
    </row>
    <row r="33" spans="1:4" ht="15" x14ac:dyDescent="0.2">
      <c r="A33" s="155" t="s">
        <v>254</v>
      </c>
      <c r="B33" s="160" t="s">
        <v>255</v>
      </c>
      <c r="C33" s="161">
        <f>SUM(C31:C32)</f>
        <v>7.6300000000000007E-2</v>
      </c>
      <c r="D33" s="166"/>
    </row>
    <row r="34" spans="1:4" ht="15" x14ac:dyDescent="0.2">
      <c r="A34" s="170"/>
      <c r="B34" s="171" t="s">
        <v>256</v>
      </c>
      <c r="C34" s="172">
        <f>C33+C29+C22+C14</f>
        <v>0.77635952000000019</v>
      </c>
      <c r="D34" s="166"/>
    </row>
    <row r="35" spans="1:4" ht="15" x14ac:dyDescent="0.2">
      <c r="A35" s="158"/>
      <c r="B35" s="173"/>
      <c r="C35" s="174"/>
      <c r="D35" s="175"/>
    </row>
    <row r="36" spans="1:4" ht="14.25" x14ac:dyDescent="0.2">
      <c r="A36" s="158"/>
      <c r="B36" s="158"/>
      <c r="C36" s="176"/>
      <c r="D36" s="177"/>
    </row>
    <row r="37" spans="1:4" ht="14.25" x14ac:dyDescent="0.2">
      <c r="A37" s="158"/>
      <c r="B37" s="158"/>
      <c r="C37" s="176"/>
      <c r="D37" s="158"/>
    </row>
    <row r="38" spans="1:4" ht="14.25" x14ac:dyDescent="0.2">
      <c r="A38" s="158"/>
      <c r="B38" s="158"/>
      <c r="C38" s="176"/>
      <c r="D38" s="158"/>
    </row>
    <row r="39" spans="1:4" ht="14.25" x14ac:dyDescent="0.2">
      <c r="A39" s="158"/>
      <c r="B39" s="158"/>
      <c r="C39" s="176"/>
      <c r="D39" s="158"/>
    </row>
    <row r="40" spans="1:4" ht="15" x14ac:dyDescent="0.2">
      <c r="A40" s="158"/>
      <c r="B40" s="173"/>
      <c r="C40" s="174"/>
      <c r="D40" s="158"/>
    </row>
    <row r="41" spans="1:4" ht="15" x14ac:dyDescent="0.2">
      <c r="A41" s="166"/>
      <c r="B41" s="173"/>
      <c r="C41" s="174"/>
      <c r="D41" s="166"/>
    </row>
    <row r="42" spans="1:4" ht="16.5" x14ac:dyDescent="0.2">
      <c r="A42" s="178"/>
    </row>
    <row r="43" spans="1:4" x14ac:dyDescent="0.2">
      <c r="A43" s="179"/>
      <c r="B43" s="180"/>
      <c r="C43" s="180"/>
    </row>
    <row r="44" spans="1:4" ht="14.25" x14ac:dyDescent="0.2">
      <c r="A44" s="158"/>
      <c r="B44" s="181"/>
      <c r="C44" s="180"/>
    </row>
    <row r="45" spans="1:4" ht="14.25" x14ac:dyDescent="0.2">
      <c r="A45" s="158"/>
      <c r="B45" s="181"/>
      <c r="C45" s="158"/>
    </row>
    <row r="46" spans="1:4" ht="14.25" x14ac:dyDescent="0.2">
      <c r="A46" s="158"/>
      <c r="B46" s="176"/>
      <c r="C46" s="180"/>
    </row>
    <row r="47" spans="1:4" ht="14.25" x14ac:dyDescent="0.2">
      <c r="A47" s="158"/>
      <c r="B47" s="181"/>
      <c r="C47" s="158"/>
    </row>
    <row r="48" spans="1:4" ht="14.25" x14ac:dyDescent="0.2">
      <c r="A48" s="158"/>
      <c r="B48" s="176"/>
      <c r="C48" s="180"/>
    </row>
    <row r="49" spans="1:3" ht="14.25" x14ac:dyDescent="0.2">
      <c r="A49" s="158"/>
      <c r="B49" s="181"/>
      <c r="C49" s="158"/>
    </row>
    <row r="50" spans="1:3" ht="14.25" x14ac:dyDescent="0.2">
      <c r="A50" s="158"/>
      <c r="B50" s="176"/>
      <c r="C50" s="180"/>
    </row>
    <row r="51" spans="1:3" ht="14.25" x14ac:dyDescent="0.2">
      <c r="A51" s="158"/>
      <c r="B51" s="181"/>
      <c r="C51" s="158"/>
    </row>
    <row r="52" spans="1:3" ht="14.25" x14ac:dyDescent="0.2">
      <c r="A52" s="158"/>
      <c r="B52" s="176"/>
      <c r="C52" s="180"/>
    </row>
    <row r="53" spans="1:3" ht="16.5" x14ac:dyDescent="0.2">
      <c r="A53" s="178"/>
    </row>
    <row r="56" spans="1:3" x14ac:dyDescent="0.2">
      <c r="A56" s="101"/>
    </row>
  </sheetData>
  <mergeCells count="1">
    <mergeCell ref="A4:C4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D31"/>
  <sheetViews>
    <sheetView view="pageBreakPreview" zoomScaleNormal="100" workbookViewId="0">
      <selection activeCell="G16" sqref="G16"/>
    </sheetView>
  </sheetViews>
  <sheetFormatPr defaultColWidth="9.140625" defaultRowHeight="12.75" x14ac:dyDescent="0.2"/>
  <cols>
    <col min="1" max="1" width="8.5703125" style="92" customWidth="1"/>
    <col min="2" max="2" width="67.140625" style="92" customWidth="1"/>
    <col min="3" max="3" width="13.7109375" style="92" customWidth="1"/>
    <col min="4" max="16379" width="9.140625" style="92"/>
    <col min="16380" max="16384" width="11.5703125" customWidth="1"/>
  </cols>
  <sheetData>
    <row r="1" spans="1:3" x14ac:dyDescent="0.2">
      <c r="A1" s="182" t="s">
        <v>257</v>
      </c>
    </row>
    <row r="3" spans="1:3" ht="18" x14ac:dyDescent="0.25">
      <c r="B3" s="264" t="s">
        <v>258</v>
      </c>
      <c r="C3" s="264"/>
    </row>
    <row r="4" spans="1:3" ht="15" x14ac:dyDescent="0.25">
      <c r="B4" s="183" t="s">
        <v>259</v>
      </c>
      <c r="C4" s="184"/>
    </row>
    <row r="5" spans="1:3" ht="15" x14ac:dyDescent="0.25">
      <c r="B5" s="185" t="s">
        <v>260</v>
      </c>
      <c r="C5" s="186">
        <v>2100</v>
      </c>
    </row>
    <row r="6" spans="1:3" ht="15" x14ac:dyDescent="0.25">
      <c r="B6" s="187" t="s">
        <v>261</v>
      </c>
      <c r="C6" s="186">
        <v>2031</v>
      </c>
    </row>
    <row r="7" spans="1:3" ht="14.25" x14ac:dyDescent="0.2">
      <c r="B7" s="188" t="s">
        <v>262</v>
      </c>
      <c r="C7" s="189">
        <v>44</v>
      </c>
    </row>
    <row r="8" spans="1:3" ht="14.25" x14ac:dyDescent="0.2">
      <c r="B8" s="188" t="s">
        <v>263</v>
      </c>
      <c r="C8" s="189">
        <v>1192</v>
      </c>
    </row>
    <row r="9" spans="1:3" ht="14.25" x14ac:dyDescent="0.2">
      <c r="B9" s="188" t="s">
        <v>264</v>
      </c>
      <c r="C9" s="189">
        <v>372</v>
      </c>
    </row>
    <row r="10" spans="1:3" ht="14.25" x14ac:dyDescent="0.2">
      <c r="B10" s="188" t="s">
        <v>265</v>
      </c>
      <c r="C10" s="189">
        <v>22</v>
      </c>
    </row>
    <row r="11" spans="1:3" ht="14.25" x14ac:dyDescent="0.2">
      <c r="B11" s="188" t="s">
        <v>266</v>
      </c>
      <c r="C11" s="189">
        <v>350</v>
      </c>
    </row>
    <row r="12" spans="1:3" ht="14.25" x14ac:dyDescent="0.2">
      <c r="B12" s="188" t="s">
        <v>267</v>
      </c>
      <c r="C12" s="189">
        <v>1</v>
      </c>
    </row>
    <row r="13" spans="1:3" ht="14.25" x14ac:dyDescent="0.2">
      <c r="B13" s="188" t="s">
        <v>268</v>
      </c>
      <c r="C13" s="189">
        <v>30</v>
      </c>
    </row>
    <row r="14" spans="1:3" ht="14.25" x14ac:dyDescent="0.2">
      <c r="B14" s="190" t="s">
        <v>269</v>
      </c>
      <c r="C14" s="191">
        <v>0</v>
      </c>
    </row>
    <row r="15" spans="1:3" ht="14.25" x14ac:dyDescent="0.2">
      <c r="B15" s="192" t="s">
        <v>270</v>
      </c>
      <c r="C15" s="191">
        <v>0</v>
      </c>
    </row>
    <row r="16" spans="1:3" ht="15" x14ac:dyDescent="0.25">
      <c r="A16" s="92" t="s">
        <v>271</v>
      </c>
      <c r="B16" s="183" t="s">
        <v>272</v>
      </c>
      <c r="C16" s="184"/>
    </row>
    <row r="17" spans="1:3 16380:16384" ht="14.25" x14ac:dyDescent="0.2">
      <c r="B17" s="193" t="s">
        <v>273</v>
      </c>
      <c r="C17" s="194">
        <v>4625</v>
      </c>
    </row>
    <row r="18" spans="1:3 16380:16384" ht="14.25" x14ac:dyDescent="0.2">
      <c r="B18" s="188" t="s">
        <v>274</v>
      </c>
      <c r="C18" s="189">
        <v>4694</v>
      </c>
    </row>
    <row r="19" spans="1:3 16380:16384" ht="14.25" x14ac:dyDescent="0.2">
      <c r="B19" s="188" t="s">
        <v>275</v>
      </c>
      <c r="C19" s="189">
        <f>C5-C6</f>
        <v>69</v>
      </c>
    </row>
    <row r="20" spans="1:3 16380:16384" s="182" customFormat="1" ht="14.25" x14ac:dyDescent="0.2">
      <c r="A20" s="92"/>
      <c r="B20" s="195"/>
      <c r="C20" s="196"/>
      <c r="XEZ20"/>
      <c r="XFA20"/>
      <c r="XFB20"/>
      <c r="XFC20"/>
      <c r="XFD20"/>
    </row>
    <row r="21" spans="1:3 16380:16384" ht="15" x14ac:dyDescent="0.25">
      <c r="A21" s="182"/>
      <c r="B21" s="185" t="s">
        <v>276</v>
      </c>
      <c r="C21" s="197">
        <f>MEDIAN(C17,C18)</f>
        <v>4659.5</v>
      </c>
    </row>
    <row r="22" spans="1:3 16380:16384" ht="15" x14ac:dyDescent="0.25">
      <c r="B22" s="187" t="s">
        <v>277</v>
      </c>
      <c r="C22" s="198">
        <f>C8/C21</f>
        <v>0.25582144006867691</v>
      </c>
    </row>
    <row r="23" spans="1:3 16380:16384" s="182" customFormat="1" ht="15" x14ac:dyDescent="0.25">
      <c r="A23" s="92"/>
      <c r="B23" s="187" t="s">
        <v>278</v>
      </c>
      <c r="C23" s="198">
        <f>MEDIAN(C5,C6)/C21</f>
        <v>0.44328790642772831</v>
      </c>
      <c r="XEZ23"/>
      <c r="XFA23"/>
      <c r="XFB23"/>
      <c r="XFC23"/>
      <c r="XFD23"/>
    </row>
    <row r="24" spans="1:3 16380:16384" ht="15" x14ac:dyDescent="0.25">
      <c r="A24" s="182"/>
      <c r="B24" s="187" t="s">
        <v>279</v>
      </c>
      <c r="C24" s="199">
        <f>12/C23</f>
        <v>27.070442992011618</v>
      </c>
    </row>
    <row r="25" spans="1:3 16380:16384" ht="15" x14ac:dyDescent="0.25">
      <c r="B25" s="187" t="s">
        <v>280</v>
      </c>
      <c r="C25" s="186">
        <v>360</v>
      </c>
    </row>
    <row r="26" spans="1:3 16380:16384" ht="15" x14ac:dyDescent="0.25">
      <c r="B26" s="187" t="s">
        <v>281</v>
      </c>
      <c r="C26" s="186">
        <v>10</v>
      </c>
    </row>
    <row r="27" spans="1:3 16380:16384" ht="15" x14ac:dyDescent="0.25">
      <c r="B27" s="185" t="s">
        <v>282</v>
      </c>
      <c r="C27" s="200">
        <v>30</v>
      </c>
    </row>
    <row r="28" spans="1:3 16380:16384" s="182" customFormat="1" ht="15" x14ac:dyDescent="0.25">
      <c r="A28" s="92"/>
      <c r="B28" s="185" t="s">
        <v>283</v>
      </c>
      <c r="C28" s="200">
        <v>30</v>
      </c>
      <c r="XEZ28"/>
      <c r="XFA28"/>
      <c r="XFB28"/>
      <c r="XFC28"/>
      <c r="XFD28"/>
    </row>
    <row r="29" spans="1:3 16380:16384" s="182" customFormat="1" ht="15" x14ac:dyDescent="0.25">
      <c r="B29" s="185" t="s">
        <v>284</v>
      </c>
      <c r="C29" s="200">
        <f>30+(3*TRUNC(1/C23))</f>
        <v>36</v>
      </c>
      <c r="XEZ29"/>
      <c r="XFA29"/>
      <c r="XFB29"/>
      <c r="XFC29"/>
      <c r="XFD29"/>
    </row>
    <row r="30" spans="1:3 16380:16384" s="182" customFormat="1" ht="15" x14ac:dyDescent="0.25">
      <c r="B30" s="187" t="s">
        <v>221</v>
      </c>
      <c r="C30" s="201">
        <v>0.08</v>
      </c>
      <c r="XEZ30"/>
      <c r="XFA30"/>
      <c r="XFB30"/>
      <c r="XFC30"/>
      <c r="XFD30"/>
    </row>
    <row r="31" spans="1:3 16380:16384" ht="15" x14ac:dyDescent="0.25">
      <c r="A31" s="182"/>
      <c r="B31" s="202" t="s">
        <v>285</v>
      </c>
      <c r="C31" s="203">
        <v>0.4</v>
      </c>
    </row>
  </sheetData>
  <mergeCells count="1">
    <mergeCell ref="B3:C3"/>
  </mergeCells>
  <pageMargins left="0.905555555555556" right="0.51180555555555596" top="0.74791666666666701" bottom="0.74791666666666701" header="0.511811023622047" footer="0.511811023622047"/>
  <pageSetup paperSize="9" scale="9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4"/>
  <sheetViews>
    <sheetView view="pageBreakPreview" zoomScaleNormal="100" workbookViewId="0">
      <selection activeCell="A24" sqref="A24"/>
    </sheetView>
  </sheetViews>
  <sheetFormatPr defaultColWidth="8.5703125" defaultRowHeight="12.75" x14ac:dyDescent="0.2"/>
  <cols>
    <col min="1" max="1" width="41.85546875" customWidth="1"/>
    <col min="2" max="2" width="5.5703125" customWidth="1"/>
    <col min="4" max="4" width="9.7109375" customWidth="1"/>
    <col min="5" max="5" width="8" style="204" customWidth="1"/>
    <col min="6" max="6" width="9.7109375" customWidth="1"/>
    <col min="8" max="8" width="10.85546875" customWidth="1"/>
    <col min="9" max="9" width="10.140625" customWidth="1"/>
  </cols>
  <sheetData>
    <row r="1" spans="1:9" x14ac:dyDescent="0.2">
      <c r="A1" s="2"/>
      <c r="B1" s="4"/>
      <c r="C1" s="4"/>
      <c r="D1" s="5"/>
      <c r="E1" s="5"/>
      <c r="F1" s="5"/>
    </row>
    <row r="2" spans="1:9" s="205" customFormat="1" ht="14.25" x14ac:dyDescent="0.2">
      <c r="A2" s="2"/>
      <c r="B2" s="4"/>
      <c r="C2" s="4"/>
      <c r="D2" s="5"/>
      <c r="E2" s="5"/>
      <c r="F2" s="5"/>
    </row>
    <row r="3" spans="1:9" ht="15.75" x14ac:dyDescent="0.2">
      <c r="A3" s="267" t="s">
        <v>286</v>
      </c>
      <c r="B3" s="267"/>
      <c r="C3" s="267"/>
      <c r="D3" s="267"/>
      <c r="E3" s="267"/>
      <c r="F3" s="267"/>
      <c r="G3" s="205"/>
      <c r="H3" s="205"/>
      <c r="I3" s="205"/>
    </row>
    <row r="4" spans="1:9" ht="14.25" x14ac:dyDescent="0.2">
      <c r="A4" s="205"/>
      <c r="B4" s="24"/>
      <c r="C4" s="24"/>
      <c r="D4" s="205"/>
      <c r="E4" s="206"/>
      <c r="F4" s="205"/>
      <c r="G4" s="205"/>
      <c r="H4" s="205"/>
    </row>
    <row r="5" spans="1:9" ht="15.75" x14ac:dyDescent="0.2">
      <c r="A5" s="268" t="s">
        <v>287</v>
      </c>
      <c r="B5" s="268"/>
      <c r="C5" s="268"/>
      <c r="D5" s="268"/>
      <c r="E5" s="268"/>
      <c r="F5" s="268"/>
      <c r="G5" s="205"/>
      <c r="H5" s="205"/>
    </row>
    <row r="6" spans="1:9" ht="15.75" x14ac:dyDescent="0.2">
      <c r="A6" s="207"/>
      <c r="B6" s="208"/>
      <c r="C6" s="208"/>
      <c r="D6" s="208"/>
      <c r="E6" s="208"/>
      <c r="F6" s="209"/>
      <c r="G6" s="205"/>
      <c r="H6" s="205"/>
    </row>
    <row r="7" spans="1:9" ht="15" x14ac:dyDescent="0.25">
      <c r="A7" s="210"/>
      <c r="B7" s="24"/>
      <c r="C7" s="24"/>
      <c r="D7" s="269" t="s">
        <v>288</v>
      </c>
      <c r="E7" s="269"/>
      <c r="F7" s="269"/>
      <c r="G7" s="205"/>
      <c r="H7" s="205"/>
    </row>
    <row r="8" spans="1:9" ht="14.25" x14ac:dyDescent="0.2">
      <c r="A8" s="195"/>
      <c r="B8" s="205"/>
      <c r="C8" s="205"/>
      <c r="D8" s="211" t="s">
        <v>289</v>
      </c>
      <c r="E8" s="212" t="s">
        <v>290</v>
      </c>
      <c r="F8" s="213" t="s">
        <v>291</v>
      </c>
      <c r="G8" s="205"/>
      <c r="H8" s="205"/>
    </row>
    <row r="9" spans="1:9" ht="14.25" x14ac:dyDescent="0.2">
      <c r="A9" s="214" t="s">
        <v>292</v>
      </c>
      <c r="B9" s="215" t="s">
        <v>293</v>
      </c>
      <c r="C9" s="216">
        <v>0.05</v>
      </c>
      <c r="D9" s="217">
        <v>2.9700000000000001E-2</v>
      </c>
      <c r="E9" s="218">
        <v>5.0799999999999998E-2</v>
      </c>
      <c r="F9" s="219">
        <v>6.2700000000000006E-2</v>
      </c>
      <c r="G9" s="205"/>
      <c r="H9" s="205"/>
    </row>
    <row r="10" spans="1:9" ht="14.25" x14ac:dyDescent="0.2">
      <c r="A10" s="220" t="s">
        <v>294</v>
      </c>
      <c r="B10" s="221" t="s">
        <v>295</v>
      </c>
      <c r="C10" s="222">
        <v>0.01</v>
      </c>
      <c r="D10" s="217">
        <f>0.3%+0.56%</f>
        <v>8.6E-3</v>
      </c>
      <c r="E10" s="218">
        <f>0.48%+0.85%</f>
        <v>1.3299999999999999E-2</v>
      </c>
      <c r="F10" s="219">
        <f>0.82%+0.89%</f>
        <v>1.7099999999999997E-2</v>
      </c>
      <c r="G10" s="205"/>
      <c r="H10" s="205"/>
    </row>
    <row r="11" spans="1:9" ht="14.25" x14ac:dyDescent="0.2">
      <c r="A11" s="220" t="s">
        <v>296</v>
      </c>
      <c r="B11" s="221" t="s">
        <v>297</v>
      </c>
      <c r="C11" s="222">
        <v>0.1</v>
      </c>
      <c r="D11" s="217">
        <v>7.7799999999999994E-2</v>
      </c>
      <c r="E11" s="218">
        <v>0.1085</v>
      </c>
      <c r="F11" s="219">
        <v>0.13550000000000001</v>
      </c>
      <c r="G11" s="205"/>
      <c r="H11" s="205"/>
    </row>
    <row r="12" spans="1:9" ht="14.25" x14ac:dyDescent="0.2">
      <c r="A12" s="220" t="s">
        <v>298</v>
      </c>
      <c r="B12" s="221" t="s">
        <v>299</v>
      </c>
      <c r="C12" s="222">
        <f>(1+E12)^(E13/252)-1</f>
        <v>1.2768336846709527E-2</v>
      </c>
      <c r="D12" s="217" t="s">
        <v>300</v>
      </c>
      <c r="E12" s="223">
        <v>0.14249999999999999</v>
      </c>
      <c r="F12" s="224"/>
      <c r="G12" s="205"/>
      <c r="H12" s="205"/>
    </row>
    <row r="13" spans="1:9" ht="14.25" x14ac:dyDescent="0.2">
      <c r="A13" s="220" t="s">
        <v>301</v>
      </c>
      <c r="B13" s="270" t="s">
        <v>302</v>
      </c>
      <c r="C13" s="222">
        <v>0.04</v>
      </c>
      <c r="D13" s="225" t="s">
        <v>303</v>
      </c>
      <c r="E13" s="226">
        <v>24</v>
      </c>
      <c r="F13" s="189"/>
      <c r="G13" s="205"/>
      <c r="H13" s="205"/>
    </row>
    <row r="14" spans="1:9" ht="14.25" x14ac:dyDescent="0.2">
      <c r="A14" s="227" t="s">
        <v>304</v>
      </c>
      <c r="B14" s="270"/>
      <c r="C14" s="228">
        <v>3.6499999999999998E-2</v>
      </c>
      <c r="D14" s="188"/>
      <c r="E14" s="226"/>
      <c r="F14" s="189"/>
    </row>
    <row r="15" spans="1:9" ht="14.25" x14ac:dyDescent="0.2">
      <c r="A15" s="229" t="s">
        <v>305</v>
      </c>
      <c r="B15" s="230"/>
      <c r="C15" s="231"/>
      <c r="D15" s="188"/>
      <c r="E15" s="226"/>
      <c r="F15" s="189"/>
    </row>
    <row r="16" spans="1:9" ht="14.25" x14ac:dyDescent="0.2">
      <c r="A16" s="232" t="s">
        <v>306</v>
      </c>
      <c r="B16" s="233"/>
      <c r="C16" s="234"/>
      <c r="D16" s="188"/>
      <c r="E16" s="226"/>
      <c r="F16" s="189"/>
    </row>
    <row r="17" spans="1:9" ht="15" x14ac:dyDescent="0.2">
      <c r="A17" s="235" t="s">
        <v>307</v>
      </c>
      <c r="B17" s="236"/>
      <c r="C17" s="237">
        <f>ROUND((((1+C9+C10)*(1+C11)*(1+C12))/(1-(C13+C14))-1),4)</f>
        <v>0.2787</v>
      </c>
      <c r="D17" s="238">
        <v>0.21429999999999999</v>
      </c>
      <c r="E17" s="239">
        <v>0.2717</v>
      </c>
      <c r="F17" s="240">
        <v>0.3362</v>
      </c>
      <c r="I17" s="241"/>
    </row>
    <row r="18" spans="1:9" ht="14.25" x14ac:dyDescent="0.2">
      <c r="A18" s="205"/>
      <c r="B18" s="205"/>
      <c r="C18" s="205"/>
      <c r="D18" s="205"/>
      <c r="E18" s="206"/>
      <c r="F18" s="205"/>
      <c r="I18" s="242"/>
    </row>
    <row r="19" spans="1:9" ht="14.25" x14ac:dyDescent="0.2">
      <c r="A19" s="205"/>
      <c r="B19" s="205"/>
      <c r="C19" s="205"/>
      <c r="D19" s="205"/>
      <c r="E19" s="206"/>
      <c r="F19" s="205"/>
    </row>
    <row r="20" spans="1:9" ht="15" x14ac:dyDescent="0.25">
      <c r="A20" s="243"/>
      <c r="B20" s="2"/>
      <c r="C20" s="244"/>
      <c r="D20" s="244"/>
      <c r="E20" s="244"/>
      <c r="F20" s="244"/>
    </row>
    <row r="21" spans="1:9" ht="15" x14ac:dyDescent="0.25">
      <c r="A21" s="244"/>
      <c r="B21" s="243"/>
      <c r="C21" s="244"/>
      <c r="D21" s="244"/>
      <c r="E21" s="244"/>
      <c r="F21" s="245"/>
    </row>
    <row r="22" spans="1:9" ht="15" x14ac:dyDescent="0.25">
      <c r="A22" s="244"/>
      <c r="B22" s="243"/>
      <c r="C22" s="244"/>
      <c r="D22" s="244"/>
      <c r="E22" s="244"/>
      <c r="F22" s="244"/>
    </row>
    <row r="23" spans="1:9" ht="15" x14ac:dyDescent="0.25">
      <c r="A23" s="244"/>
      <c r="B23" s="243"/>
      <c r="C23" s="244"/>
      <c r="D23" s="244"/>
      <c r="E23" s="244"/>
      <c r="F23" s="244"/>
    </row>
    <row r="24" spans="1:9" ht="15" x14ac:dyDescent="0.25">
      <c r="A24" s="266"/>
      <c r="B24" s="266"/>
      <c r="C24" s="266"/>
      <c r="D24" s="266"/>
      <c r="E24" s="266"/>
      <c r="F24" s="266"/>
    </row>
    <row r="25" spans="1:9" ht="15" x14ac:dyDescent="0.2">
      <c r="A25" s="265"/>
      <c r="B25" s="265"/>
      <c r="C25" s="265"/>
      <c r="D25" s="265"/>
      <c r="E25" s="265"/>
      <c r="F25" s="265"/>
    </row>
    <row r="26" spans="1:9" ht="15" x14ac:dyDescent="0.2">
      <c r="A26" s="265"/>
      <c r="B26" s="265"/>
      <c r="C26" s="265"/>
      <c r="D26" s="265"/>
      <c r="E26" s="265"/>
      <c r="F26" s="265"/>
    </row>
    <row r="27" spans="1:9" ht="15" x14ac:dyDescent="0.25">
      <c r="A27" s="244"/>
      <c r="B27" s="243"/>
      <c r="C27" s="244"/>
      <c r="D27" s="244"/>
      <c r="E27" s="244"/>
      <c r="F27" s="244"/>
    </row>
    <row r="28" spans="1:9" ht="15" x14ac:dyDescent="0.25">
      <c r="A28" s="244"/>
      <c r="B28" s="243"/>
      <c r="C28" s="244"/>
      <c r="D28" s="244"/>
      <c r="E28" s="244"/>
      <c r="F28" s="244"/>
    </row>
    <row r="29" spans="1:9" ht="15" x14ac:dyDescent="0.25">
      <c r="A29" s="244"/>
      <c r="B29" s="243"/>
      <c r="C29" s="244"/>
      <c r="D29" s="244"/>
      <c r="E29" s="244"/>
      <c r="F29" s="244"/>
    </row>
    <row r="30" spans="1:9" ht="15" x14ac:dyDescent="0.25">
      <c r="A30" s="266"/>
      <c r="B30" s="266"/>
      <c r="C30" s="266"/>
      <c r="D30" s="266"/>
      <c r="E30" s="266"/>
      <c r="F30" s="266"/>
    </row>
    <row r="31" spans="1:9" ht="15" x14ac:dyDescent="0.2">
      <c r="A31" s="265"/>
      <c r="B31" s="265"/>
      <c r="C31" s="265"/>
      <c r="D31" s="265"/>
      <c r="E31" s="265"/>
      <c r="F31" s="265"/>
    </row>
    <row r="32" spans="1:9" ht="15" x14ac:dyDescent="0.2">
      <c r="A32" s="265"/>
      <c r="B32" s="265"/>
      <c r="C32" s="265"/>
      <c r="D32" s="265"/>
      <c r="E32" s="265"/>
      <c r="F32" s="265"/>
    </row>
    <row r="33" spans="1:6" ht="14.25" x14ac:dyDescent="0.2">
      <c r="A33" s="205"/>
      <c r="B33" s="205"/>
      <c r="C33" s="205"/>
      <c r="D33" s="205"/>
      <c r="E33" s="206"/>
      <c r="F33" s="205"/>
    </row>
    <row r="34" spans="1:6" ht="14.25" x14ac:dyDescent="0.2">
      <c r="A34" s="205"/>
      <c r="B34" s="205"/>
      <c r="C34" s="205"/>
      <c r="D34" s="205"/>
      <c r="E34" s="206"/>
      <c r="F34" s="205"/>
    </row>
  </sheetData>
  <mergeCells count="10">
    <mergeCell ref="A3:F3"/>
    <mergeCell ref="A5:F5"/>
    <mergeCell ref="D7:F7"/>
    <mergeCell ref="B13:B14"/>
    <mergeCell ref="A24:F24"/>
    <mergeCell ref="A25:F25"/>
    <mergeCell ref="A26:F26"/>
    <mergeCell ref="A30:F30"/>
    <mergeCell ref="A31:F31"/>
    <mergeCell ref="A32:F32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7"/>
  <sheetViews>
    <sheetView view="pageBreakPreview" zoomScaleNormal="100" workbookViewId="0">
      <selection activeCell="J10" sqref="J10"/>
    </sheetView>
  </sheetViews>
  <sheetFormatPr defaultColWidth="9.140625" defaultRowHeight="12.75" x14ac:dyDescent="0.2"/>
  <cols>
    <col min="1" max="1" width="24.5703125" style="92" customWidth="1"/>
    <col min="2" max="2" width="20.85546875" style="92" customWidth="1"/>
    <col min="3" max="16384" width="9.140625" style="92"/>
  </cols>
  <sheetData>
    <row r="1" spans="1:2" ht="19.5" customHeight="1" x14ac:dyDescent="0.2">
      <c r="A1" s="271" t="s">
        <v>308</v>
      </c>
      <c r="B1" s="271"/>
    </row>
    <row r="2" spans="1:2" s="182" customFormat="1" ht="19.5" customHeight="1" x14ac:dyDescent="0.2">
      <c r="A2" s="246" t="s">
        <v>309</v>
      </c>
      <c r="B2" s="247" t="s">
        <v>310</v>
      </c>
    </row>
    <row r="3" spans="1:2" ht="19.5" customHeight="1" x14ac:dyDescent="0.2">
      <c r="A3" s="248">
        <v>1</v>
      </c>
      <c r="B3" s="249">
        <v>33.630000000000003</v>
      </c>
    </row>
    <row r="4" spans="1:2" ht="19.5" customHeight="1" x14ac:dyDescent="0.2">
      <c r="A4" s="248">
        <v>2</v>
      </c>
      <c r="B4" s="249">
        <v>43.13</v>
      </c>
    </row>
    <row r="5" spans="1:2" ht="19.5" customHeight="1" x14ac:dyDescent="0.2">
      <c r="A5" s="248">
        <v>3</v>
      </c>
      <c r="B5" s="249">
        <v>48.68</v>
      </c>
    </row>
    <row r="6" spans="1:2" ht="19.5" customHeight="1" x14ac:dyDescent="0.2">
      <c r="A6" s="248">
        <v>4</v>
      </c>
      <c r="B6" s="249">
        <v>52.62</v>
      </c>
    </row>
    <row r="7" spans="1:2" ht="19.5" customHeight="1" x14ac:dyDescent="0.2">
      <c r="A7" s="248">
        <v>5</v>
      </c>
      <c r="B7" s="249">
        <v>55.68</v>
      </c>
    </row>
    <row r="8" spans="1:2" ht="19.5" customHeight="1" x14ac:dyDescent="0.2">
      <c r="A8" s="248">
        <v>6</v>
      </c>
      <c r="B8" s="249">
        <v>58.18</v>
      </c>
    </row>
    <row r="9" spans="1:2" ht="19.5" customHeight="1" x14ac:dyDescent="0.2">
      <c r="A9" s="248">
        <v>7</v>
      </c>
      <c r="B9" s="249">
        <v>60.29</v>
      </c>
    </row>
    <row r="10" spans="1:2" ht="19.5" customHeight="1" x14ac:dyDescent="0.2">
      <c r="A10" s="248">
        <v>8</v>
      </c>
      <c r="B10" s="249">
        <v>62.12</v>
      </c>
    </row>
    <row r="11" spans="1:2" ht="19.5" customHeight="1" x14ac:dyDescent="0.2">
      <c r="A11" s="248">
        <v>9</v>
      </c>
      <c r="B11" s="249">
        <v>63.73</v>
      </c>
    </row>
    <row r="12" spans="1:2" ht="19.5" customHeight="1" x14ac:dyDescent="0.2">
      <c r="A12" s="248">
        <v>10</v>
      </c>
      <c r="B12" s="249">
        <v>65.180000000000007</v>
      </c>
    </row>
    <row r="13" spans="1:2" ht="19.5" customHeight="1" x14ac:dyDescent="0.2">
      <c r="A13" s="248">
        <v>11</v>
      </c>
      <c r="B13" s="249">
        <v>66.48</v>
      </c>
    </row>
    <row r="14" spans="1:2" ht="19.5" customHeight="1" x14ac:dyDescent="0.2">
      <c r="A14" s="248">
        <v>12</v>
      </c>
      <c r="B14" s="249">
        <v>67.67</v>
      </c>
    </row>
    <row r="15" spans="1:2" ht="19.5" customHeight="1" x14ac:dyDescent="0.2">
      <c r="A15" s="248">
        <v>13</v>
      </c>
      <c r="B15" s="249">
        <v>68.77</v>
      </c>
    </row>
    <row r="16" spans="1:2" ht="19.5" customHeight="1" x14ac:dyDescent="0.2">
      <c r="A16" s="248">
        <v>14</v>
      </c>
      <c r="B16" s="249">
        <v>69.790000000000006</v>
      </c>
    </row>
    <row r="17" spans="1:2" ht="19.5" customHeight="1" x14ac:dyDescent="0.2">
      <c r="A17" s="250">
        <v>15</v>
      </c>
      <c r="B17" s="251">
        <v>70.73</v>
      </c>
    </row>
  </sheetData>
  <mergeCells count="1">
    <mergeCell ref="A1:B1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7"/>
  <sheetViews>
    <sheetView view="pageBreakPreview" zoomScaleNormal="100" workbookViewId="0">
      <selection activeCell="A27" sqref="A27"/>
    </sheetView>
  </sheetViews>
  <sheetFormatPr defaultColWidth="9.140625" defaultRowHeight="12.75" x14ac:dyDescent="0.2"/>
  <cols>
    <col min="1" max="1" width="70.42578125" style="92" customWidth="1"/>
    <col min="2" max="3" width="9.140625" style="92"/>
    <col min="4" max="4" width="12.85546875" style="92" customWidth="1"/>
    <col min="5" max="16384" width="9.140625" style="92"/>
  </cols>
  <sheetData>
    <row r="1" spans="1:1" ht="18" x14ac:dyDescent="0.25">
      <c r="A1" s="252" t="s">
        <v>311</v>
      </c>
    </row>
    <row r="2" spans="1:1" x14ac:dyDescent="0.2">
      <c r="A2" s="253"/>
    </row>
    <row r="3" spans="1:1" x14ac:dyDescent="0.2">
      <c r="A3" s="253" t="s">
        <v>312</v>
      </c>
    </row>
    <row r="4" spans="1:1" x14ac:dyDescent="0.2">
      <c r="A4" s="253"/>
    </row>
    <row r="5" spans="1:1" x14ac:dyDescent="0.2">
      <c r="A5" s="253"/>
    </row>
    <row r="6" spans="1:1" x14ac:dyDescent="0.2">
      <c r="A6" s="253"/>
    </row>
    <row r="7" spans="1:1" x14ac:dyDescent="0.2">
      <c r="A7" s="253"/>
    </row>
    <row r="8" spans="1:1" x14ac:dyDescent="0.2">
      <c r="A8" s="253"/>
    </row>
    <row r="9" spans="1:1" x14ac:dyDescent="0.2">
      <c r="A9" s="253"/>
    </row>
    <row r="10" spans="1:1" x14ac:dyDescent="0.2">
      <c r="A10" s="253"/>
    </row>
    <row r="11" spans="1:1" x14ac:dyDescent="0.2">
      <c r="A11" s="253"/>
    </row>
    <row r="12" spans="1:1" ht="19.5" x14ac:dyDescent="0.35">
      <c r="A12" s="254" t="s">
        <v>313</v>
      </c>
    </row>
    <row r="13" spans="1:1" ht="15" x14ac:dyDescent="0.2">
      <c r="A13" s="254" t="s">
        <v>314</v>
      </c>
    </row>
    <row r="14" spans="1:1" ht="15" x14ac:dyDescent="0.2">
      <c r="A14" s="254" t="s">
        <v>315</v>
      </c>
    </row>
    <row r="15" spans="1:1" ht="19.5" x14ac:dyDescent="0.35">
      <c r="A15" s="254" t="s">
        <v>316</v>
      </c>
    </row>
    <row r="16" spans="1:1" ht="19.5" x14ac:dyDescent="0.35">
      <c r="A16" s="254" t="s">
        <v>317</v>
      </c>
    </row>
    <row r="17" spans="1:1" ht="15" x14ac:dyDescent="0.2">
      <c r="A17" s="255" t="s">
        <v>318</v>
      </c>
    </row>
  </sheetData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1.1 Coleta Domiciliar</vt:lpstr>
      <vt:lpstr>1.2 Contêiner Orgânica</vt:lpstr>
      <vt:lpstr>2.Encargos Sociais</vt:lpstr>
      <vt:lpstr>3.CAGED</vt:lpstr>
      <vt:lpstr>4.BDI</vt:lpstr>
      <vt:lpstr>5. Depreciação</vt:lpstr>
      <vt:lpstr>6.Remuneração de capital</vt:lpstr>
      <vt:lpstr>AbaDeprec</vt:lpstr>
      <vt:lpstr>AbaRemun</vt:lpstr>
      <vt:lpstr>'1.1 Coleta Domiciliar'!Area_de_impressao</vt:lpstr>
      <vt:lpstr>'1.2 Contêiner Orgânica'!Area_de_impressao</vt:lpstr>
      <vt:lpstr>'2.Encargos Sociais'!Area_de_impressao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dc:description/>
  <cp:lastModifiedBy>ADM</cp:lastModifiedBy>
  <cp:revision>10</cp:revision>
  <cp:lastPrinted>2024-02-27T13:25:47Z</cp:lastPrinted>
  <dcterms:created xsi:type="dcterms:W3CDTF">2000-12-13T10:02:50Z</dcterms:created>
  <dcterms:modified xsi:type="dcterms:W3CDTF">2025-05-08T22:09:39Z</dcterms:modified>
  <dc:language>pt-BR</dc:language>
</cp:coreProperties>
</file>