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10.16.11.2\clico\CLC 2024\Pregões\Material e utensilios laboratorial e medico hospitalar\DOCUMENTOS NOVA PUBLICAÇÃO\"/>
    </mc:Choice>
  </mc:AlternateContent>
  <xr:revisionPtr revIDLastSave="0" documentId="8_{9120CDF7-98DB-4153-990E-2102BCCFFD16}" xr6:coauthVersionLast="36" xr6:coauthVersionMax="36" xr10:uidLastSave="{00000000-0000-0000-0000-000000000000}"/>
  <bookViews>
    <workbookView xWindow="0" yWindow="0" windowWidth="28800" windowHeight="11925" xr2:uid="{754BF9D6-B2DD-4875-A120-DC975C3E281B}"/>
  </bookViews>
  <sheets>
    <sheet name="Planilha de Formação de Preços" sheetId="1" r:id="rId1"/>
  </sheets>
  <definedNames>
    <definedName name="_xlnm.Print_Area" localSheetId="0">'Planilha de Formação de Preços'!$B$1:$V$348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99" i="1" l="1"/>
  <c r="T99" i="1"/>
  <c r="U99" i="1"/>
  <c r="V99" i="1"/>
  <c r="S203" i="1"/>
  <c r="T203" i="1"/>
  <c r="U203" i="1"/>
  <c r="V203" i="1"/>
  <c r="S244" i="1"/>
  <c r="T244" i="1"/>
  <c r="U244" i="1"/>
  <c r="V244" i="1"/>
  <c r="L229" i="1"/>
  <c r="N229" i="1"/>
  <c r="L232" i="1"/>
  <c r="T232" i="1" s="1"/>
  <c r="S243" i="1"/>
  <c r="T243" i="1"/>
  <c r="U243" i="1"/>
  <c r="V243" i="1"/>
  <c r="S245" i="1"/>
  <c r="T245" i="1"/>
  <c r="U245" i="1"/>
  <c r="V245" i="1"/>
  <c r="S26" i="1"/>
  <c r="T26" i="1"/>
  <c r="U26" i="1"/>
  <c r="V26" i="1"/>
  <c r="S210" i="1"/>
  <c r="T210" i="1"/>
  <c r="U210" i="1"/>
  <c r="V210" i="1"/>
  <c r="S104" i="1"/>
  <c r="T104" i="1"/>
  <c r="U104" i="1"/>
  <c r="V104" i="1"/>
  <c r="S347" i="1"/>
  <c r="T347" i="1"/>
  <c r="U347" i="1"/>
  <c r="V347" i="1"/>
  <c r="S344" i="1"/>
  <c r="T344" i="1"/>
  <c r="U344" i="1"/>
  <c r="V344" i="1"/>
  <c r="S345" i="1"/>
  <c r="T345" i="1"/>
  <c r="U345" i="1"/>
  <c r="V345" i="1"/>
  <c r="S341" i="1"/>
  <c r="T341" i="1"/>
  <c r="U341" i="1"/>
  <c r="V341" i="1"/>
  <c r="S342" i="1"/>
  <c r="T342" i="1"/>
  <c r="U342" i="1"/>
  <c r="V342" i="1"/>
  <c r="S339" i="1"/>
  <c r="T339" i="1"/>
  <c r="U339" i="1"/>
  <c r="V339" i="1"/>
  <c r="S338" i="1"/>
  <c r="T338" i="1"/>
  <c r="U338" i="1"/>
  <c r="V338" i="1"/>
  <c r="J336" i="1"/>
  <c r="L336" i="1"/>
  <c r="N336" i="1"/>
  <c r="S334" i="1"/>
  <c r="T334" i="1"/>
  <c r="U334" i="1"/>
  <c r="V334" i="1"/>
  <c r="S331" i="1"/>
  <c r="T331" i="1"/>
  <c r="U331" i="1"/>
  <c r="V331" i="1"/>
  <c r="S332" i="1"/>
  <c r="T332" i="1"/>
  <c r="U332" i="1"/>
  <c r="V332" i="1"/>
  <c r="S328" i="1"/>
  <c r="T328" i="1"/>
  <c r="U328" i="1"/>
  <c r="V328" i="1"/>
  <c r="S329" i="1"/>
  <c r="T329" i="1"/>
  <c r="U329" i="1"/>
  <c r="V329" i="1"/>
  <c r="S326" i="1"/>
  <c r="T326" i="1"/>
  <c r="U326" i="1"/>
  <c r="V326" i="1"/>
  <c r="S324" i="1"/>
  <c r="T324" i="1"/>
  <c r="U324" i="1"/>
  <c r="V324" i="1"/>
  <c r="S322" i="1"/>
  <c r="T322" i="1"/>
  <c r="U322" i="1"/>
  <c r="V322" i="1"/>
  <c r="S320" i="1"/>
  <c r="T320" i="1"/>
  <c r="U320" i="1"/>
  <c r="V320" i="1"/>
  <c r="S318" i="1"/>
  <c r="T318" i="1"/>
  <c r="U318" i="1"/>
  <c r="V318" i="1"/>
  <c r="S316" i="1"/>
  <c r="T316" i="1"/>
  <c r="U316" i="1"/>
  <c r="V316" i="1"/>
  <c r="S314" i="1"/>
  <c r="T314" i="1"/>
  <c r="U314" i="1"/>
  <c r="V314" i="1"/>
  <c r="S312" i="1"/>
  <c r="T312" i="1"/>
  <c r="U312" i="1"/>
  <c r="V312" i="1"/>
  <c r="S313" i="1"/>
  <c r="T313" i="1"/>
  <c r="U313" i="1"/>
  <c r="V313" i="1"/>
  <c r="S309" i="1"/>
  <c r="T309" i="1"/>
  <c r="U309" i="1"/>
  <c r="V309" i="1"/>
  <c r="S310" i="1"/>
  <c r="T310" i="1"/>
  <c r="U310" i="1"/>
  <c r="V310" i="1"/>
  <c r="S311" i="1"/>
  <c r="T311" i="1"/>
  <c r="U311" i="1"/>
  <c r="V311" i="1"/>
  <c r="S306" i="1"/>
  <c r="T306" i="1"/>
  <c r="U306" i="1"/>
  <c r="V306" i="1"/>
  <c r="S307" i="1"/>
  <c r="T307" i="1"/>
  <c r="U307" i="1"/>
  <c r="V307" i="1"/>
  <c r="S308" i="1"/>
  <c r="T308" i="1"/>
  <c r="U308" i="1"/>
  <c r="V308" i="1"/>
  <c r="S300" i="1"/>
  <c r="T300" i="1"/>
  <c r="U300" i="1"/>
  <c r="V300" i="1"/>
  <c r="S301" i="1"/>
  <c r="T301" i="1"/>
  <c r="U301" i="1"/>
  <c r="V301" i="1"/>
  <c r="S302" i="1"/>
  <c r="T302" i="1"/>
  <c r="U302" i="1"/>
  <c r="V302" i="1"/>
  <c r="S303" i="1"/>
  <c r="T303" i="1"/>
  <c r="U303" i="1"/>
  <c r="V303" i="1"/>
  <c r="L304" i="1"/>
  <c r="N304" i="1"/>
  <c r="S298" i="1"/>
  <c r="T298" i="1"/>
  <c r="U298" i="1"/>
  <c r="V298" i="1"/>
  <c r="S296" i="1"/>
  <c r="T296" i="1"/>
  <c r="U296" i="1"/>
  <c r="V296" i="1"/>
  <c r="S292" i="1"/>
  <c r="T292" i="1"/>
  <c r="U292" i="1"/>
  <c r="V292" i="1"/>
  <c r="S293" i="1"/>
  <c r="T293" i="1"/>
  <c r="U293" i="1"/>
  <c r="V293" i="1"/>
  <c r="S294" i="1"/>
  <c r="T294" i="1"/>
  <c r="U294" i="1"/>
  <c r="V294" i="1"/>
  <c r="S287" i="1"/>
  <c r="T287" i="1"/>
  <c r="U287" i="1"/>
  <c r="V287" i="1"/>
  <c r="S288" i="1"/>
  <c r="T288" i="1"/>
  <c r="U288" i="1"/>
  <c r="V288" i="1"/>
  <c r="S289" i="1"/>
  <c r="T289" i="1"/>
  <c r="U289" i="1"/>
  <c r="V289" i="1"/>
  <c r="S290" i="1"/>
  <c r="T290" i="1"/>
  <c r="U290" i="1"/>
  <c r="V290" i="1"/>
  <c r="S275" i="1"/>
  <c r="T275" i="1"/>
  <c r="U275" i="1"/>
  <c r="V275" i="1"/>
  <c r="S276" i="1"/>
  <c r="T276" i="1"/>
  <c r="U276" i="1"/>
  <c r="V276" i="1"/>
  <c r="S277" i="1"/>
  <c r="T277" i="1"/>
  <c r="U277" i="1"/>
  <c r="V277" i="1"/>
  <c r="J278" i="1"/>
  <c r="L279" i="1"/>
  <c r="L280" i="1"/>
  <c r="U280" i="1" s="1"/>
  <c r="L281" i="1"/>
  <c r="S281" i="1" s="1"/>
  <c r="L282" i="1"/>
  <c r="V282" i="1" s="1"/>
  <c r="J283" i="1"/>
  <c r="S284" i="1"/>
  <c r="T284" i="1"/>
  <c r="U284" i="1"/>
  <c r="V284" i="1"/>
  <c r="S285" i="1"/>
  <c r="T285" i="1"/>
  <c r="U285" i="1"/>
  <c r="V285" i="1"/>
  <c r="S271" i="1"/>
  <c r="T271" i="1"/>
  <c r="U271" i="1"/>
  <c r="V271" i="1"/>
  <c r="S272" i="1"/>
  <c r="T272" i="1"/>
  <c r="U272" i="1"/>
  <c r="V272" i="1"/>
  <c r="S273" i="1"/>
  <c r="T273" i="1"/>
  <c r="U273" i="1"/>
  <c r="V273" i="1"/>
  <c r="S270" i="1"/>
  <c r="T270" i="1"/>
  <c r="U270" i="1"/>
  <c r="V270" i="1"/>
  <c r="S264" i="1"/>
  <c r="T264" i="1"/>
  <c r="U264" i="1"/>
  <c r="V264" i="1"/>
  <c r="S265" i="1"/>
  <c r="T265" i="1"/>
  <c r="U265" i="1"/>
  <c r="V265" i="1"/>
  <c r="S266" i="1"/>
  <c r="T266" i="1"/>
  <c r="U266" i="1"/>
  <c r="V266" i="1"/>
  <c r="S267" i="1"/>
  <c r="T267" i="1"/>
  <c r="U267" i="1"/>
  <c r="V267" i="1"/>
  <c r="S268" i="1"/>
  <c r="T268" i="1"/>
  <c r="U268" i="1"/>
  <c r="V268" i="1"/>
  <c r="S269" i="1"/>
  <c r="T269" i="1"/>
  <c r="U269" i="1"/>
  <c r="V269" i="1"/>
  <c r="S249" i="1"/>
  <c r="T249" i="1"/>
  <c r="U249" i="1"/>
  <c r="V249" i="1"/>
  <c r="S250" i="1"/>
  <c r="T250" i="1"/>
  <c r="U250" i="1"/>
  <c r="V250" i="1"/>
  <c r="S251" i="1"/>
  <c r="T251" i="1"/>
  <c r="U251" i="1"/>
  <c r="V251" i="1"/>
  <c r="S252" i="1"/>
  <c r="T252" i="1"/>
  <c r="U252" i="1"/>
  <c r="V252" i="1"/>
  <c r="S253" i="1"/>
  <c r="T253" i="1"/>
  <c r="U253" i="1"/>
  <c r="V253" i="1"/>
  <c r="S254" i="1"/>
  <c r="T254" i="1"/>
  <c r="U254" i="1"/>
  <c r="V254" i="1"/>
  <c r="S255" i="1"/>
  <c r="T255" i="1"/>
  <c r="U255" i="1"/>
  <c r="V255" i="1"/>
  <c r="S256" i="1"/>
  <c r="T256" i="1"/>
  <c r="U256" i="1"/>
  <c r="V256" i="1"/>
  <c r="S257" i="1"/>
  <c r="T257" i="1"/>
  <c r="U257" i="1"/>
  <c r="V257" i="1"/>
  <c r="S258" i="1"/>
  <c r="T258" i="1"/>
  <c r="U258" i="1"/>
  <c r="V258" i="1"/>
  <c r="S259" i="1"/>
  <c r="T259" i="1"/>
  <c r="U259" i="1"/>
  <c r="V259" i="1"/>
  <c r="S260" i="1"/>
  <c r="T260" i="1"/>
  <c r="U260" i="1"/>
  <c r="V260" i="1"/>
  <c r="S261" i="1"/>
  <c r="T261" i="1"/>
  <c r="U261" i="1"/>
  <c r="V261" i="1"/>
  <c r="S262" i="1"/>
  <c r="T262" i="1"/>
  <c r="U262" i="1"/>
  <c r="V262" i="1"/>
  <c r="S263" i="1"/>
  <c r="T263" i="1"/>
  <c r="U263" i="1"/>
  <c r="V263" i="1"/>
  <c r="S247" i="1"/>
  <c r="T247" i="1"/>
  <c r="U247" i="1"/>
  <c r="V247" i="1"/>
  <c r="S242" i="1"/>
  <c r="T242" i="1"/>
  <c r="U242" i="1"/>
  <c r="V242" i="1"/>
  <c r="S246" i="1"/>
  <c r="T246" i="1"/>
  <c r="U246" i="1"/>
  <c r="V246" i="1"/>
  <c r="N240" i="1"/>
  <c r="N241" i="1"/>
  <c r="S238" i="1"/>
  <c r="T238" i="1"/>
  <c r="U238" i="1"/>
  <c r="V238" i="1"/>
  <c r="S236" i="1"/>
  <c r="T236" i="1"/>
  <c r="U236" i="1"/>
  <c r="V236" i="1"/>
  <c r="S237" i="1"/>
  <c r="T237" i="1"/>
  <c r="U237" i="1"/>
  <c r="V237" i="1"/>
  <c r="S235" i="1"/>
  <c r="T235" i="1"/>
  <c r="U235" i="1"/>
  <c r="V235" i="1"/>
  <c r="S233" i="1"/>
  <c r="T233" i="1"/>
  <c r="U233" i="1"/>
  <c r="V233" i="1"/>
  <c r="S234" i="1"/>
  <c r="T234" i="1"/>
  <c r="U234" i="1"/>
  <c r="V234" i="1"/>
  <c r="S231" i="1"/>
  <c r="T231" i="1"/>
  <c r="U231" i="1"/>
  <c r="V231" i="1"/>
  <c r="S230" i="1"/>
  <c r="T230" i="1"/>
  <c r="U230" i="1"/>
  <c r="V230" i="1"/>
  <c r="S228" i="1"/>
  <c r="T228" i="1"/>
  <c r="U228" i="1"/>
  <c r="V228" i="1"/>
  <c r="S227" i="1"/>
  <c r="T227" i="1"/>
  <c r="U227" i="1"/>
  <c r="V227" i="1"/>
  <c r="S226" i="1"/>
  <c r="T226" i="1"/>
  <c r="U226" i="1"/>
  <c r="V226" i="1"/>
  <c r="S225" i="1"/>
  <c r="T225" i="1"/>
  <c r="U225" i="1"/>
  <c r="V225" i="1"/>
  <c r="N217" i="1"/>
  <c r="S218" i="1"/>
  <c r="T218" i="1"/>
  <c r="U218" i="1"/>
  <c r="V218" i="1"/>
  <c r="L219" i="1"/>
  <c r="N219" i="1"/>
  <c r="S220" i="1"/>
  <c r="T220" i="1"/>
  <c r="U220" i="1"/>
  <c r="V220" i="1"/>
  <c r="L221" i="1"/>
  <c r="N221" i="1"/>
  <c r="J222" i="1"/>
  <c r="L222" i="1"/>
  <c r="N222" i="1"/>
  <c r="J223" i="1"/>
  <c r="L223" i="1"/>
  <c r="N223" i="1"/>
  <c r="L224" i="1"/>
  <c r="N224" i="1"/>
  <c r="J215" i="1"/>
  <c r="N215" i="1"/>
  <c r="S213" i="1"/>
  <c r="T213" i="1"/>
  <c r="U213" i="1"/>
  <c r="V213" i="1"/>
  <c r="S214" i="1"/>
  <c r="T214" i="1"/>
  <c r="U214" i="1"/>
  <c r="V214" i="1"/>
  <c r="V211" i="1"/>
  <c r="U211" i="1"/>
  <c r="T211" i="1"/>
  <c r="S211" i="1"/>
  <c r="V209" i="1"/>
  <c r="U209" i="1"/>
  <c r="T209" i="1"/>
  <c r="S209" i="1"/>
  <c r="V208" i="1"/>
  <c r="U208" i="1"/>
  <c r="T208" i="1"/>
  <c r="S208" i="1"/>
  <c r="V207" i="1"/>
  <c r="U207" i="1"/>
  <c r="T207" i="1"/>
  <c r="S207" i="1"/>
  <c r="V206" i="1"/>
  <c r="U206" i="1"/>
  <c r="T206" i="1"/>
  <c r="S206" i="1"/>
  <c r="V205" i="1"/>
  <c r="U205" i="1"/>
  <c r="T205" i="1"/>
  <c r="S205" i="1"/>
  <c r="V204" i="1"/>
  <c r="U204" i="1"/>
  <c r="T204" i="1"/>
  <c r="S204" i="1"/>
  <c r="S201" i="1"/>
  <c r="T201" i="1"/>
  <c r="U201" i="1"/>
  <c r="V201" i="1"/>
  <c r="S202" i="1"/>
  <c r="T202" i="1"/>
  <c r="U202" i="1"/>
  <c r="V202" i="1"/>
  <c r="S200" i="1"/>
  <c r="T200" i="1"/>
  <c r="U200" i="1"/>
  <c r="V200" i="1"/>
  <c r="S198" i="1"/>
  <c r="T198" i="1"/>
  <c r="U198" i="1"/>
  <c r="V198" i="1"/>
  <c r="S199" i="1"/>
  <c r="T199" i="1"/>
  <c r="U199" i="1"/>
  <c r="V199" i="1"/>
  <c r="S196" i="1"/>
  <c r="T196" i="1"/>
  <c r="U196" i="1"/>
  <c r="V196" i="1"/>
  <c r="S197" i="1"/>
  <c r="T197" i="1"/>
  <c r="U197" i="1"/>
  <c r="V197" i="1"/>
  <c r="J194" i="1"/>
  <c r="L194" i="1"/>
  <c r="N194" i="1"/>
  <c r="V193" i="1"/>
  <c r="U193" i="1"/>
  <c r="T193" i="1"/>
  <c r="S193" i="1"/>
  <c r="V192" i="1"/>
  <c r="U192" i="1"/>
  <c r="T192" i="1"/>
  <c r="S192" i="1"/>
  <c r="V191" i="1"/>
  <c r="U191" i="1"/>
  <c r="T191" i="1"/>
  <c r="S191" i="1"/>
  <c r="N187" i="1"/>
  <c r="U187" i="1" s="1"/>
  <c r="L188" i="1"/>
  <c r="N188" i="1"/>
  <c r="P188" i="1"/>
  <c r="J189" i="1"/>
  <c r="N189" i="1"/>
  <c r="J190" i="1"/>
  <c r="V190" i="1" s="1"/>
  <c r="S184" i="1"/>
  <c r="T184" i="1"/>
  <c r="U184" i="1"/>
  <c r="V184" i="1"/>
  <c r="J185" i="1"/>
  <c r="V185" i="1" s="1"/>
  <c r="J186" i="1"/>
  <c r="S186" i="1" s="1"/>
  <c r="L182" i="1"/>
  <c r="N182" i="1"/>
  <c r="N181" i="1"/>
  <c r="V181" i="1" s="1"/>
  <c r="J177" i="1"/>
  <c r="L177" i="1"/>
  <c r="N177" i="1"/>
  <c r="J178" i="1"/>
  <c r="L178" i="1"/>
  <c r="N178" i="1"/>
  <c r="J179" i="1"/>
  <c r="L179" i="1"/>
  <c r="N179" i="1"/>
  <c r="J180" i="1"/>
  <c r="L180" i="1"/>
  <c r="N180" i="1"/>
  <c r="P180" i="1"/>
  <c r="R180" i="1"/>
  <c r="J174" i="1"/>
  <c r="L174" i="1"/>
  <c r="J175" i="1"/>
  <c r="L175" i="1"/>
  <c r="S171" i="1"/>
  <c r="T171" i="1"/>
  <c r="U171" i="1"/>
  <c r="V171" i="1"/>
  <c r="S172" i="1"/>
  <c r="T172" i="1"/>
  <c r="U172" i="1"/>
  <c r="V172" i="1"/>
  <c r="S169" i="1"/>
  <c r="T169" i="1"/>
  <c r="U169" i="1"/>
  <c r="V169" i="1"/>
  <c r="S168" i="1"/>
  <c r="T168" i="1"/>
  <c r="U168" i="1"/>
  <c r="V168" i="1"/>
  <c r="S167" i="1"/>
  <c r="T167" i="1"/>
  <c r="U167" i="1"/>
  <c r="V167" i="1"/>
  <c r="J165" i="1"/>
  <c r="L165" i="1"/>
  <c r="N165" i="1"/>
  <c r="J164" i="1"/>
  <c r="L164" i="1"/>
  <c r="N164" i="1"/>
  <c r="N160" i="1"/>
  <c r="V160" i="1" s="1"/>
  <c r="N161" i="1"/>
  <c r="U161" i="1" s="1"/>
  <c r="J162" i="1"/>
  <c r="L162" i="1"/>
  <c r="S163" i="1"/>
  <c r="T163" i="1"/>
  <c r="U163" i="1"/>
  <c r="V163" i="1"/>
  <c r="S157" i="1"/>
  <c r="T157" i="1"/>
  <c r="U157" i="1"/>
  <c r="V157" i="1"/>
  <c r="J158" i="1"/>
  <c r="L158" i="1"/>
  <c r="N158" i="1"/>
  <c r="S159" i="1"/>
  <c r="T159" i="1"/>
  <c r="U159" i="1"/>
  <c r="V159" i="1"/>
  <c r="L150" i="1"/>
  <c r="N150" i="1"/>
  <c r="S151" i="1"/>
  <c r="T151" i="1"/>
  <c r="U151" i="1"/>
  <c r="V151" i="1"/>
  <c r="J152" i="1"/>
  <c r="L152" i="1"/>
  <c r="N152" i="1"/>
  <c r="J153" i="1"/>
  <c r="L153" i="1"/>
  <c r="N153" i="1"/>
  <c r="J154" i="1"/>
  <c r="L154" i="1"/>
  <c r="N154" i="1"/>
  <c r="J155" i="1"/>
  <c r="L155" i="1"/>
  <c r="N155" i="1"/>
  <c r="S145" i="1"/>
  <c r="T145" i="1"/>
  <c r="U145" i="1"/>
  <c r="V145" i="1"/>
  <c r="S146" i="1"/>
  <c r="T146" i="1"/>
  <c r="U146" i="1"/>
  <c r="V146" i="1"/>
  <c r="S147" i="1"/>
  <c r="T147" i="1"/>
  <c r="U147" i="1"/>
  <c r="V147" i="1"/>
  <c r="J148" i="1"/>
  <c r="L148" i="1"/>
  <c r="N148" i="1"/>
  <c r="J149" i="1"/>
  <c r="L149" i="1"/>
  <c r="N149" i="1"/>
  <c r="S142" i="1"/>
  <c r="T142" i="1"/>
  <c r="U142" i="1"/>
  <c r="V142" i="1"/>
  <c r="S143" i="1"/>
  <c r="T143" i="1"/>
  <c r="U143" i="1"/>
  <c r="V143" i="1"/>
  <c r="J140" i="1"/>
  <c r="L140" i="1"/>
  <c r="N140" i="1"/>
  <c r="J141" i="1"/>
  <c r="L141" i="1"/>
  <c r="N141" i="1"/>
  <c r="J139" i="1"/>
  <c r="L139" i="1"/>
  <c r="N139" i="1"/>
  <c r="R139" i="1"/>
  <c r="S137" i="1"/>
  <c r="T137" i="1"/>
  <c r="U137" i="1"/>
  <c r="V137" i="1"/>
  <c r="J133" i="1"/>
  <c r="L133" i="1"/>
  <c r="N133" i="1"/>
  <c r="J134" i="1"/>
  <c r="L134" i="1"/>
  <c r="N134" i="1"/>
  <c r="J135" i="1"/>
  <c r="L135" i="1"/>
  <c r="N135" i="1"/>
  <c r="N136" i="1"/>
  <c r="S136" i="1" s="1"/>
  <c r="S128" i="1"/>
  <c r="T128" i="1"/>
  <c r="U128" i="1"/>
  <c r="V128" i="1"/>
  <c r="J129" i="1"/>
  <c r="L129" i="1"/>
  <c r="J130" i="1"/>
  <c r="L130" i="1"/>
  <c r="N130" i="1"/>
  <c r="J131" i="1"/>
  <c r="N131" i="1"/>
  <c r="S132" i="1"/>
  <c r="T132" i="1"/>
  <c r="U132" i="1"/>
  <c r="V132" i="1"/>
  <c r="S127" i="1"/>
  <c r="T127" i="1"/>
  <c r="U127" i="1"/>
  <c r="V127" i="1"/>
  <c r="J125" i="1"/>
  <c r="U125" i="1" s="1"/>
  <c r="J126" i="1"/>
  <c r="L126" i="1"/>
  <c r="J118" i="1"/>
  <c r="L118" i="1"/>
  <c r="N118" i="1"/>
  <c r="J119" i="1"/>
  <c r="L119" i="1"/>
  <c r="N119" i="1"/>
  <c r="J120" i="1"/>
  <c r="L120" i="1"/>
  <c r="N120" i="1"/>
  <c r="J121" i="1"/>
  <c r="L121" i="1"/>
  <c r="N121" i="1"/>
  <c r="J122" i="1"/>
  <c r="L122" i="1"/>
  <c r="N122" i="1"/>
  <c r="J123" i="1"/>
  <c r="L123" i="1"/>
  <c r="N123" i="1"/>
  <c r="J116" i="1"/>
  <c r="N116" i="1"/>
  <c r="J117" i="1"/>
  <c r="N117" i="1"/>
  <c r="V114" i="1"/>
  <c r="U114" i="1"/>
  <c r="T114" i="1"/>
  <c r="S114" i="1"/>
  <c r="V113" i="1"/>
  <c r="U113" i="1"/>
  <c r="T113" i="1"/>
  <c r="S113" i="1"/>
  <c r="V111" i="1"/>
  <c r="U111" i="1"/>
  <c r="T111" i="1"/>
  <c r="S111" i="1"/>
  <c r="H111" i="1"/>
  <c r="V110" i="1"/>
  <c r="U110" i="1"/>
  <c r="T110" i="1"/>
  <c r="S110" i="1"/>
  <c r="V109" i="1"/>
  <c r="U109" i="1"/>
  <c r="T109" i="1"/>
  <c r="S109" i="1"/>
  <c r="V108" i="1"/>
  <c r="U108" i="1"/>
  <c r="T108" i="1"/>
  <c r="S108" i="1"/>
  <c r="V107" i="1"/>
  <c r="U107" i="1"/>
  <c r="T107" i="1"/>
  <c r="S107" i="1"/>
  <c r="V105" i="1"/>
  <c r="U105" i="1"/>
  <c r="T105" i="1"/>
  <c r="S105" i="1"/>
  <c r="V103" i="1"/>
  <c r="U103" i="1"/>
  <c r="T103" i="1"/>
  <c r="S103" i="1"/>
  <c r="V102" i="1"/>
  <c r="U102" i="1"/>
  <c r="T102" i="1"/>
  <c r="S102" i="1"/>
  <c r="V101" i="1"/>
  <c r="U101" i="1"/>
  <c r="T101" i="1"/>
  <c r="S101" i="1"/>
  <c r="V100" i="1"/>
  <c r="U100" i="1"/>
  <c r="T100" i="1"/>
  <c r="S100" i="1"/>
  <c r="V98" i="1"/>
  <c r="U98" i="1"/>
  <c r="T98" i="1"/>
  <c r="S98" i="1"/>
  <c r="V97" i="1"/>
  <c r="U97" i="1"/>
  <c r="T97" i="1"/>
  <c r="S97" i="1"/>
  <c r="V96" i="1"/>
  <c r="U96" i="1"/>
  <c r="T96" i="1"/>
  <c r="S96" i="1"/>
  <c r="V95" i="1"/>
  <c r="U95" i="1"/>
  <c r="T95" i="1"/>
  <c r="S95" i="1"/>
  <c r="V94" i="1"/>
  <c r="U94" i="1"/>
  <c r="T94" i="1"/>
  <c r="S94" i="1"/>
  <c r="V93" i="1"/>
  <c r="U93" i="1"/>
  <c r="T93" i="1"/>
  <c r="S93" i="1"/>
  <c r="V92" i="1"/>
  <c r="U92" i="1"/>
  <c r="T92" i="1"/>
  <c r="S92" i="1"/>
  <c r="S90" i="1"/>
  <c r="T90" i="1"/>
  <c r="U90" i="1"/>
  <c r="V90" i="1"/>
  <c r="V88" i="1"/>
  <c r="U88" i="1"/>
  <c r="T88" i="1"/>
  <c r="S88" i="1"/>
  <c r="V87" i="1"/>
  <c r="U87" i="1"/>
  <c r="T87" i="1"/>
  <c r="S87" i="1"/>
  <c r="V86" i="1"/>
  <c r="U86" i="1"/>
  <c r="T86" i="1"/>
  <c r="S86" i="1"/>
  <c r="V85" i="1"/>
  <c r="U85" i="1"/>
  <c r="T85" i="1"/>
  <c r="S85" i="1"/>
  <c r="V84" i="1"/>
  <c r="U84" i="1"/>
  <c r="T84" i="1"/>
  <c r="S84" i="1"/>
  <c r="V82" i="1"/>
  <c r="U82" i="1"/>
  <c r="T82" i="1"/>
  <c r="S82" i="1"/>
  <c r="V81" i="1"/>
  <c r="U81" i="1"/>
  <c r="T81" i="1"/>
  <c r="S81" i="1"/>
  <c r="V80" i="1"/>
  <c r="U80" i="1"/>
  <c r="T80" i="1"/>
  <c r="S80" i="1"/>
  <c r="V78" i="1"/>
  <c r="U78" i="1"/>
  <c r="T78" i="1"/>
  <c r="S78" i="1"/>
  <c r="V77" i="1"/>
  <c r="U77" i="1"/>
  <c r="T77" i="1"/>
  <c r="S77" i="1"/>
  <c r="V76" i="1"/>
  <c r="U76" i="1"/>
  <c r="T76" i="1"/>
  <c r="S76" i="1"/>
  <c r="J74" i="1"/>
  <c r="S74" i="1" s="1"/>
  <c r="V72" i="1"/>
  <c r="U72" i="1"/>
  <c r="T72" i="1"/>
  <c r="S72" i="1"/>
  <c r="V71" i="1"/>
  <c r="U71" i="1"/>
  <c r="T71" i="1"/>
  <c r="S71" i="1"/>
  <c r="V70" i="1"/>
  <c r="U70" i="1"/>
  <c r="T70" i="1"/>
  <c r="S70" i="1"/>
  <c r="V69" i="1"/>
  <c r="U69" i="1"/>
  <c r="T69" i="1"/>
  <c r="S69" i="1"/>
  <c r="V68" i="1"/>
  <c r="U68" i="1"/>
  <c r="T68" i="1"/>
  <c r="S68" i="1"/>
  <c r="V67" i="1"/>
  <c r="U67" i="1"/>
  <c r="T67" i="1"/>
  <c r="S67" i="1"/>
  <c r="V66" i="1"/>
  <c r="U66" i="1"/>
  <c r="T66" i="1"/>
  <c r="S66" i="1"/>
  <c r="V64" i="1"/>
  <c r="U64" i="1"/>
  <c r="T64" i="1"/>
  <c r="S64" i="1"/>
  <c r="V63" i="1"/>
  <c r="X63" i="1" s="1"/>
  <c r="U63" i="1"/>
  <c r="T63" i="1"/>
  <c r="S63" i="1"/>
  <c r="V62" i="1"/>
  <c r="U62" i="1"/>
  <c r="T62" i="1"/>
  <c r="S62" i="1"/>
  <c r="V61" i="1"/>
  <c r="U61" i="1"/>
  <c r="T61" i="1"/>
  <c r="S61" i="1"/>
  <c r="X61" i="1" l="1"/>
  <c r="X300" i="1"/>
  <c r="X322" i="1"/>
  <c r="X62" i="1"/>
  <c r="X255" i="1"/>
  <c r="X263" i="1"/>
  <c r="X84" i="1"/>
  <c r="X71" i="1"/>
  <c r="X82" i="1"/>
  <c r="X94" i="1"/>
  <c r="X102" i="1"/>
  <c r="X111" i="1"/>
  <c r="X146" i="1"/>
  <c r="X157" i="1"/>
  <c r="X289" i="1"/>
  <c r="X298" i="1"/>
  <c r="X310" i="1"/>
  <c r="X309" i="1"/>
  <c r="X72" i="1"/>
  <c r="X237" i="1"/>
  <c r="X276" i="1"/>
  <c r="X101" i="1"/>
  <c r="X143" i="1"/>
  <c r="X271" i="1"/>
  <c r="X77" i="1"/>
  <c r="X78" i="1"/>
  <c r="X85" i="1"/>
  <c r="X86" i="1"/>
  <c r="X87" i="1"/>
  <c r="X88" i="1"/>
  <c r="X93" i="1"/>
  <c r="X97" i="1"/>
  <c r="X98" i="1"/>
  <c r="X64" i="1"/>
  <c r="X66" i="1"/>
  <c r="W67" i="1"/>
  <c r="X68" i="1"/>
  <c r="X69" i="1"/>
  <c r="X70" i="1"/>
  <c r="X81" i="1"/>
  <c r="X107" i="1"/>
  <c r="X109" i="1"/>
  <c r="X110" i="1"/>
  <c r="X142" i="1"/>
  <c r="X167" i="1"/>
  <c r="X168" i="1"/>
  <c r="X169" i="1"/>
  <c r="X184" i="1"/>
  <c r="X193" i="1"/>
  <c r="X204" i="1"/>
  <c r="X205" i="1"/>
  <c r="X206" i="1"/>
  <c r="X207" i="1"/>
  <c r="X208" i="1"/>
  <c r="X209" i="1"/>
  <c r="X211" i="1"/>
  <c r="X214" i="1"/>
  <c r="X213" i="1"/>
  <c r="X225" i="1"/>
  <c r="X228" i="1"/>
  <c r="X233" i="1"/>
  <c r="X236" i="1"/>
  <c r="X246" i="1"/>
  <c r="X242" i="1"/>
  <c r="X247" i="1"/>
  <c r="X285" i="1"/>
  <c r="X284" i="1"/>
  <c r="X275" i="1"/>
  <c r="X296" i="1"/>
  <c r="W296" i="1"/>
  <c r="X303" i="1"/>
  <c r="X302" i="1"/>
  <c r="X301" i="1"/>
  <c r="X320" i="1"/>
  <c r="X329" i="1"/>
  <c r="X328" i="1"/>
  <c r="X334" i="1"/>
  <c r="X104" i="1"/>
  <c r="X210" i="1"/>
  <c r="X245" i="1"/>
  <c r="X243" i="1"/>
  <c r="X113" i="1"/>
  <c r="X114" i="1"/>
  <c r="X127" i="1"/>
  <c r="X132" i="1"/>
  <c r="X159" i="1"/>
  <c r="X191" i="1"/>
  <c r="X192" i="1"/>
  <c r="X226" i="1"/>
  <c r="X227" i="1"/>
  <c r="X230" i="1"/>
  <c r="X231" i="1"/>
  <c r="X234" i="1"/>
  <c r="X235" i="1"/>
  <c r="X238" i="1"/>
  <c r="X277" i="1"/>
  <c r="X316" i="1"/>
  <c r="X318" i="1"/>
  <c r="X324" i="1"/>
  <c r="X332" i="1"/>
  <c r="X331" i="1"/>
  <c r="X244" i="1"/>
  <c r="X203" i="1"/>
  <c r="X105" i="1"/>
  <c r="X137" i="1"/>
  <c r="X147" i="1"/>
  <c r="X151" i="1"/>
  <c r="X172" i="1"/>
  <c r="X171" i="1"/>
  <c r="X199" i="1"/>
  <c r="X198" i="1"/>
  <c r="X202" i="1"/>
  <c r="X220" i="1"/>
  <c r="X262" i="1"/>
  <c r="X261" i="1"/>
  <c r="X260" i="1"/>
  <c r="X259" i="1"/>
  <c r="X258" i="1"/>
  <c r="X257" i="1"/>
  <c r="X256" i="1"/>
  <c r="X254" i="1"/>
  <c r="X253" i="1"/>
  <c r="X252" i="1"/>
  <c r="X251" i="1"/>
  <c r="X250" i="1"/>
  <c r="X249" i="1"/>
  <c r="X269" i="1"/>
  <c r="X268" i="1"/>
  <c r="X267" i="1"/>
  <c r="X266" i="1"/>
  <c r="X265" i="1"/>
  <c r="X264" i="1"/>
  <c r="X270" i="1"/>
  <c r="X273" i="1"/>
  <c r="X272" i="1"/>
  <c r="X288" i="1"/>
  <c r="X294" i="1"/>
  <c r="X293" i="1"/>
  <c r="X306" i="1"/>
  <c r="X313" i="1"/>
  <c r="X314" i="1"/>
  <c r="X326" i="1"/>
  <c r="X342" i="1"/>
  <c r="X341" i="1"/>
  <c r="X347" i="1"/>
  <c r="U229" i="1"/>
  <c r="S229" i="1"/>
  <c r="W80" i="1"/>
  <c r="X80" i="1"/>
  <c r="X108" i="1"/>
  <c r="W26" i="1"/>
  <c r="X26" i="1"/>
  <c r="W244" i="1"/>
  <c r="W99" i="1"/>
  <c r="X99" i="1"/>
  <c r="X76" i="1"/>
  <c r="X92" i="1"/>
  <c r="X95" i="1"/>
  <c r="X96" i="1"/>
  <c r="X100" i="1"/>
  <c r="X103" i="1"/>
  <c r="X128" i="1"/>
  <c r="X145" i="1"/>
  <c r="X163" i="1"/>
  <c r="X197" i="1"/>
  <c r="X196" i="1"/>
  <c r="X200" i="1"/>
  <c r="X201" i="1"/>
  <c r="X218" i="1"/>
  <c r="X290" i="1"/>
  <c r="X287" i="1"/>
  <c r="X292" i="1"/>
  <c r="X308" i="1"/>
  <c r="X307" i="1"/>
  <c r="X311" i="1"/>
  <c r="X312" i="1"/>
  <c r="X338" i="1"/>
  <c r="X339" i="1"/>
  <c r="X345" i="1"/>
  <c r="X344" i="1"/>
  <c r="X67" i="1"/>
  <c r="W78" i="1"/>
  <c r="W90" i="1"/>
  <c r="W203" i="1"/>
  <c r="X90" i="1"/>
  <c r="U232" i="1"/>
  <c r="S232" i="1"/>
  <c r="V232" i="1"/>
  <c r="X232" i="1" s="1"/>
  <c r="W245" i="1"/>
  <c r="T229" i="1"/>
  <c r="V229" i="1"/>
  <c r="W243" i="1"/>
  <c r="V136" i="1"/>
  <c r="W328" i="1"/>
  <c r="V122" i="1"/>
  <c r="S175" i="1"/>
  <c r="T189" i="1"/>
  <c r="W298" i="1"/>
  <c r="W339" i="1"/>
  <c r="W345" i="1"/>
  <c r="V280" i="1"/>
  <c r="W84" i="1"/>
  <c r="W171" i="1"/>
  <c r="W259" i="1"/>
  <c r="W258" i="1"/>
  <c r="W257" i="1"/>
  <c r="U136" i="1"/>
  <c r="W81" i="1"/>
  <c r="U126" i="1"/>
  <c r="S131" i="1"/>
  <c r="U129" i="1"/>
  <c r="T136" i="1"/>
  <c r="S280" i="1"/>
  <c r="W104" i="1"/>
  <c r="T125" i="1"/>
  <c r="S125" i="1"/>
  <c r="U178" i="1"/>
  <c r="T280" i="1"/>
  <c r="T165" i="1"/>
  <c r="S179" i="1"/>
  <c r="W273" i="1"/>
  <c r="W302" i="1"/>
  <c r="V135" i="1"/>
  <c r="T215" i="1"/>
  <c r="W267" i="1"/>
  <c r="V304" i="1"/>
  <c r="U130" i="1"/>
  <c r="V129" i="1"/>
  <c r="T149" i="1"/>
  <c r="T148" i="1"/>
  <c r="S152" i="1"/>
  <c r="V180" i="1"/>
  <c r="U221" i="1"/>
  <c r="W238" i="1"/>
  <c r="W242" i="1"/>
  <c r="W265" i="1"/>
  <c r="W264" i="1"/>
  <c r="W270" i="1"/>
  <c r="U281" i="1"/>
  <c r="W277" i="1"/>
  <c r="V130" i="1"/>
  <c r="U134" i="1"/>
  <c r="U133" i="1"/>
  <c r="W308" i="1"/>
  <c r="W210" i="1"/>
  <c r="T131" i="1"/>
  <c r="U135" i="1"/>
  <c r="V134" i="1"/>
  <c r="U158" i="1"/>
  <c r="U175" i="1"/>
  <c r="T164" i="1"/>
  <c r="V123" i="1"/>
  <c r="V119" i="1"/>
  <c r="T178" i="1"/>
  <c r="V221" i="1"/>
  <c r="W107" i="1"/>
  <c r="S116" i="1"/>
  <c r="V120" i="1"/>
  <c r="S139" i="1"/>
  <c r="T141" i="1"/>
  <c r="S158" i="1"/>
  <c r="T182" i="1"/>
  <c r="V186" i="1"/>
  <c r="U215" i="1"/>
  <c r="U219" i="1"/>
  <c r="W251" i="1"/>
  <c r="W301" i="1"/>
  <c r="U117" i="1"/>
  <c r="V121" i="1"/>
  <c r="V131" i="1"/>
  <c r="X131" i="1" s="1"/>
  <c r="U152" i="1"/>
  <c r="U150" i="1"/>
  <c r="U162" i="1"/>
  <c r="T175" i="1"/>
  <c r="V174" i="1"/>
  <c r="T179" i="1"/>
  <c r="V177" i="1"/>
  <c r="U186" i="1"/>
  <c r="W184" i="1"/>
  <c r="W201" i="1"/>
  <c r="W263" i="1"/>
  <c r="W284" i="1"/>
  <c r="W287" i="1"/>
  <c r="W310" i="1"/>
  <c r="W312" i="1"/>
  <c r="W334" i="1"/>
  <c r="T217" i="1"/>
  <c r="U217" i="1"/>
  <c r="U123" i="1"/>
  <c r="U122" i="1"/>
  <c r="U121" i="1"/>
  <c r="U120" i="1"/>
  <c r="U119" i="1"/>
  <c r="S140" i="1"/>
  <c r="S150" i="1"/>
  <c r="T150" i="1"/>
  <c r="S162" i="1"/>
  <c r="S178" i="1"/>
  <c r="U185" i="1"/>
  <c r="S185" i="1"/>
  <c r="T185" i="1"/>
  <c r="X185" i="1" s="1"/>
  <c r="V188" i="1"/>
  <c r="V224" i="1"/>
  <c r="W230" i="1"/>
  <c r="U283" i="1"/>
  <c r="S283" i="1"/>
  <c r="V283" i="1"/>
  <c r="T283" i="1"/>
  <c r="V336" i="1"/>
  <c r="X336" i="1" s="1"/>
  <c r="U160" i="1"/>
  <c r="S160" i="1"/>
  <c r="T160" i="1"/>
  <c r="X160" i="1" s="1"/>
  <c r="T194" i="1"/>
  <c r="V217" i="1"/>
  <c r="W231" i="1"/>
  <c r="S240" i="1"/>
  <c r="T240" i="1"/>
  <c r="V240" i="1"/>
  <c r="U240" i="1"/>
  <c r="W290" i="1"/>
  <c r="W311" i="1"/>
  <c r="T140" i="1"/>
  <c r="V140" i="1"/>
  <c r="W132" i="1"/>
  <c r="U140" i="1"/>
  <c r="V150" i="1"/>
  <c r="T158" i="1"/>
  <c r="V158" i="1"/>
  <c r="S187" i="1"/>
  <c r="V187" i="1"/>
  <c r="W191" i="1"/>
  <c r="S221" i="1"/>
  <c r="T221" i="1"/>
  <c r="S217" i="1"/>
  <c r="W252" i="1"/>
  <c r="U279" i="1"/>
  <c r="S279" i="1"/>
  <c r="V279" i="1"/>
  <c r="T279" i="1"/>
  <c r="S129" i="1"/>
  <c r="T135" i="1"/>
  <c r="T133" i="1"/>
  <c r="W169" i="1"/>
  <c r="V189" i="1"/>
  <c r="W197" i="1"/>
  <c r="W207" i="1"/>
  <c r="W220" i="1"/>
  <c r="W225" i="1"/>
  <c r="W227" i="1"/>
  <c r="W228" i="1"/>
  <c r="W233" i="1"/>
  <c r="W235" i="1"/>
  <c r="W275" i="1"/>
  <c r="W288" i="1"/>
  <c r="W322" i="1"/>
  <c r="W324" i="1"/>
  <c r="W342" i="1"/>
  <c r="S336" i="1"/>
  <c r="S130" i="1"/>
  <c r="T134" i="1"/>
  <c r="T153" i="1"/>
  <c r="T152" i="1"/>
  <c r="V182" i="1"/>
  <c r="W108" i="1"/>
  <c r="U116" i="1"/>
  <c r="T123" i="1"/>
  <c r="T122" i="1"/>
  <c r="T120" i="1"/>
  <c r="T119" i="1"/>
  <c r="V125" i="1"/>
  <c r="S135" i="1"/>
  <c r="S134" i="1"/>
  <c r="V133" i="1"/>
  <c r="W143" i="1"/>
  <c r="W142" i="1"/>
  <c r="T155" i="1"/>
  <c r="V152" i="1"/>
  <c r="U164" i="1"/>
  <c r="V175" i="1"/>
  <c r="U179" i="1"/>
  <c r="T177" i="1"/>
  <c r="U182" i="1"/>
  <c r="U189" i="1"/>
  <c r="W200" i="1"/>
  <c r="W202" i="1"/>
  <c r="W214" i="1"/>
  <c r="W213" i="1"/>
  <c r="V215" i="1"/>
  <c r="X215" i="1" s="1"/>
  <c r="W250" i="1"/>
  <c r="W249" i="1"/>
  <c r="W272" i="1"/>
  <c r="V281" i="1"/>
  <c r="W292" i="1"/>
  <c r="T336" i="1"/>
  <c r="W347" i="1"/>
  <c r="U118" i="1"/>
  <c r="V118" i="1"/>
  <c r="S118" i="1"/>
  <c r="W87" i="1"/>
  <c r="S117" i="1"/>
  <c r="V149" i="1"/>
  <c r="U154" i="1"/>
  <c r="S154" i="1"/>
  <c r="V154" i="1"/>
  <c r="S278" i="1"/>
  <c r="T278" i="1"/>
  <c r="U278" i="1"/>
  <c r="V278" i="1"/>
  <c r="W92" i="1"/>
  <c r="V116" i="1"/>
  <c r="U149" i="1"/>
  <c r="U155" i="1"/>
  <c r="T154" i="1"/>
  <c r="W127" i="1"/>
  <c r="S241" i="1"/>
  <c r="T241" i="1"/>
  <c r="U241" i="1"/>
  <c r="V241" i="1"/>
  <c r="W303" i="1"/>
  <c r="W82" i="1"/>
  <c r="W86" i="1"/>
  <c r="T118" i="1"/>
  <c r="U148" i="1"/>
  <c r="S148" i="1"/>
  <c r="V148" i="1"/>
  <c r="V155" i="1"/>
  <c r="U153" i="1"/>
  <c r="S153" i="1"/>
  <c r="V153" i="1"/>
  <c r="X153" i="1" s="1"/>
  <c r="W94" i="1"/>
  <c r="W101" i="1"/>
  <c r="V117" i="1"/>
  <c r="V126" i="1"/>
  <c r="S126" i="1"/>
  <c r="T126" i="1"/>
  <c r="T139" i="1"/>
  <c r="V139" i="1"/>
  <c r="U139" i="1"/>
  <c r="U141" i="1"/>
  <c r="S141" i="1"/>
  <c r="V141" i="1"/>
  <c r="U165" i="1"/>
  <c r="V165" i="1"/>
  <c r="S165" i="1"/>
  <c r="T121" i="1"/>
  <c r="S161" i="1"/>
  <c r="T161" i="1"/>
  <c r="S188" i="1"/>
  <c r="U188" i="1"/>
  <c r="V223" i="1"/>
  <c r="S223" i="1"/>
  <c r="T223" i="1"/>
  <c r="W268" i="1"/>
  <c r="W69" i="1"/>
  <c r="W97" i="1"/>
  <c r="T117" i="1"/>
  <c r="T116" i="1"/>
  <c r="S123" i="1"/>
  <c r="S122" i="1"/>
  <c r="S121" i="1"/>
  <c r="S120" i="1"/>
  <c r="S119" i="1"/>
  <c r="U131" i="1"/>
  <c r="T130" i="1"/>
  <c r="T129" i="1"/>
  <c r="S133" i="1"/>
  <c r="W137" i="1"/>
  <c r="S149" i="1"/>
  <c r="W147" i="1"/>
  <c r="S155" i="1"/>
  <c r="W159" i="1"/>
  <c r="T162" i="1"/>
  <c r="W168" i="1"/>
  <c r="T174" i="1"/>
  <c r="S180" i="1"/>
  <c r="T180" i="1"/>
  <c r="U180" i="1"/>
  <c r="T188" i="1"/>
  <c r="U222" i="1"/>
  <c r="V222" i="1"/>
  <c r="S222" i="1"/>
  <c r="W255" i="1"/>
  <c r="W294" i="1"/>
  <c r="T304" i="1"/>
  <c r="U304" i="1"/>
  <c r="S174" i="1"/>
  <c r="U174" i="1"/>
  <c r="S224" i="1"/>
  <c r="T224" i="1"/>
  <c r="U224" i="1"/>
  <c r="W246" i="1"/>
  <c r="W289" i="1"/>
  <c r="W102" i="1"/>
  <c r="W113" i="1"/>
  <c r="W128" i="1"/>
  <c r="W146" i="1"/>
  <c r="W145" i="1"/>
  <c r="W151" i="1"/>
  <c r="W157" i="1"/>
  <c r="V162" i="1"/>
  <c r="V161" i="1"/>
  <c r="V164" i="1"/>
  <c r="S164" i="1"/>
  <c r="S177" i="1"/>
  <c r="U177" i="1"/>
  <c r="S181" i="1"/>
  <c r="T181" i="1"/>
  <c r="U181" i="1"/>
  <c r="S190" i="1"/>
  <c r="T190" i="1"/>
  <c r="W190" i="1" s="1"/>
  <c r="U190" i="1"/>
  <c r="W192" i="1"/>
  <c r="U194" i="1"/>
  <c r="V194" i="1"/>
  <c r="X194" i="1" s="1"/>
  <c r="S194" i="1"/>
  <c r="U223" i="1"/>
  <c r="T222" i="1"/>
  <c r="V219" i="1"/>
  <c r="S219" i="1"/>
  <c r="T219" i="1"/>
  <c r="S282" i="1"/>
  <c r="T282" i="1"/>
  <c r="W282" i="1" s="1"/>
  <c r="U282" i="1"/>
  <c r="S304" i="1"/>
  <c r="W306" i="1"/>
  <c r="V179" i="1"/>
  <c r="V178" i="1"/>
  <c r="S182" i="1"/>
  <c r="T186" i="1"/>
  <c r="S189" i="1"/>
  <c r="T187" i="1"/>
  <c r="W193" i="1"/>
  <c r="W196" i="1"/>
  <c r="W199" i="1"/>
  <c r="W198" i="1"/>
  <c r="W211" i="1"/>
  <c r="S215" i="1"/>
  <c r="W218" i="1"/>
  <c r="W234" i="1"/>
  <c r="W262" i="1"/>
  <c r="W261" i="1"/>
  <c r="W256" i="1"/>
  <c r="W266" i="1"/>
  <c r="W271" i="1"/>
  <c r="T281" i="1"/>
  <c r="W300" i="1"/>
  <c r="W309" i="1"/>
  <c r="W313" i="1"/>
  <c r="W314" i="1"/>
  <c r="W316" i="1"/>
  <c r="W326" i="1"/>
  <c r="W329" i="1"/>
  <c r="W332" i="1"/>
  <c r="W331" i="1"/>
  <c r="U336" i="1"/>
  <c r="W338" i="1"/>
  <c r="W341" i="1"/>
  <c r="W163" i="1"/>
  <c r="W167" i="1"/>
  <c r="W172" i="1"/>
  <c r="W204" i="1"/>
  <c r="W237" i="1"/>
  <c r="W247" i="1"/>
  <c r="W254" i="1"/>
  <c r="W253" i="1"/>
  <c r="W269" i="1"/>
  <c r="W285" i="1"/>
  <c r="W293" i="1"/>
  <c r="W318" i="1"/>
  <c r="W320" i="1"/>
  <c r="W344" i="1"/>
  <c r="W226" i="1"/>
  <c r="W276" i="1"/>
  <c r="W307" i="1"/>
  <c r="W260" i="1"/>
  <c r="W236" i="1"/>
  <c r="W209" i="1"/>
  <c r="W208" i="1"/>
  <c r="W206" i="1"/>
  <c r="W205" i="1"/>
  <c r="W114" i="1"/>
  <c r="W111" i="1"/>
  <c r="W110" i="1"/>
  <c r="W109" i="1"/>
  <c r="W105" i="1"/>
  <c r="W103" i="1"/>
  <c r="W100" i="1"/>
  <c r="W98" i="1"/>
  <c r="W96" i="1"/>
  <c r="W95" i="1"/>
  <c r="W93" i="1"/>
  <c r="W88" i="1"/>
  <c r="W85" i="1"/>
  <c r="W77" i="1"/>
  <c r="T74" i="1"/>
  <c r="W64" i="1"/>
  <c r="W76" i="1"/>
  <c r="U74" i="1"/>
  <c r="V74" i="1"/>
  <c r="W66" i="1"/>
  <c r="W70" i="1"/>
  <c r="W72" i="1"/>
  <c r="W68" i="1"/>
  <c r="W71" i="1"/>
  <c r="W63" i="1"/>
  <c r="W62" i="1"/>
  <c r="W61" i="1"/>
  <c r="V59" i="1"/>
  <c r="U59" i="1"/>
  <c r="T59" i="1"/>
  <c r="S59" i="1"/>
  <c r="V58" i="1"/>
  <c r="U58" i="1"/>
  <c r="T58" i="1"/>
  <c r="S58" i="1"/>
  <c r="V57" i="1"/>
  <c r="U57" i="1"/>
  <c r="T57" i="1"/>
  <c r="S57" i="1"/>
  <c r="V56" i="1"/>
  <c r="U56" i="1"/>
  <c r="T56" i="1"/>
  <c r="S56" i="1"/>
  <c r="V55" i="1"/>
  <c r="U55" i="1"/>
  <c r="T55" i="1"/>
  <c r="S55" i="1"/>
  <c r="V54" i="1"/>
  <c r="U54" i="1"/>
  <c r="T54" i="1"/>
  <c r="S54" i="1"/>
  <c r="V53" i="1"/>
  <c r="U53" i="1"/>
  <c r="T53" i="1"/>
  <c r="S53" i="1"/>
  <c r="V52" i="1"/>
  <c r="U52" i="1"/>
  <c r="T52" i="1"/>
  <c r="S52" i="1"/>
  <c r="V51" i="1"/>
  <c r="U51" i="1"/>
  <c r="T51" i="1"/>
  <c r="S51" i="1"/>
  <c r="V50" i="1"/>
  <c r="U50" i="1"/>
  <c r="T50" i="1"/>
  <c r="S50" i="1"/>
  <c r="V49" i="1"/>
  <c r="U49" i="1"/>
  <c r="T49" i="1"/>
  <c r="S49" i="1"/>
  <c r="V48" i="1"/>
  <c r="U48" i="1"/>
  <c r="T48" i="1"/>
  <c r="S48" i="1"/>
  <c r="V47" i="1"/>
  <c r="U47" i="1"/>
  <c r="T47" i="1"/>
  <c r="S47" i="1"/>
  <c r="V45" i="1"/>
  <c r="U45" i="1"/>
  <c r="T45" i="1"/>
  <c r="S45" i="1"/>
  <c r="V44" i="1"/>
  <c r="U44" i="1"/>
  <c r="T44" i="1"/>
  <c r="S44" i="1"/>
  <c r="V43" i="1"/>
  <c r="U43" i="1"/>
  <c r="T43" i="1"/>
  <c r="S43" i="1"/>
  <c r="V42" i="1"/>
  <c r="U42" i="1"/>
  <c r="T42" i="1"/>
  <c r="S42" i="1"/>
  <c r="V41" i="1"/>
  <c r="U41" i="1"/>
  <c r="T41" i="1"/>
  <c r="S41" i="1"/>
  <c r="V40" i="1"/>
  <c r="U40" i="1"/>
  <c r="T40" i="1"/>
  <c r="S40" i="1"/>
  <c r="V39" i="1"/>
  <c r="U39" i="1"/>
  <c r="T39" i="1"/>
  <c r="S39" i="1"/>
  <c r="V38" i="1"/>
  <c r="U38" i="1"/>
  <c r="T38" i="1"/>
  <c r="S38" i="1"/>
  <c r="V37" i="1"/>
  <c r="U37" i="1"/>
  <c r="T37" i="1"/>
  <c r="S37" i="1"/>
  <c r="V36" i="1"/>
  <c r="U36" i="1"/>
  <c r="T36" i="1"/>
  <c r="S36" i="1"/>
  <c r="V35" i="1"/>
  <c r="U35" i="1"/>
  <c r="T35" i="1"/>
  <c r="S35" i="1"/>
  <c r="V34" i="1"/>
  <c r="U34" i="1"/>
  <c r="T34" i="1"/>
  <c r="S34" i="1"/>
  <c r="V33" i="1"/>
  <c r="U33" i="1"/>
  <c r="T33" i="1"/>
  <c r="S33" i="1"/>
  <c r="V32" i="1"/>
  <c r="U32" i="1"/>
  <c r="T32" i="1"/>
  <c r="S32" i="1"/>
  <c r="V31" i="1"/>
  <c r="U31" i="1"/>
  <c r="T31" i="1"/>
  <c r="S31" i="1"/>
  <c r="V30" i="1"/>
  <c r="U30" i="1"/>
  <c r="T30" i="1"/>
  <c r="S30" i="1"/>
  <c r="V29" i="1"/>
  <c r="U29" i="1"/>
  <c r="T29" i="1"/>
  <c r="S29" i="1"/>
  <c r="V28" i="1"/>
  <c r="U28" i="1"/>
  <c r="T28" i="1"/>
  <c r="S28" i="1"/>
  <c r="V27" i="1"/>
  <c r="U27" i="1"/>
  <c r="T27" i="1"/>
  <c r="S27" i="1"/>
  <c r="H27" i="1"/>
  <c r="V25" i="1"/>
  <c r="U25" i="1"/>
  <c r="T25" i="1"/>
  <c r="S25" i="1"/>
  <c r="H25" i="1"/>
  <c r="B5" i="1"/>
  <c r="B6" i="1"/>
  <c r="B7" i="1"/>
  <c r="B8" i="1"/>
  <c r="B9" i="1"/>
  <c r="B10" i="1"/>
  <c r="B11" i="1"/>
  <c r="B12" i="1"/>
  <c r="B13" i="1"/>
  <c r="B14" i="1"/>
  <c r="B15" i="1"/>
  <c r="B16" i="1"/>
  <c r="B17" i="1"/>
  <c r="B18" i="1"/>
  <c r="B19" i="1"/>
  <c r="B20" i="1"/>
  <c r="B21" i="1"/>
  <c r="B22" i="1"/>
  <c r="B23" i="1"/>
  <c r="B4" i="1"/>
  <c r="V23" i="1"/>
  <c r="U23" i="1"/>
  <c r="T23" i="1"/>
  <c r="S23" i="1"/>
  <c r="V22" i="1"/>
  <c r="U22" i="1"/>
  <c r="T22" i="1"/>
  <c r="S22" i="1"/>
  <c r="V21" i="1"/>
  <c r="U21" i="1"/>
  <c r="T21" i="1"/>
  <c r="S21" i="1"/>
  <c r="V20" i="1"/>
  <c r="U20" i="1"/>
  <c r="T20" i="1"/>
  <c r="S20" i="1"/>
  <c r="V19" i="1"/>
  <c r="U19" i="1"/>
  <c r="T19" i="1"/>
  <c r="S19" i="1"/>
  <c r="V18" i="1"/>
  <c r="U18" i="1"/>
  <c r="T18" i="1"/>
  <c r="S18" i="1"/>
  <c r="V17" i="1"/>
  <c r="U17" i="1"/>
  <c r="T17" i="1"/>
  <c r="S17" i="1"/>
  <c r="V16" i="1"/>
  <c r="U16" i="1"/>
  <c r="T16" i="1"/>
  <c r="S16" i="1"/>
  <c r="V15" i="1"/>
  <c r="U15" i="1"/>
  <c r="T15" i="1"/>
  <c r="S15" i="1"/>
  <c r="V14" i="1"/>
  <c r="U14" i="1"/>
  <c r="T14" i="1"/>
  <c r="S14" i="1"/>
  <c r="V13" i="1"/>
  <c r="U13" i="1"/>
  <c r="T13" i="1"/>
  <c r="S13" i="1"/>
  <c r="V12" i="1"/>
  <c r="U12" i="1"/>
  <c r="T12" i="1"/>
  <c r="S12" i="1"/>
  <c r="V11" i="1"/>
  <c r="U11" i="1"/>
  <c r="T11" i="1"/>
  <c r="S11" i="1"/>
  <c r="V10" i="1"/>
  <c r="U10" i="1"/>
  <c r="T10" i="1"/>
  <c r="S10" i="1"/>
  <c r="V9" i="1"/>
  <c r="U9" i="1"/>
  <c r="T9" i="1"/>
  <c r="S9" i="1"/>
  <c r="V8" i="1"/>
  <c r="U8" i="1"/>
  <c r="T8" i="1"/>
  <c r="S8" i="1"/>
  <c r="V7" i="1"/>
  <c r="U7" i="1"/>
  <c r="T7" i="1"/>
  <c r="S7" i="1"/>
  <c r="V6" i="1"/>
  <c r="U6" i="1"/>
  <c r="T6" i="1"/>
  <c r="S6" i="1"/>
  <c r="H6" i="1"/>
  <c r="V5" i="1"/>
  <c r="U5" i="1"/>
  <c r="T5" i="1"/>
  <c r="S5" i="1"/>
  <c r="V4" i="1"/>
  <c r="U4" i="1"/>
  <c r="T4" i="1"/>
  <c r="S4" i="1"/>
  <c r="X74" i="1" l="1"/>
  <c r="W180" i="1"/>
  <c r="W136" i="1"/>
  <c r="X182" i="1"/>
  <c r="X28" i="1"/>
  <c r="X29" i="1"/>
  <c r="X30" i="1"/>
  <c r="X31" i="1"/>
  <c r="X32" i="1"/>
  <c r="X33" i="1"/>
  <c r="X34" i="1"/>
  <c r="X35" i="1"/>
  <c r="X36" i="1"/>
  <c r="X37" i="1"/>
  <c r="X39" i="1"/>
  <c r="X41" i="1"/>
  <c r="X161" i="1"/>
  <c r="X23" i="1"/>
  <c r="X148" i="1"/>
  <c r="X125" i="1"/>
  <c r="X178" i="1"/>
  <c r="X154" i="1"/>
  <c r="X158" i="1"/>
  <c r="X179" i="1"/>
  <c r="X221" i="1"/>
  <c r="X135" i="1"/>
  <c r="X122" i="1"/>
  <c r="X229" i="1"/>
  <c r="X5" i="1"/>
  <c r="X47" i="1"/>
  <c r="X48" i="1"/>
  <c r="X49" i="1"/>
  <c r="X50" i="1"/>
  <c r="X51" i="1"/>
  <c r="X52" i="1"/>
  <c r="X53" i="1"/>
  <c r="X54" i="1"/>
  <c r="X55" i="1"/>
  <c r="X56" i="1"/>
  <c r="X57" i="1"/>
  <c r="X58" i="1"/>
  <c r="X59" i="1"/>
  <c r="X223" i="1"/>
  <c r="X155" i="1"/>
  <c r="X241" i="1"/>
  <c r="X116" i="1"/>
  <c r="X279" i="1"/>
  <c r="X187" i="1"/>
  <c r="X150" i="1"/>
  <c r="X240" i="1"/>
  <c r="X7" i="1"/>
  <c r="X8" i="1"/>
  <c r="X9" i="1"/>
  <c r="X10" i="1"/>
  <c r="X11" i="1"/>
  <c r="X12" i="1"/>
  <c r="X13" i="1"/>
  <c r="X14" i="1"/>
  <c r="X15" i="1"/>
  <c r="X17" i="1"/>
  <c r="X18" i="1"/>
  <c r="W129" i="1"/>
  <c r="X141" i="1"/>
  <c r="X280" i="1"/>
  <c r="X126" i="1"/>
  <c r="X149" i="1"/>
  <c r="X136" i="1"/>
  <c r="X282" i="1"/>
  <c r="W217" i="1"/>
  <c r="X217" i="1"/>
  <c r="X186" i="1"/>
  <c r="X6" i="1"/>
  <c r="X16" i="1"/>
  <c r="X19" i="1"/>
  <c r="X20" i="1"/>
  <c r="X21" i="1"/>
  <c r="X22" i="1"/>
  <c r="X162" i="1"/>
  <c r="X139" i="1"/>
  <c r="X118" i="1"/>
  <c r="X152" i="1"/>
  <c r="X133" i="1"/>
  <c r="X177" i="1"/>
  <c r="X121" i="1"/>
  <c r="X120" i="1"/>
  <c r="X304" i="1"/>
  <c r="W232" i="1"/>
  <c r="X188" i="1"/>
  <c r="W181" i="1"/>
  <c r="X181" i="1"/>
  <c r="X222" i="1"/>
  <c r="X117" i="1"/>
  <c r="X278" i="1"/>
  <c r="X281" i="1"/>
  <c r="W189" i="1"/>
  <c r="X189" i="1"/>
  <c r="X119" i="1"/>
  <c r="X130" i="1"/>
  <c r="X190" i="1"/>
  <c r="X25" i="1"/>
  <c r="X27" i="1"/>
  <c r="X38" i="1"/>
  <c r="X40" i="1"/>
  <c r="X42" i="1"/>
  <c r="X43" i="1"/>
  <c r="X44" i="1"/>
  <c r="X45" i="1"/>
  <c r="X219" i="1"/>
  <c r="X164" i="1"/>
  <c r="X165" i="1"/>
  <c r="X175" i="1"/>
  <c r="X140" i="1"/>
  <c r="X283" i="1"/>
  <c r="X224" i="1"/>
  <c r="X174" i="1"/>
  <c r="X123" i="1"/>
  <c r="X134" i="1"/>
  <c r="X180" i="1"/>
  <c r="X129" i="1"/>
  <c r="W125" i="1"/>
  <c r="W135" i="1"/>
  <c r="W229" i="1"/>
  <c r="W177" i="1"/>
  <c r="W187" i="1"/>
  <c r="W194" i="1"/>
  <c r="W182" i="1"/>
  <c r="W120" i="1"/>
  <c r="W280" i="1"/>
  <c r="W164" i="1"/>
  <c r="W165" i="1"/>
  <c r="W121" i="1"/>
  <c r="W122" i="1"/>
  <c r="W175" i="1"/>
  <c r="W219" i="1"/>
  <c r="W155" i="1"/>
  <c r="W221" i="1"/>
  <c r="W33" i="1"/>
  <c r="W35" i="1"/>
  <c r="W51" i="1"/>
  <c r="W54" i="1"/>
  <c r="W185" i="1"/>
  <c r="W179" i="1"/>
  <c r="W131" i="1"/>
  <c r="W186" i="1"/>
  <c r="W123" i="1"/>
  <c r="W134" i="1"/>
  <c r="W160" i="1"/>
  <c r="W140" i="1"/>
  <c r="W119" i="1"/>
  <c r="W174" i="1"/>
  <c r="W148" i="1"/>
  <c r="W283" i="1"/>
  <c r="W152" i="1"/>
  <c r="W224" i="1"/>
  <c r="W304" i="1"/>
  <c r="W130" i="1"/>
  <c r="W154" i="1"/>
  <c r="W133" i="1"/>
  <c r="W279" i="1"/>
  <c r="W158" i="1"/>
  <c r="W336" i="1"/>
  <c r="W150" i="1"/>
  <c r="W240" i="1"/>
  <c r="W281" i="1"/>
  <c r="W215" i="1"/>
  <c r="W161" i="1"/>
  <c r="W118" i="1"/>
  <c r="W139" i="1"/>
  <c r="W27" i="1"/>
  <c r="W162" i="1"/>
  <c r="W126" i="1"/>
  <c r="W278" i="1"/>
  <c r="W38" i="1"/>
  <c r="W222" i="1"/>
  <c r="W223" i="1"/>
  <c r="W188" i="1"/>
  <c r="W241" i="1"/>
  <c r="W116" i="1"/>
  <c r="W178" i="1"/>
  <c r="W117" i="1"/>
  <c r="W141" i="1"/>
  <c r="W149" i="1"/>
  <c r="W153" i="1"/>
  <c r="W43" i="1"/>
  <c r="W49" i="1"/>
  <c r="W31" i="1"/>
  <c r="W48" i="1"/>
  <c r="W59" i="1"/>
  <c r="W74" i="1"/>
  <c r="W25" i="1"/>
  <c r="W29" i="1"/>
  <c r="W34" i="1"/>
  <c r="W39" i="1"/>
  <c r="W55" i="1"/>
  <c r="W58" i="1"/>
  <c r="W32" i="1"/>
  <c r="W36" i="1"/>
  <c r="W47" i="1"/>
  <c r="W56" i="1"/>
  <c r="W28" i="1"/>
  <c r="W37" i="1"/>
  <c r="W53" i="1"/>
  <c r="W57" i="1"/>
  <c r="W52" i="1"/>
  <c r="W50" i="1"/>
  <c r="W45" i="1"/>
  <c r="W44" i="1"/>
  <c r="W42" i="1"/>
  <c r="W41" i="1"/>
  <c r="W40" i="1"/>
  <c r="W30" i="1"/>
  <c r="W17" i="1"/>
  <c r="W15" i="1"/>
  <c r="W18" i="1"/>
  <c r="W19" i="1"/>
  <c r="W20" i="1"/>
  <c r="W22" i="1"/>
  <c r="W23" i="1"/>
  <c r="W21" i="1"/>
  <c r="W13" i="1"/>
  <c r="W7" i="1"/>
  <c r="W11" i="1"/>
  <c r="W6" i="1"/>
  <c r="W10" i="1"/>
  <c r="W14" i="1"/>
  <c r="W16" i="1"/>
  <c r="W12" i="1"/>
  <c r="W5" i="1"/>
  <c r="W9" i="1"/>
  <c r="W8" i="1"/>
  <c r="X4" i="1"/>
  <c r="W4" i="1"/>
</calcChain>
</file>

<file path=xl/sharedStrings.xml><?xml version="1.0" encoding="utf-8"?>
<sst xmlns="http://schemas.openxmlformats.org/spreadsheetml/2006/main" count="1899" uniqueCount="604">
  <si>
    <t>ITEM</t>
  </si>
  <si>
    <t>Descrição</t>
  </si>
  <si>
    <t>Grupo-classe</t>
  </si>
  <si>
    <t>Código NUC</t>
  </si>
  <si>
    <t>Unidade de Compra</t>
  </si>
  <si>
    <t>Detalhamento</t>
  </si>
  <si>
    <t>QTD</t>
  </si>
  <si>
    <t>FONTE 1</t>
  </si>
  <si>
    <t>FONTE 2</t>
  </si>
  <si>
    <t>FONTE 3</t>
  </si>
  <si>
    <t>FONTE 4</t>
  </si>
  <si>
    <t>FONTE 5</t>
  </si>
  <si>
    <t>Menor preço</t>
  </si>
  <si>
    <t>Média</t>
  </si>
  <si>
    <t>Mediana</t>
  </si>
  <si>
    <t>Coeficiente de Variação (CV)</t>
  </si>
  <si>
    <t>Preço Máximo Unitário Utilizado</t>
  </si>
  <si>
    <t>Total Unitário</t>
  </si>
  <si>
    <t>(Nome fonte)</t>
  </si>
  <si>
    <t>VALOR</t>
  </si>
  <si>
    <t>PEÇA</t>
  </si>
  <si>
    <t>banco de preços</t>
  </si>
  <si>
    <t xml:space="preserve">BANCO DE PREÇOS </t>
  </si>
  <si>
    <t>indavidas</t>
  </si>
  <si>
    <t>61-12</t>
  </si>
  <si>
    <t>61-16</t>
  </si>
  <si>
    <t>PROLAB</t>
  </si>
  <si>
    <t>FRASCO PARA LABORATÓRIO. Frasco AMBAR, com tampa rosqueada, 500ML.</t>
  </si>
  <si>
    <t>FRASCO PARA LABORATÓRIO. Frasco AMBAR, com tampa rosqueada, 250ML.</t>
  </si>
  <si>
    <t>sinergia científica</t>
  </si>
  <si>
    <t>forlab</t>
  </si>
  <si>
    <t>TERMÔMETRO. QUÍMICO DE VIDRO, Termômetro com enchimento de líquido vermelho. Cobertura amarela. Escala permanente -10 +150 °C</t>
  </si>
  <si>
    <t>tecno ferramentas</t>
  </si>
  <si>
    <t>TERMÔMETRO.QUÍMICO DE VIDRO, Termômetro químico com enchimento de líquido vermelho. escala externa</t>
  </si>
  <si>
    <t xml:space="preserve">CUBA DE VIDRO PARA COLORAÇÃO. PARA COLORAÇÃO DE 30 de Lâminas de microscopia (Lâminas medida padrão de 26x76 mm) com tampa </t>
  </si>
  <si>
    <t>FUNIL PARA LABORATÓRIO. VIDRO, Funil analítico em vidro liso haste curta, diâmetro 100 mm. Capacidade 125 mL</t>
  </si>
  <si>
    <t>lumilabor</t>
  </si>
  <si>
    <t>prolab</t>
  </si>
  <si>
    <t>Tubo de ensaio. De borossilicato para análise de proteína Bruta (micro) com diâmetro externo de aproximadamente 24 mm (compatível com bloco digestor Marconi MA4025) e 250 mm de comprimento, com bojo reforçado dom diâmetro do bojo de 29 mm.</t>
  </si>
  <si>
    <t>net lab</t>
  </si>
  <si>
    <t>linklab</t>
  </si>
  <si>
    <t>Cadinho de porcelana.  para calcinação de amostras com volume interno de 25 mL.</t>
  </si>
  <si>
    <t>loja synth</t>
  </si>
  <si>
    <t>Cadinho de porcelana. para calcinação de amostras com volume interno de 50 mL.</t>
  </si>
  <si>
    <t>PR LABOR</t>
  </si>
  <si>
    <t>FRASCO ERLENMEYER,BOCA ESTREITA,GRADUADO,C/BORDA 125ML,</t>
  </si>
  <si>
    <t>labimport</t>
  </si>
  <si>
    <t>pr labor</t>
  </si>
  <si>
    <t>prlabor</t>
  </si>
  <si>
    <t>Cheeslab</t>
  </si>
  <si>
    <t>biosynesis</t>
  </si>
  <si>
    <t>MM COMÉRCIO</t>
  </si>
  <si>
    <t>netlab</t>
  </si>
  <si>
    <t xml:space="preserve">Frasco reagente graduado com tampa. 500 ml Vidro Borosilicato de Baixa Expansão, Tipo I Classe A </t>
  </si>
  <si>
    <t xml:space="preserve">Frasco reagente graduado com tampa.250ml  Vidro Borosilicato de Baixa Expansão, Tipo I Classe A </t>
  </si>
  <si>
    <t>neobio</t>
  </si>
  <si>
    <t>lojalab</t>
  </si>
  <si>
    <t xml:space="preserve">Frasco reagente graduado com tampa.1000ml  Vidro Borosilicato de Baixa Expansão, Tipo I Classe A </t>
  </si>
  <si>
    <t>mm comercio</t>
  </si>
  <si>
    <t>didatica sp</t>
  </si>
  <si>
    <t>prismalab</t>
  </si>
  <si>
    <t>Funil de Buchner em Aço Inox - 110x70mm (haste Ø25mm)</t>
  </si>
  <si>
    <t>BALAO VOLUMETRICO, EM VIDRO DE 100ML, Balão volumétrico
fabricado em vidro boro classe A com rolha em polipropileno 100 ml.</t>
  </si>
  <si>
    <t>digilab</t>
  </si>
  <si>
    <t>BALAO VOLUMETRICO, EM VIDRO, DE 25ML, Balão volumétrico em vidro
com rolha de polietileno, 25 mL</t>
  </si>
  <si>
    <t>BALAO VOLUMETRICO, EM VIDRO, DE 500ML, Classe A com tampa de polipropileno</t>
  </si>
  <si>
    <t>lojassynth</t>
  </si>
  <si>
    <t>COPO DE BECKER, 1000 ML, Becker de vidro de forma baixa, capacidade de 1000ml. Diâmetro externo de 106mm e Altura de 145mm.</t>
  </si>
  <si>
    <t>COPO DE BECKER, 1000 ML, Copo graduado Copo Becker 1000mL em polipropileno. Volume 1000mL.</t>
  </si>
  <si>
    <t>FUNIL PARA LABORATORIO, FUNIL ANALITICO, FUNIL ANALITICO DE HASTE CURTA - CAPACIDADE 60ML</t>
  </si>
  <si>
    <t>laderquimica</t>
  </si>
  <si>
    <t>BALAO VOLUMETRICO, EM VIDRO, DE 2000ML, Vidro borosilicato</t>
  </si>
  <si>
    <t>COPO DE BECKER FORMA BAIXA em vidro borosilicato de 500 ML</t>
  </si>
  <si>
    <t>dubesser</t>
  </si>
  <si>
    <t>neobioshop</t>
  </si>
  <si>
    <t>COPO DE BECKER EM VIDRO BOROSILICATO; FORMA BAIXA DE 100 mL</t>
  </si>
  <si>
    <t xml:space="preserve"> COPO DE BECKER EM VIDRO BOROSILICATO; FORMA BAIXA DE 2000 Ml</t>
  </si>
  <si>
    <t>COPO DE BECKER, 100 ML,, Copo becker de plástico, 100 mL graduado</t>
  </si>
  <si>
    <t>COPO DE BECKER, 250 ML, Copo Becker 250mL em polipropileno. Volume
250mL.</t>
  </si>
  <si>
    <t>COPO DE BECKER, 250 ML, Copo becker de vidro, faixa baixa, 250 mL</t>
  </si>
  <si>
    <t>ATA UFPR</t>
  </si>
  <si>
    <t>LABSYNTH PRODUTOS PARA LABORATÓRIO LTDA</t>
  </si>
  <si>
    <t>COPO BECKER EM VIDRO 150ml</t>
  </si>
  <si>
    <t>Dessecador em Vidro Completo (Tampa, Luva e Placa de Porcelana) 5 Litros - Diâmetro 21cm Luva 55/38</t>
  </si>
  <si>
    <t xml:space="preserve"> Balão volumétrico fabricado em vidro boro classe A com rolha em polipropileno 10 ml.</t>
  </si>
  <si>
    <t>Balão volumétrico fabricado em vidro boro classe A com rolha em polipropileno 50 ml</t>
  </si>
  <si>
    <t>BASTAO DE VIDRO, 8MM DE DIAMETRO E 30CM DE COMPRIMENTO, Com ponta polida</t>
  </si>
  <si>
    <t xml:space="preserve"> BASTAO DE VIDRO,  5 MM DE DIAMETRO E 30CM DE COMPRIMENTO, Com ponta polida</t>
  </si>
  <si>
    <t>laborglass</t>
  </si>
  <si>
    <t>FRASCO PARA LABORATORIO, KITASSATO, de vidro, 2000 mL</t>
  </si>
  <si>
    <t>FUNIL PARA LABORATORIO, SEPARACAO EM VIDRO, FORMATO PERA 250ML, tipo pêra com rolha de vidro e torneira em teflon de 250 ml</t>
  </si>
  <si>
    <t>PICNOMETRO, EM VIDRO COM TAMPA, PICNOMETRO GAY-LUSSAC
SEM SAIDA LATERAL E SEM TERMÔMETRO 25 ML</t>
  </si>
  <si>
    <t>61-03</t>
  </si>
  <si>
    <t>COPO DE BECKER (GRIFFIN),FORMA BAIXA,GRADUADO - 25ML, Em vidro borosilicato.</t>
  </si>
  <si>
    <t>COPO DE BECKER FORMA BAIXA, CAPACIDADE DE 50ML, Béquer de vidro forma baixa 50 ml</t>
  </si>
  <si>
    <t>ERLENMEYER, EM VIDRO 250ML, FRASCO ERLENMEYER DE VIDRO COM BOCA ESTREITA 250ML</t>
  </si>
  <si>
    <t>FRASCO PARA LABORATORIO, CAPACIDADE DE 250ML, Frasco 8/28 reagente borosilicato incolor graduado com tampa rosca azul. Tampa resiste a temperatura de 140ºC. Com dispositivo dispensador antigotas. Capacidade 250ml.</t>
  </si>
  <si>
    <t>dsyslab</t>
  </si>
  <si>
    <t>scqonline</t>
  </si>
  <si>
    <t>FRASCO PARA LABORATORIO, DE VIDRO, Frasco reagente incolor confeccionado em vidro neutro ou borosilicato 3.3, com tampa de rosca com dispositivo anti-gotas (anel de vedação) em polipropileno. Possui graduação e campo para rotulação. Esterilizável em autoclave a 120 °C, por 20 minutos. 1000mL</t>
  </si>
  <si>
    <t>precisao absoluta</t>
  </si>
  <si>
    <t>FRASCO PARA LABORATORIO, FRASCO REAGENTE VIDRO BORO INCOLOR GRADUADO 100ML, tampa azul</t>
  </si>
  <si>
    <t>h4prospeta</t>
  </si>
  <si>
    <t>sinergia cientifica</t>
  </si>
  <si>
    <t>Frasco de vidro âmbar com tampa de rosca 100 mL</t>
  </si>
  <si>
    <t>oleumvitta</t>
  </si>
  <si>
    <t>Frasco de vidro âmbar com tampa de rosca 50 mL</t>
  </si>
  <si>
    <t>rbrvidros</t>
  </si>
  <si>
    <t>Tubo Nessler Forma Baixa 1 Traço 50 ml</t>
  </si>
  <si>
    <t>Tubo Nessler Forma Baixa 1 Traço 100 ml</t>
  </si>
  <si>
    <t>Butirômetro para Manteiga 90% Completo c/ rolha</t>
  </si>
  <si>
    <t>Butirômetro Gerber para Leite 8% c/ rolha</t>
  </si>
  <si>
    <t>Butirômetro Gerber para Creme 70% c/ rolha</t>
  </si>
  <si>
    <t>sinergiacientifica</t>
  </si>
  <si>
    <t>Butirômetro para Queijo 40% Completo c/ rolha</t>
  </si>
  <si>
    <t>Butirômetro Gerber para Leite em Pó 35% Completo</t>
  </si>
  <si>
    <t>Balão Fundo Chato Com Junta 250ml 24/40</t>
  </si>
  <si>
    <t>Extrator Soxhlet com Juntas 303mm. Comprimento: 303mm, junta fêmea – 45/50 e macho – 24/40</t>
  </si>
  <si>
    <t>LOTE</t>
  </si>
  <si>
    <t xml:space="preserve"> LÂMINA  PARA  MICROSCOPIA. Lapidada; Ponta Lisa; Embaladas a vácuo Intercaladas com papel lenço com tratamento antifúngico; Espessura 1,0 mm - 1,2 mm Dimensões 26 x 76 mm; Caixa com 50 unidades</t>
  </si>
  <si>
    <t xml:space="preserve"> LAMINULAS DE VIDRO P/EXAME MICROSCOPICO 24X32MM,CX C/100 UN, LAMINULAS PARA MICROSCOPIA, em vidro de alta qualidade para microscopia. Tamanho: 24 x 32mm. Espessura: 0,13 a 0,16mm. Formato: 12/28 retangular. Caixa com 100 unidades</t>
  </si>
  <si>
    <t>CAIXA</t>
  </si>
  <si>
    <t>cromoslab</t>
  </si>
  <si>
    <t>MM COMERCIO</t>
  </si>
  <si>
    <t>Suporte para repouso de lâmina histológica horizontal, capacidade para 30 lâminas, fabricado em plástico.</t>
  </si>
  <si>
    <t>BENFER</t>
  </si>
  <si>
    <t>Labbenfer</t>
  </si>
  <si>
    <t>Berço de Inox para corar 9 lâminas histológicas</t>
  </si>
  <si>
    <t>didatica SP</t>
  </si>
  <si>
    <t>CIENCOR</t>
  </si>
  <si>
    <t xml:space="preserve">casalab </t>
  </si>
  <si>
    <t>PIPETA, GRADUADA,EM VIDRO, CAPAC. 10 ML, Pipeta graduada vidro
10ml 1/10.</t>
  </si>
  <si>
    <t>PIPETA, GRADUADA,EM VIDRO, CAPAC. 5 ML.  Pipeta graduada vidro 5 ML</t>
  </si>
  <si>
    <t>Pipeta volumétrica . 10 ml</t>
  </si>
  <si>
    <t>Pipeta volumétrica. 5 ml</t>
  </si>
  <si>
    <t>Pipeta volumétrica. 3 ml</t>
  </si>
  <si>
    <t>Pipeta volumétrica. 20 ml</t>
  </si>
  <si>
    <t>PIPETA, GRADUADA,EM VIDRO, CAPAC. 2 ML, Pipeta graduada vidro.</t>
  </si>
  <si>
    <t>MICROFILTRO - FIBRA DE VIDRO.  Microfiltro - fibra de vidro GF1 Ø 47 mm. Caixa com 100 unidades</t>
  </si>
  <si>
    <t>FORLAB</t>
  </si>
  <si>
    <t>LINKLAB</t>
  </si>
  <si>
    <t>BANCO DE PREÇOS</t>
  </si>
  <si>
    <t>Bureta. 100ml</t>
  </si>
  <si>
    <t>Bureta. 50ml</t>
  </si>
  <si>
    <t xml:space="preserve"> BURETA GRADUADA,DE VIDRO, CAPACIDADE 25ML, BURETA GRADUADA DE VIDRO INCOLOR COM TORNEIRA DE TEFLON(PLASTICO) - 25ML</t>
  </si>
  <si>
    <t xml:space="preserve"> Proveta de vidro borosilicato de 100 ml
graduada, com base hexagonal de propileno e bico para facilitar o escoamento. Com alta resistência térmica e a ataque a químicos.</t>
  </si>
  <si>
    <t>Proveta de vidro borosilicato de 10 ml
graduada, com base hexagonal de propileno e bico para facilitar o escoamento. Com alta resistência térmica e a ataque a químicos.</t>
  </si>
  <si>
    <t>Proveta de vidro borosilicato de 50 ml
graduada, com base hexagonal de propileno e bico para facilitar o escoamento. Com alta resistência térmica e a ataque a químicos.</t>
  </si>
  <si>
    <t xml:space="preserve">Escova para limpeza de vidrarias - DIÂMETRO 10MM COMPRIMENTO TOTAL 235MM </t>
  </si>
  <si>
    <t xml:space="preserve">Escova para limpeza de vidrarias - DIÂMETRO 15MM COMPRIMENTO TOTAL 255MM </t>
  </si>
  <si>
    <t>Escova para limpeza de vidrarias - ESCOVA DIÂMETRO 25MM COMPRIMENTO TOTAL 300MM</t>
  </si>
  <si>
    <t xml:space="preserve">Escova para limpeza de vidrarias - ESCOVA DIÂMETRO 40MM COMPRIMENTO TOTAL 470MM </t>
  </si>
  <si>
    <t>ESCOVA PARA LIMPEZA, DE TUBO DE ENSAIO, Escova para lavagem de
vidrarias - Diam. 10, escova 80, pincel ponta virada.</t>
  </si>
  <si>
    <t>18--02</t>
  </si>
  <si>
    <t xml:space="preserve">Banco de preços </t>
  </si>
  <si>
    <t>Angular saúde</t>
  </si>
  <si>
    <t xml:space="preserve">3 </t>
  </si>
  <si>
    <t>67-01</t>
  </si>
  <si>
    <t>KIT TRANDUTOR DE PRESSÃO INVASIVA. Acompanha o kit: CLAMP:  compatível com vários tipos de suporte de soro diferentes e possui um encaixe para a placa para transdutor de pressão, podendo acomodar de um a quatro placas. PLACA: placa para transdutor de pressão que permite o encaixe no clamp e um encaixe frontal para transdutor de pressão descartável. TRANSDUTOR DESCARTÁVEL: possui um chip de alta tecnologia, responsável pela captura do sinal de pressão do paciente. Cabo embutido na placa e suporte com trava de segurança.  Dispositivo de flush pocisionado na vertical, com dois modos de atuação: puxar ou apertar; Torneira do zero angulada; Torneira valvulada para coleta de sangue. Conector com cúpula protetora contra respingos; Trava de segurança que garante a montagem do transdutor na placa na posição correta.</t>
  </si>
  <si>
    <t>Bandeja De Plástico(PE) Resistente À Produtos Químicos - capacidade 2,5 litros</t>
  </si>
  <si>
    <t>COPO DE BECKER, 2000ML EM PLASTICO</t>
  </si>
  <si>
    <t>cheeselab</t>
  </si>
  <si>
    <t xml:space="preserve">BANDEJA PARA LABORATORIO, BANDEJA PLASTICA, Bandeja De Plástico(PE) Resistente À Produtos Químicos - tamanho aproximado de 40cm x 60cm </t>
  </si>
  <si>
    <t>ESCORREDOR DE VIDRARIAS, EM POLIPROPILENO, Suporte escorredor de parede para secagem de vidrarias - 35 peças - - Medida 50 x 68 cm</t>
  </si>
  <si>
    <t>BANDEJA LAMINAS DE HISTOLOGIA, BANDEJA PLÁSTICA PARA LEITURA DE 20 LAMINAS</t>
  </si>
  <si>
    <t>67-03</t>
  </si>
  <si>
    <t xml:space="preserve"> Bandeja De Plástico (PE) Resistente À Produtos Químicos - capacidade 15 litros</t>
  </si>
  <si>
    <t>FRASCO PARA LABORATORIO, CAPACIDADE 500 ML, FRASCO POLIETILENO, LAVADOR,CAPACIDADE 500ML,BICO CURVO GRADUADO., Frasco Lavador (Pisseta), tampa com bico curvo, confeccionado em Polietileno e Graduado, volume 500 mL</t>
  </si>
  <si>
    <t>FRASCO PARA LABORATORIO, DE PLASTICO, Bombona graduada em polietileno sem torneira com capacidade para 5 litros, subdivisão de 1 litro em 1 litro.</t>
  </si>
  <si>
    <t>TUBO TIPO FALCON GRADUADO DE 15ML COM TAMPA, PACOTE 50 UNIDA, DES- fabricado em polipropileno, com tampa rosca- Pacote contem 50unidades</t>
  </si>
  <si>
    <t>ORIONCIENTIFIC</t>
  </si>
  <si>
    <t>MICROTUBO, EM PACOTE, Microtubos de 0,2 ml : MICROTUBO, EM POLIPROPILENO,C/TAMPA, TRANSPARENTE,0.2 ML para PCR, Microtubos de polipropileno transparente com tampa, capacidade para 0,2mL, livres de DNase/RNase e pirogênios. Pacote com 1000 unidades</t>
  </si>
  <si>
    <t>vitchlab</t>
  </si>
  <si>
    <t>MICROTUBO, EM PACOTE, Microtubos de 0,5 ml : MICROTUBO, EM POLIPROPILENO,C/TAMPA, TRANSPARENTE, 0.5 ML. Microtubos cônicos tipo "eppendorf" Microtubos de polipropileno transparente com capacidade para 0,5mL, livres de DNase/RNase e pirogênios. Pacote com 1000 unidades.</t>
  </si>
  <si>
    <t>PIPETA, PIPETA PASTEUR GRAD., CAPACIDADE DE ASPIRACAO DE 3ML, (DET), Pipeta Pasteur de plástico, graduada, capacidade de aspiração de 3ml., Pacote com 500 unidades.</t>
  </si>
  <si>
    <t>Barra Magnética 5x10mm, formato Poligonal (bastão) liso, sem anel, material Neodímio altamente magnético, revestimento PTFE, Entre -50°C e +120°C, resistente a oxidação.</t>
  </si>
  <si>
    <t>LKP</t>
  </si>
  <si>
    <t>Barra Magnética 5x15mm, formato Poligonal (bastão) liso, sem anel, material Neodímio altamente magnético, revestimento PTFE, Entre -50°C e +120°C, resistente a oxidação.</t>
  </si>
  <si>
    <t>Barra Magnética 5x30mm, formato Poligonal (bastão) liso, sem anel, material Neodímio altamente magnético, revestimento PTFE, Entre -50°C e +120°C, resistente a oxidação.</t>
  </si>
  <si>
    <t>PESCADOR DE BARRA MAGNETICA, Pegador de barra magnética, Revestido em PTFE. Dimensões: 7mm x 300 mm</t>
  </si>
  <si>
    <t>BARRA MAGNETICA, COM REVESTIMENTO EM TEFLON, BARRA
MAGNETICA CILINDRICA LISA EM TEFLON RESISTENTE A TEMPERATURA DE -50 A +120°C - 7X30MM</t>
  </si>
  <si>
    <t>Navalha de aço inox para micrótomo rotativo de parafina e historesina, borda revestida com uma combinação de cerâmica e teflon (PTFE), alto perfil. Caixa com 50 unidades</t>
  </si>
  <si>
    <t xml:space="preserve">Navalha de aço inox para micrótomo rotativo de parafina e historesina, borda revestida com uma combinação de cerâmica e teflon (PTFE), baixo perfil. Caixa com 50 unidades.		</t>
  </si>
  <si>
    <t>MAGAZINE LUIZA</t>
  </si>
  <si>
    <t>MAGAZINE MEDICA</t>
  </si>
  <si>
    <t>08</t>
  </si>
  <si>
    <t>65-06</t>
  </si>
  <si>
    <t>Água para injeção - 20ml. Àgua destilada - Solução injetável, estéril e apirogênica, flaconetes  de polietileno transparentes com: 20 ml. Embalagem com 100 ampolas</t>
  </si>
  <si>
    <t>SOROMED</t>
  </si>
  <si>
    <t>MEDALPHA</t>
  </si>
  <si>
    <t>12</t>
  </si>
  <si>
    <t>AMPOLA</t>
  </si>
  <si>
    <t>Agua para injeção - 10ml.Solução injetável, estéril e apirogênica, flaconetes de polietileno transparentes com 10 ml. Embalagem com 100 ampolas.</t>
  </si>
  <si>
    <t>Farmacias são joão</t>
  </si>
  <si>
    <t>panvel</t>
  </si>
  <si>
    <t>UTILIDADES CLÍNICAS</t>
  </si>
  <si>
    <t xml:space="preserve">02 </t>
  </si>
  <si>
    <t>Soro fisiológico 0,9%. Frasco com 250 ml para curativo. Soro fisiológico 0,9%. Frasco com 250 ml para curativo (cx com 12 unidades)</t>
  </si>
  <si>
    <t xml:space="preserve">06 </t>
  </si>
  <si>
    <t>Soro Fisiológico 0,9%.  Flaconete estéril  com 10 ml. Soro Fisiológico 0,9%.  Flaconete estéril  com 10 ml (caixa com 100 unidades)</t>
  </si>
  <si>
    <t>Soro fisiológico 0,9%, 1000 ml. Soro fisiológico 0,9%, bolsa em PVC com 1000 ml para infusão EV. (caixa com 12   unidades)</t>
  </si>
  <si>
    <t xml:space="preserve">4 </t>
  </si>
  <si>
    <t>Soro fisiológico 0,9%,  500 ml. Soro fisiológico 0,9%, bolsa em PVC com 500 ml para infusão EV. (caixa com 24   unidades)</t>
  </si>
  <si>
    <t>3</t>
  </si>
  <si>
    <t>Soro fisiológico 0,9%,  250 ml. Soro fisiológico 0,9%, bolsa em PVC com 250 ml para infusão EV. (caixa com 50 unidades)</t>
  </si>
  <si>
    <t xml:space="preserve">5 </t>
  </si>
  <si>
    <t>Soro fisiológico 0,9% 100 ml. Soro fisiológico 0,9%, bolsa de PVC com 100 ml para infusão EV. (Caixa com 50 unidades)</t>
  </si>
  <si>
    <t>Hospitalar distribuidora</t>
  </si>
  <si>
    <t>Cirurgica lucena</t>
  </si>
  <si>
    <t>4</t>
  </si>
  <si>
    <t>66-09</t>
  </si>
  <si>
    <r>
      <rPr>
        <sz val="12"/>
        <color rgb="FF000000"/>
        <rFont val="Calibri"/>
        <family val="2"/>
        <scheme val="minor"/>
      </rPr>
      <t xml:space="preserve">Dreno de Kher Nº 18 (dreno duodenal). </t>
    </r>
    <r>
      <rPr>
        <sz val="12"/>
        <rFont val="Calibri"/>
        <family val="2"/>
        <scheme val="minor"/>
      </rPr>
      <t xml:space="preserve">Dreno de Kehr em T, Nº 18, Estéril em látex, 30cm </t>
    </r>
  </si>
  <si>
    <t>Suturas online</t>
  </si>
  <si>
    <t>KIT</t>
  </si>
  <si>
    <t>66-07</t>
  </si>
  <si>
    <t xml:space="preserve">Kit de Drenagem Ventricular externo de LCR.  Adulto. Catéter ventricular reto em 100% silicone grau médico radiopaco com marcações a cada 10 mm desde os 50 mm até os 150 mm com extremo distal fechado e multiperfurações laterais. O interior do catéter é constituído de um guia (mandril) em aço inoxidável. </t>
  </si>
  <si>
    <t>10</t>
  </si>
  <si>
    <t>66-06</t>
  </si>
  <si>
    <t xml:space="preserve">Kit cateter para hemodiálise duplo lúmen 12Fr x 16cm. </t>
  </si>
  <si>
    <t>MEDICAL LAGE</t>
  </si>
  <si>
    <t>CIRURGICA LUCENA</t>
  </si>
  <si>
    <t>LOGANMED</t>
  </si>
  <si>
    <t>66-25</t>
  </si>
  <si>
    <t>Catéter venoso central duplo lúmen. Catéter venoso central duplo lúmen 07FR x 20 CM</t>
  </si>
  <si>
    <t>CIRURGICA LOGAN MED</t>
  </si>
  <si>
    <t>Cateter intravenoso para punção periférica 20G. Cateter intravenoso para punção periférica, material vialon ou poliuretano, calibre 20 G, com sistema de segurança autoguard, descartável, estéril, radiopaco em embalagem individual com abertura asséptica. (Caixa com 100 unidades)</t>
  </si>
  <si>
    <t>CASA CIRURGICA</t>
  </si>
  <si>
    <t>MÉDICY CIRURGICA</t>
  </si>
  <si>
    <t>AMERICANAS</t>
  </si>
  <si>
    <t>2</t>
  </si>
  <si>
    <t>Cateter intravenoso para punção periférica 24G. Cateter intravenoso para punção periférica, material vialon ou poliuretano, calibre 24 G, com sistema de segurança autoguard, descartável, estéril, radiopaco em embalagem individual com abertura asséptica. (Caixa com 100 unidades)</t>
  </si>
  <si>
    <t>ZAPMEDICA</t>
  </si>
  <si>
    <t>Cateter intravenoso para punção periférica 22G. Cateter intravenoso para punção periférica, material vialon ou poliuretano, calibre 22 G, com sistema de segurança autoguard, descartável, estéril, radiopaco em embalagem individual com abertura asséptica. (Caixa com 100 unidades)</t>
  </si>
  <si>
    <t>INSPIROLIFE</t>
  </si>
  <si>
    <t>VITALAIRE</t>
  </si>
  <si>
    <t>Catéter nasal de alto fluxo. Sistema De Cânula Nasal de Alto Fluxo Adulto, tamanho M (6mm), Descartável. Traqueia de Fio Aquecido de 160cm. Traqueia de 60 cm. Conector em T desmontável. Mangueira Incolor para Ar. Mangueira Verde para Oxigênio. Três configurações de montagem.</t>
  </si>
  <si>
    <t>CLINIFLEX</t>
  </si>
  <si>
    <t>althis</t>
  </si>
  <si>
    <t>bisturi material hospitalar</t>
  </si>
  <si>
    <t>Dreno de sucção sanfonado 3.2mm. Dreno de sucção sanfonado 3.2mm (1/8''), capacidade do reservatório: 500ml</t>
  </si>
  <si>
    <t>Shopping prohospital</t>
  </si>
  <si>
    <t>Dreno de Kehr Nº 10 (dreno duodenal. Dreno de Kehr Nº 10  em T, Estéril,  em latex , 30 cm</t>
  </si>
  <si>
    <t>pro saúde</t>
  </si>
  <si>
    <t>PACOTE</t>
  </si>
  <si>
    <t xml:space="preserve">Dreno Penrose tamanho 02. Dreno Penrose Sem Gaze Não Estéril, tamanho 02. Pacote com 12 unidades </t>
  </si>
  <si>
    <t>Dreno Penrose tamanho 01. Dreno Penrose Sem Gaze Não Estéril, tamanho 01. Pacote com 12 unidades </t>
  </si>
  <si>
    <t>TRIOMED</t>
  </si>
  <si>
    <t>Cirurgica salutar</t>
  </si>
  <si>
    <t>Fixador Estéril Para Catéter endovenoso periférico. Fixador Estéril Para Catéter endovenoso periférico, composto de tecido macio branco, com dorso de Rayon e Poliéster, resistente à água, não oclusivo, com adesivo de acrilato hipoalergênico. Tamanho 5 cm x 7,4 cm.  Caixa c/100un</t>
  </si>
  <si>
    <t>BISTURI MATERIAL HOSPITALAR</t>
  </si>
  <si>
    <t>PRO CIRURGICA</t>
  </si>
  <si>
    <t>UTILIDADES</t>
  </si>
  <si>
    <t>DENTAL SPEED</t>
  </si>
  <si>
    <t>Coletor de material perfurocortante 7litros. Coletor de material perfurocortante, fabricado em PLÁSTICO impermeável, resistente a impacto, perfuração e corte, que permita a retirada de agulhas de coletor de sangue a vácuo agulhas de seringa, agulhas de equipos, scalps, e o desrosqueamento das agulhas sem reencapá-las, seguindo as normas da ABNT NBR 13853/1997. Capacidade total: 7 litros</t>
  </si>
  <si>
    <t>66-05</t>
  </si>
  <si>
    <r>
      <rPr>
        <sz val="12"/>
        <color rgb="FF000000"/>
        <rFont val="Calibri"/>
        <family val="2"/>
        <scheme val="minor"/>
      </rPr>
      <t>Coletor de urina sistema FECHADO</t>
    </r>
    <r>
      <rPr>
        <sz val="12"/>
        <rFont val="Calibri"/>
        <family val="2"/>
        <scheme val="minor"/>
      </rPr>
      <t>. Coletor de urina sistema FECHADO, em PVC, capacidade para 2.000 ml com graduação; estéril, com válvula anti-refluxo (cx com 100 unidades)</t>
    </r>
  </si>
  <si>
    <t>MACONEQUI</t>
  </si>
  <si>
    <t>20</t>
  </si>
  <si>
    <r>
      <rPr>
        <sz val="12"/>
        <color rgb="FF000000"/>
        <rFont val="Calibri"/>
        <family val="2"/>
        <scheme val="minor"/>
      </rPr>
      <t>Coletor de urina/resíduos gástricos sistema ABERTO</t>
    </r>
    <r>
      <rPr>
        <sz val="12"/>
        <rFont val="Calibri"/>
        <family val="2"/>
        <scheme val="minor"/>
      </rPr>
      <t xml:space="preserve">.Coletor de urina/resíduos gástricos – sistema aberto, capacidade 1200ml com escala de graduação, extensão e conector. </t>
    </r>
  </si>
  <si>
    <t>mafra especialidades</t>
  </si>
  <si>
    <t xml:space="preserve">10 </t>
  </si>
  <si>
    <t>FRASCO</t>
  </si>
  <si>
    <t>Coletor de secreções bronquinho. Coletor de secreções bronquinho com tubo PVC Estéril, (120ml/10cm)</t>
  </si>
  <si>
    <t>magazine luiza</t>
  </si>
  <si>
    <t>constamed</t>
  </si>
  <si>
    <t>dormed hospitalar</t>
  </si>
  <si>
    <t xml:space="preserve">2 </t>
  </si>
  <si>
    <t>Frasco Coletor (com tampa) MD 800ml para DV 350.</t>
  </si>
  <si>
    <t xml:space="preserve">banco de preços </t>
  </si>
  <si>
    <t xml:space="preserve">20 </t>
  </si>
  <si>
    <t>66-14</t>
  </si>
  <si>
    <t>SONDA  FOLEY Nº 18 com TRÊS  vias. Sonda Foley  Nº 18 com TRÊS vias, estéril, em látex, atóxica, descartável, ponta arredondada com 02 orifícios laterais,  sistema de drenagem conectável a bolsas coletoras, balão vol 30cc resistente à alta pressão. (cx com 50 unidades)</t>
  </si>
  <si>
    <t>suturas online</t>
  </si>
  <si>
    <t>SONDA FOLEY  Nº 20 com TRÊS vias. Sonda Foley  Nº 20 com TRÊS vias, estéril, em látex, atóxica, descartável, ponta arredondada com 02 orifícios laterais,  sistema de drenagem conectável a bolsas coletoras, balão vol 30cc resistente à alta pressão. (cx com 50 unidades)</t>
  </si>
  <si>
    <t>Sonda Foley  Nº 12 com DUAS vias. Sonda Foley  Nº 12 com duas vias, estéril, em látex, atóxica, descartável, ponta arredondada com 02 orifícios laterais,  sistema de drenagem conectável a bolsas coletoras, balão vol 30cc resistente à alta pressão. (cx com 50 unidades)</t>
  </si>
  <si>
    <t>midas medic</t>
  </si>
  <si>
    <t>Sonda Foley  Nº 10 com DUAS vias. Sonda Foley  Nº 10 com duas vias, estéril, em látex, atóxica, descartável, ponta arredondada com 02 orifícios laterais,  sistema de drenagem conectável a bolsas coletoras, balão vol 30cc resistente à alta pressão. (cx com 50 unidades)</t>
  </si>
  <si>
    <t>Sonda de Aspiração traqueal (SISTEMA FECHADO) Nº 12 FR.  Tubo em PVC, estéril, com câmara retrátil, com porta de irrigação e sistema de sucção fechado. - 36 cm</t>
  </si>
  <si>
    <t>Sonda nasogástrica longa nº 12. Sonda nasogástrica longa nº 12, em PVC atóxico, estéril, transparente, flexível, embalagem individual. (cx com 50 unidades)</t>
  </si>
  <si>
    <t xml:space="preserve">Sonda nasogástrica longa nº 10. Sonda nasogástrica longa nº 10, em PVC atóxico, estéril, transparente, flexível, embalagem individual. (cx com 50 unidades) </t>
  </si>
  <si>
    <t>Sonda de aspiração traqueal Nº 12. Sonda de aspiração traqueal Nº 12 – tubo em PVC atóxico, flexível, estéril, transparente, apirogênico com dois furos nas laterais (cx com 100 unidades)</t>
  </si>
  <si>
    <t>Sonda de aspiração traqueal Nº 10 - Sonda de aspiração traqueal Nº 10 – tubo em PVC atóxico, flexível, estéril, transparente, apirogênico com dois furos nas laterais (cx com 100 unidades)</t>
  </si>
  <si>
    <t>PAINEL DE PREÇOS</t>
  </si>
  <si>
    <t>Sonda alimentação enteral 06 FR - infantil. Sonda alimentação enteral 06 FR (Dobbhoff), infantil, em poliuretano, radiopaco, 2 entradas, conector superior com tampa, com fio guia, estéril, embalada individualmente.</t>
  </si>
  <si>
    <t>CASA DO PACIENTE</t>
  </si>
  <si>
    <t>ISACLIN</t>
  </si>
  <si>
    <t>100</t>
  </si>
  <si>
    <t>Sonda alimentação enteral 12FR – adulto. Sonda alimentação enteral 12FR – adulto (Dobbhoff), em poliuretano, radiopaco, 2 entradas, conector superior com tampa, com fio guia, estéril, embalada individualmente.</t>
  </si>
  <si>
    <t>66-16</t>
  </si>
  <si>
    <t>Kit Equipo Linhas para Hemodiálise 8x350mm. Composto por vários componentes, incluindo tubos, conectores e filtros, usados para conectar o paciente ao equipamento de diálise e permitir a circulação do sangue pelo sistema de filtragem.</t>
  </si>
  <si>
    <t>66-12</t>
  </si>
  <si>
    <t>Equipo para mensuração de PVC (Pressão venosa Central). Com extensão em Y, controle de fluxo, câmara flexível, estéril, com fita graduada. Em PVC e embalado individualmente. (cx com 100 unidades)</t>
  </si>
  <si>
    <t>medcorsi</t>
  </si>
  <si>
    <t>Equipo para infusão venosa MICROGOTAS. Equipo para infusão venosa MICROGOTAS, com controle de fluxo, câmara flexível, estéril com filtro e injetor lateral. Em PVC e embalado individualmente. (cx com 100 unidades)</t>
  </si>
  <si>
    <t>Grupo elfa</t>
  </si>
  <si>
    <t xml:space="preserve">Equipo para dieta enteral.Equipo para dieta enteral, estéril, em PVC flexível, na cor azul. (caixa com 20 unidades) </t>
  </si>
  <si>
    <t>MEDSERV</t>
  </si>
  <si>
    <r>
      <rPr>
        <sz val="12"/>
        <color rgb="FF000000"/>
        <rFont val="Calibri"/>
        <family val="2"/>
        <scheme val="minor"/>
      </rPr>
      <t>Equipo Microgotas com BURETA</t>
    </r>
    <r>
      <rPr>
        <sz val="12"/>
        <rFont val="Calibri"/>
        <family val="2"/>
        <scheme val="minor"/>
      </rPr>
      <t>. Equipo Microgotas com BURETA, capacidade 150ml com graduação a cada 10ml, estéril.</t>
    </r>
  </si>
  <si>
    <t>magazine medica</t>
  </si>
  <si>
    <t>5</t>
  </si>
  <si>
    <t>Dispositivo extensor de duas vias com clamp. Dispositivo extensor de duas vias com clamp.  Equipo para infusão multivias em forma em Y, com dois ramos incolores de PVC flexível, estéril.  (cx com 100 unidades)</t>
  </si>
  <si>
    <t>INDAVIDAS</t>
  </si>
  <si>
    <t>Equipo para infusão venosa MACROGOTAS. Equipo para infusão venosa MACROGOTAS, com controle de fluxo, câmara flexível, estéril com filtro e injetor lateral. Em PVC e embalado individualmente. (cx com 100 unidades)</t>
  </si>
  <si>
    <t>Tampa vedante Luer Macho-femea para vedar a via de acesso venoso. Tampa vedante Luer Macho-femea para vedar a via de acesso venoso (entrada/saída) de extensões de equipos. Estéril, embalado individualmente (Caixa com 100 unidades)</t>
  </si>
  <si>
    <t>66-32</t>
  </si>
  <si>
    <t>Frasco para Nutrição Enteral. Frasco para Nutrição Enteral não estéril, capacidade 300ml. (caixa com 20 unidades)</t>
  </si>
  <si>
    <t>Cânula de traqueostomia 6,5mm (adulto). Cânula em PVC transparente, siliconizado, estéril ajustável, com Balão BCI</t>
  </si>
  <si>
    <t>cirurgica logan med</t>
  </si>
  <si>
    <t>Cirurgica ultramed</t>
  </si>
  <si>
    <t>CANULA TRAQUEOSTOMIA 4,0mm. Cânula externa para traqueostomia 4,0mm, com balão de baixa pressão e alto volume, balão de controle, adaptador para seringas luer e luer-lock, siliconada, radiopaca, conector colocado, mandril auxiliar à introdução e limpeza com extremidade olivar, placa de fixação flexível e cadarço para fixação, descartável, estéril. unidade</t>
  </si>
  <si>
    <t xml:space="preserve"> Cadarço sarjado para fixação de cânula de traqueostomia 10mm em algodão (rolo com 10 metros)</t>
  </si>
  <si>
    <t>66-22</t>
  </si>
  <si>
    <t>Eletrodo Cardioclip. Eletrodo cardioclip color para ECG. Conjunto com 4 unidades. Compativeis com eletrocardiografos e seus respectivos cabos com terminações em neo pinch, botão de pressão e pino banana. Reutilizavel; Conjuntos. Tamanho adulto</t>
  </si>
  <si>
    <t>ELETRODO PARA ECG. Eletrodo de Gel Sólido, para monitoramento dos sinais elétricos de pacientes (cardíaco), em aparelho de eletrocardiograma. Adere facilmente à pele, não irritante, reposicionável, descartável. Embalagem com 50 Unidades.</t>
  </si>
  <si>
    <t>Portal do médico</t>
  </si>
  <si>
    <t>Filtro Dialisador.  Filtro dialisador fibra oca uso único de alto fluxo, estéril, com membrana PES</t>
  </si>
  <si>
    <t>CPAP FIT</t>
  </si>
  <si>
    <t>66-17</t>
  </si>
  <si>
    <t>Filtro Bacteriológico HEPA para ventilação mecânica.</t>
  </si>
  <si>
    <t>DNAC</t>
  </si>
  <si>
    <t>66-10</t>
  </si>
  <si>
    <t>Luva cirúrgica estéril, em látex,  Nº 7,5. Luva cirúrgica estéril, em látex,  embalada individualmente, lubrificada com pó bio-absorvível; Nº 7,5 (cx com 100 unidades)</t>
  </si>
  <si>
    <t>Luva cirúrgica estéril, em látex,  Nº 8,5. Luva cirúrgica estéril,  embalada individualmente, em látex,  lubrificada com pó bio-absorvível; Nº 8,5 (cx com 100 unidades)</t>
  </si>
  <si>
    <t>Luva cirúrgica estéril, em látex,  Nº 7,0. Luva cirúrgica estéril, em látex,  embalada individualmente,  lubrificada com pó bio-absorvível; Nº 7,0 (cx com 100 unidades)</t>
  </si>
  <si>
    <t xml:space="preserve">Luva cirúrgica estéril, em látex, Nº 6,5.Luva cirúrgica estéril, embalada individualmente, em látex,  lubrificada com pó bio-absorvível; Nº 6,5 (cx com 100 unidades) </t>
  </si>
  <si>
    <t>MED CLEAN</t>
  </si>
  <si>
    <t>DORMED HOSPITALAR</t>
  </si>
  <si>
    <t>ISPIRAMED</t>
  </si>
  <si>
    <t>Máscara para Traqueostomia Descartável (adulto) . Máscara para oxigenioterapia em Traqueostomia, Descartável (adulto).  Em PVC; conector de Polipropileno.  Possui faixa elástica ajustável e conector com ângulo de rotação de 360°. Indicada para administração de oxigênio e ou aerossóis em pacientes com acesso de traqueostomia e laringectomia</t>
  </si>
  <si>
    <t xml:space="preserve">magazine medica </t>
  </si>
  <si>
    <t>SUTURAS ONLINE</t>
  </si>
  <si>
    <t>Máscara Cirúrgica Tripla c/ Elástico Branca.  (Caixa 50 unidades)</t>
  </si>
  <si>
    <t>66-01</t>
  </si>
  <si>
    <t>Agulhas hipodérmica 25x7  - 22G (cx com 100 unidades)</t>
  </si>
  <si>
    <t>GRUPO CRISTAL</t>
  </si>
  <si>
    <t>MED-ALPHA</t>
  </si>
  <si>
    <t xml:space="preserve">Jogo de Agulhas de Fístula Arteriovenosa. Jogo de Agulhas de Fístula Arteriovenosa. Agulha para punção de FAV em pacientes em tratamento de hemodiálise. Estéril, agulha com parede ultrafina siliconada, tubulação em PVC; Conector luer lock  </t>
  </si>
  <si>
    <t xml:space="preserve">12 </t>
  </si>
  <si>
    <t>Agulhas hipodérmica 40x12.Agulhas hipodérmica 40x12  - 18G (cx com 100 unidades)</t>
  </si>
  <si>
    <t>66-13</t>
  </si>
  <si>
    <t>Seringas descartáveis, sem agulha, 20ml, Bico SLIP. Seringas descartáveis, sem agulha, capacidade 20ml, Hipodérmica, estéril, atóxica, apirogênica. Bico SLIP. (cx com 50 unidades)</t>
  </si>
  <si>
    <t>medjet</t>
  </si>
  <si>
    <t>Seringas descartáveis, sem agulha, 20ml, bicoLUER LOCK. Seringas descartáveis, sem agulha, capacidade 20ml, Hipodérmica, estéril, atóxica, apirogênica. Bico LUER LOCK. (cx com 50 unidades)</t>
  </si>
  <si>
    <t>MEDJET</t>
  </si>
  <si>
    <t>Utilidades clínicas</t>
  </si>
  <si>
    <t>Seringas descartáveis, sem agulha,  10ml. Seringas descartáveis, sem agulha, capacidade 10ml, Hipodérmica, estéril, atóxica, apirogênica. Bico LUER LOCK. (cx com 100 unidades)</t>
  </si>
  <si>
    <t>DROGA RAIA</t>
  </si>
  <si>
    <t>Seringas descartáveis de 1ml COM AGULHA 13 x 0,45 mm. Seringa estéril de 1ml COM AGULHA 13 x 0,45 mm, graduada de 0 a 100. Descartáveis. (caixa c/ 100 unidades)</t>
  </si>
  <si>
    <t>Filtro Para Seringa PTFE 0,22um Diâmetro 25mm Não Estéril cx c/100 - Tamanho do poro: 0,22 µm; Material da Membrana: Politetrafluoroetileno (PTFE) Hidrofóbico; Material Externo: PP
Área de filtração: 2,98cm²; Diâmetro do Filtro: 25mm</t>
  </si>
  <si>
    <t>61-13</t>
  </si>
  <si>
    <t>filtrilo</t>
  </si>
  <si>
    <t>orion cientific</t>
  </si>
  <si>
    <t>Seringa de Vidro 5ml Bico Vidro não estéril</t>
  </si>
  <si>
    <t>medicallage</t>
  </si>
  <si>
    <t>surya dental</t>
  </si>
  <si>
    <t>COLETOR EM PAPELAO PARA RESIDUOS HOSPITALARES, EM PAPELAO RIGIDO, COM CAPACIDADE PARA 13 LITROS, Coletor de Material Perfuro-cortante- Capacidade volumétrica de 13 litros, com duplo revestimento interno de saco plástico para proteção contra vazamentos, tampa com instruções de uso e fechamento, com sistema de fechamento com segurança.</t>
  </si>
  <si>
    <t>66-15</t>
  </si>
  <si>
    <t>Torneira estéril de 3 vias. Torneira estéril de 3 vias de regulagem para infusão simultânea de substâncias endovenosas. (cx com 50 unidades)</t>
  </si>
  <si>
    <t>67-02</t>
  </si>
  <si>
    <t xml:space="preserve"> Pinça Kocher  em aço inoxidável 1 X 2 Dentes Curva 16 cm</t>
  </si>
  <si>
    <t>68-03</t>
  </si>
  <si>
    <t>Pinça Anatómica Dente de Rato em aço inoxidável 14 CM - ABC</t>
  </si>
  <si>
    <t xml:space="preserve"> Porta Agulha Mayo Hegar confeccionado em Aço Inox ABC (14cm)</t>
  </si>
  <si>
    <t>painel de preços</t>
  </si>
  <si>
    <t>DENTAL CREMER</t>
  </si>
  <si>
    <t>Tesouras metzembaum curva 15 cm confeccionada em aço inox</t>
  </si>
  <si>
    <t>br cirurgica</t>
  </si>
  <si>
    <t>Pinça histológica de Aço Inoxidável, ponta fina, 12 Cm</t>
  </si>
  <si>
    <t>Espátula Com Colher Em Chapa de Aço Inox. Uma extremidade com colher, medindo 30 x 16mm e outra, plana, com acabamento reto, medindo 35 x 17mm;
- Capacidade da colher: 0,75 a 2ml. Comprimento da alça:  12cm</t>
  </si>
  <si>
    <t>LMP</t>
  </si>
  <si>
    <t>15--04</t>
  </si>
  <si>
    <t>Espátula de Arame de Aço Inox com Colher.Espessura do arame: 3mm Comprimento da alça  12cm Extremidades: Colher e espátula.</t>
  </si>
  <si>
    <t>ESPATULA COM COLHER CHAPA DE AÇO INOX 304 - 15CM</t>
  </si>
  <si>
    <t>15--03</t>
  </si>
  <si>
    <t>PINCA ANATOMICA EM ACO INOX DELICADA, MEDINDO 20 CM, Pinça anatômica de dissecção; Produto Confeccionado em Aço Inoxidável AISI-420 Tamanho: 20CM</t>
  </si>
  <si>
    <t>medsystem</t>
  </si>
  <si>
    <t>Espátula com Colher com Colher em Aço Inox 18 cm</t>
  </si>
  <si>
    <t>Pinça para bureta com mufa fixa, Fabricada em alumínio fundido, garras reta e prisma revestidas em PVC e abertura de até 35mm</t>
  </si>
  <si>
    <t>Pinça para Condensador sem Mufa com Garras Revestidas em PVC</t>
  </si>
  <si>
    <t>lojasynth</t>
  </si>
  <si>
    <t>Pinça Anatômica de Dissecção 16,0 cm</t>
  </si>
  <si>
    <t>CONCHA TIPO CEREAIS em aço inoxidável, 500 ml</t>
  </si>
  <si>
    <t>15-3</t>
  </si>
  <si>
    <t>HOSPICENTER</t>
  </si>
  <si>
    <t>58-06</t>
  </si>
  <si>
    <t>Cinto Tipo Aranha para Prancha de Resgate em Polietilen. Cinto para imobilização confeccionado em fitas de nylon, radio transparente fixado por fitas de velcro de 50cm de largura, nas cores: preta, verde, amarela e vermelha</t>
  </si>
  <si>
    <t>VIAS AEREAS</t>
  </si>
  <si>
    <t>58-02</t>
  </si>
  <si>
    <t>Cinta Pélvica Pelvic Sling para Resgate. Cinta Pélvica - Sling Pelvic - Aph Para Resgate - H Center - PRECISAMOS DO TAMANHO M</t>
  </si>
  <si>
    <t>lojawwart</t>
  </si>
  <si>
    <t>MEDCORSI</t>
  </si>
  <si>
    <r>
      <t xml:space="preserve">Torniquete para controle de hemorragia / </t>
    </r>
    <r>
      <rPr>
        <i/>
        <sz val="12"/>
        <rFont val="Calibri"/>
        <family val="2"/>
        <scheme val="minor"/>
      </rPr>
      <t>garrote</t>
    </r>
    <r>
      <rPr>
        <sz val="12"/>
        <rFont val="Calibri"/>
        <family val="2"/>
        <scheme val="minor"/>
      </rPr>
      <t>.  Torniquete Tático Militar 60 cm de comprimento</t>
    </r>
  </si>
  <si>
    <t xml:space="preserve">Painel de preços </t>
  </si>
  <si>
    <t>66-04</t>
  </si>
  <si>
    <t>Curativo em Rolo de Filme Transparente 5cmx 10m. Curativo em Rolo de Filme Transparente 5cmx 10m. Filme Transparente Não Estéril em rolo, fabricado em poliuretano permeável a gases e impermeável à água, com camada aderente para promover a fixação de cateteres ou curativos.</t>
  </si>
  <si>
    <t>Magazine luiza</t>
  </si>
  <si>
    <t>Zap médica</t>
  </si>
  <si>
    <t>Medicalshopp</t>
  </si>
  <si>
    <t xml:space="preserve">1 </t>
  </si>
  <si>
    <t>Curativo de Hidrofibra 10cm X 10cm. Curativo de Hidrofibra, estéril, tamanho  10cm X 10cm (cx com 10 unidades)</t>
  </si>
  <si>
    <t>CFCARE HOSPITALAR</t>
  </si>
  <si>
    <t>Curativo Hidrocoloide 15cm x 15cm. Curativo Hidrocoloide estéril, tamanho 15cm x 15cm (Caixa C/10 unidades)</t>
  </si>
  <si>
    <t>Banco de preços</t>
  </si>
  <si>
    <t>Curativo Hidrocoloide Extra Fino 10cm X10cm. Curativo de carvão ativado. Cobertura estéril, composta por uma camada de carvão ativado impregnado com prata inserida em um sachê de não tecido Tamanho 10 x 10cm</t>
  </si>
  <si>
    <t>Curativo de carvão ativado 10cmx10cm. Curativo de carvão ativado. Cobertura estéril, composta por uma camada de carvão ativado impregnado com prata inserida em um sachê de não tecido Tamanho 10 x 10cm</t>
  </si>
  <si>
    <t>Curativo  transparente estéril. Curativo película transparente estéril, com adesivo hipoalergênico. Fixador de Cateter intravenoso central ou periférico; impermeável à agua. Flexível, com bordas arredondadas que permitem maior durabilidade sem descolar; transparência que permite visualizar o local, com tiras de fixação adicionais para evitar o deslocamento de cateter; com Registro na ANVISA. Caixa com 100 unidades tamanho 6cm x 7cm,  (cx com 100 unidades)</t>
  </si>
  <si>
    <t>66-08</t>
  </si>
  <si>
    <t>Compressas de gaze 13 fios.Compressas de gaze 13 fios, tamanho 10cmx10cm, pacote com 500 unidades, não estéril.</t>
  </si>
  <si>
    <t>Painel de preços</t>
  </si>
  <si>
    <t>Compressa Campo Operatório 45x50cm.Compressa Campo Operatório 45x50cm, 100% algodão, não estéril  (cx com 50 unidades)</t>
  </si>
  <si>
    <t>ROLO</t>
  </si>
  <si>
    <t>Fita crepe 18mmx 50m</t>
  </si>
  <si>
    <t>DROGARIA SAO PAULO</t>
  </si>
  <si>
    <t>PAGUE MENOS</t>
  </si>
  <si>
    <t>50 MAIS SAUDE</t>
  </si>
  <si>
    <t>Oleo AGE frasco com 200ml. Oleo AGE frasco com 200ml. Composição: Ácido Linoleico, Ácido Oleico, Ácido Caprílico, Ácido Cáprico, Ácido Láurico, Ácido Palmítico, Ácido Mirístico, Ácido Esteárico, Palmitato de Retinol (Vitamina A), Acetato de Tocoferol (Vitamina E) e Lecitina de Soja. Uso no tratamento de feridas</t>
  </si>
  <si>
    <t>Cobertura para curativos de Gaze RAYON com AGE. Estéril, embalada individualmente, Tamanho 7,5cm X 7,5cm</t>
  </si>
  <si>
    <t xml:space="preserve">05 </t>
  </si>
  <si>
    <t>Algodão hidrófilo em Rolo 500 gr. Rolo de algodão hidrófilo, 500gr. Produto 100% algodão, não estéril, embalado individualmente.</t>
  </si>
  <si>
    <t>ESPARADRAPO 10 X 4,5. Esparadrapo tamanho 10cmx 4,5m, impermeável composto de tecido 100% algodão, flexível e resistente, com adesivo parte interna à base de óxido de zinco, borracha natural e resinas. Utilizado para fixação de curativos, sondas, drenos, cateteres, e outros procedimentos clínicos que exijam fixação. (CAIXA COM 24 Unidades)</t>
  </si>
  <si>
    <t>Fita adesiva hospitalar microporosa. Branca para curativos, hipoalergênica,  5,0 cm(largura) x 4,5m (comprimento).</t>
  </si>
  <si>
    <t>62-02</t>
  </si>
  <si>
    <t>Almofada alcoólica para assepsia, tipo SWAB. Compressa de tecido não tecido umedecido em álcool isopropílico a 70% (cx com 100 unidades)</t>
  </si>
  <si>
    <t>Vita e saude</t>
  </si>
  <si>
    <t>cirurgica ll saúde</t>
  </si>
  <si>
    <t xml:space="preserve">15  </t>
  </si>
  <si>
    <t xml:space="preserve">Adesivo Fixador de Curativos - rolo. Adesivo poroso fixador para curativos hipoalergênico 05cmx10m (marca de referência Hypafix) em rolo. </t>
  </si>
  <si>
    <t>PANVEL</t>
  </si>
  <si>
    <t xml:space="preserve">30 </t>
  </si>
  <si>
    <t>BISNAGA</t>
  </si>
  <si>
    <t>65-02</t>
  </si>
  <si>
    <t xml:space="preserve">
Cloridrato de Lidocaína 20mg/g Geleia. 
</t>
  </si>
  <si>
    <t>66-19</t>
  </si>
  <si>
    <t>PAPEL GRAU CIRÚRGICO para esterilização -  Rolo  30cm x 100m. Papel grau cirúrgico para esterilização; Rolo com 30cmx100m. material atóxico e resistente, sendo um lado em papel grau cirúrgico e o outro, em filme laminado de poliéster com polipropileno. 03 fechamentos laterais com canais impermeáveis e uniformes para maior proteção antimicrobiana. Não libera fibras de papel ou laceração do filme na abertura após a esterilização.</t>
  </si>
  <si>
    <t>Papel grau cirúrgico para esterilização -  Rolo 15cmX100m</t>
  </si>
  <si>
    <t>68-02</t>
  </si>
  <si>
    <t>Farmacias pague menos</t>
  </si>
  <si>
    <t>amazon</t>
  </si>
  <si>
    <t>MULTI LASER</t>
  </si>
  <si>
    <t xml:space="preserve">Glicosímetro. Kit para controle de glicemia Accu-chek Active. Com codificação automática, resultados em até 5 segundos, com capacidade para armazenar até 500 testes na memória.   </t>
  </si>
  <si>
    <t>65-20</t>
  </si>
  <si>
    <t>digital hospitalar</t>
  </si>
  <si>
    <t>Medclean produtos hospitalares</t>
  </si>
  <si>
    <t>JOGO</t>
  </si>
  <si>
    <t>Eletrodo Precordial com Pera. Eletrodo Precordial com Pera de Silicone para ECG. Compatível com todos os ECG cabos como banana 4,0mm, agulha 3,0mm, Snap e pitada. (conjunto com 6 unidades)</t>
  </si>
  <si>
    <t xml:space="preserve">dentalaccess </t>
  </si>
  <si>
    <t>Ponteira Com Filtro Estéril. 10uL  Livre de Dnase e Rnase; pcte com 1000 unidades</t>
  </si>
  <si>
    <t>dyslab</t>
  </si>
  <si>
    <t>Rack Vazio Para Ponteiras. Para ponteiras de 10ul  Autoclavável (121°C, 15 psi, 30 min.).</t>
  </si>
  <si>
    <t>laborchemiker</t>
  </si>
  <si>
    <t xml:space="preserve"> PONTEIRA PARA LABORATORIO, CAPACIDADE DE 100-1000UL, PACOTE COM 1000 UNIDADES, Ponteira universal sem filtro, capacidade de 100µL a 1000µL, azul, com marcação de volume, fabricada em PP, livre de DNase, RNase e Pirogênicos. Pacote/caixa com 1000 unidades.</t>
  </si>
  <si>
    <t xml:space="preserve">
Ponteira Para Micropipeta Com filtro Estéril. 20-200 µL; pcte de 1000 unidades</t>
  </si>
  <si>
    <t>BC LAB</t>
  </si>
  <si>
    <t xml:space="preserve">
Ponteira Para Micropipeta Sem filtro. 1000-10000 µL; pcte com 100 unidades</t>
  </si>
  <si>
    <t xml:space="preserve">
Ponteira Para Micropipeta Sem filtro. 1000-5000 µL; pcte com 1000 unidades</t>
  </si>
  <si>
    <t xml:space="preserve">
Ponteira Para Micropipeta Sem filtro. 200-1000 µL; pcte com 1000 unidades</t>
  </si>
  <si>
    <t>Ponteira Para Micropipeta Sem filtro. 20-200 µL; pcte de 1000 unidades</t>
  </si>
  <si>
    <t>acs reagentes</t>
  </si>
  <si>
    <t>superlabor</t>
  </si>
  <si>
    <t>Ponteira Para Micropipeta Sem filtro. 0,5-10 µL; pacote com 1000 unidades.</t>
  </si>
  <si>
    <t>Pipeta de laboratório científico único canal volume ajustável. 1000-10000 ul</t>
  </si>
  <si>
    <t>cheeslab</t>
  </si>
  <si>
    <t>Pipeta de laboratório científico único canal volume ajustável 1000-5000 ul</t>
  </si>
  <si>
    <t>Pipeta de laboratório científico único canal volume ajustável. 100-1000 ul</t>
  </si>
  <si>
    <t>Forlab Express</t>
  </si>
  <si>
    <t>Pipeta de laboratório científico único canal volume ajustável. 10-100 ul</t>
  </si>
  <si>
    <t>loja lab</t>
  </si>
  <si>
    <t>Unisciense</t>
  </si>
  <si>
    <t>Pipeta de laboratório científico único canal volume ajustável. 0,5-10 ul</t>
  </si>
  <si>
    <t>Chesselab</t>
  </si>
  <si>
    <t>Controlador Manual de Pipetas. Para aspiração e dispensação de pipetas com volumes de 1 a 100 ml, sejam elas de vidro ou plástico.
* Bocal removível: Permite autoclavagem a 121°C por 15 minutos.</t>
  </si>
  <si>
    <t>suturasonline</t>
  </si>
  <si>
    <t>PONTEIRA PARA LABORATORIO, PONTEIRA UNIVERSAL P/PIPETADOR,VOLUME APROX.DE 0.5 A 20 UL, Ponteira universal sem filtro, capacidade de 0,5µL a 10µL, transparente, fabricada em PP, livre de DNase, RNase e Pirogênicos. Em rack fabricado em polipropileno com tampa transparente com 96 unidades.</t>
  </si>
  <si>
    <t>PONTEIRA PARA LABORATORIO, PARA PIPETA AUTOMATICA, SEM BARREIRA, 200 uL., Ponteira para micropipetas 200 microlitros. Fabricado em polipropileno atóxico com 99,9% de pureza; livre de Dnase, Rnase, pirogênios, minerais ou metais pesados; ponteiras sem filtro (barreira); autoclavável a 121°C por 15 minutos; cor amarela. Pacotes com 1000 peças (não estéril)</t>
  </si>
  <si>
    <t>lmp</t>
  </si>
  <si>
    <t>PONTEIRA PARA LABORATORIO, PARA PIPETA AUTOMATICA, SEM BARREIRA, 200UL., Ponteira universal sem filtro, capacidade de 1µL a 200µL, amarela, fabricada em PP, livre de DNase, RNase e Pirogênicos. Em rack fabricado em polipropileno com tampa transparente com 96 unidades.</t>
  </si>
  <si>
    <t>elab commerce</t>
  </si>
  <si>
    <t>PONTEIRA PARA LABORATORIO, PARA PIPETA AUTOMATICA, SEM BARREIRA, 1000UL., Ponteira universal sem filtro, capacidade de 100µL a 1000µL, azul, fabricada em PP, livre de DNase, RNase e Pirogênicos. Em rack fabricado em polipropileno com tampa transparente com 96-100 unidades</t>
  </si>
  <si>
    <t>PONTEIRA PARA LABORATORIO, PARA PIPETA AUTOMATICA, SEM BARREIRA, 200UL., Ponteira universal sem filtro, capacidade de 1µL a 200µL, amarela, com marcação de volume, fabricada em PP, livre de DNase, RNase e Pirogênicos. Pacote/caixa com 1000 unidades.</t>
  </si>
  <si>
    <t>PONTEIRA PARA LABORATORIO, PARA PIPETA AUTOMATICA, SEM BARREIRA, 10UL., Ponteira universal sem filtro e com ponta curta, capacidade de 0,5µL a 10µL, transparente, fabricada em PP, livre de DNase, RNase e Pirogênicos. Pacote/caixa com 1000 unidades.</t>
  </si>
  <si>
    <t xml:space="preserve"> SUPORTE PARA MICROPIPETA, Suporte em acrilico para 6 micropipetas monocanal</t>
  </si>
  <si>
    <t>Pipetador de Volumes Manual (Aspirador para Pipetas pi-pump) até 25 ml</t>
  </si>
  <si>
    <t xml:space="preserve"> Pipeta Volumétrica Esgotamento Total Calsse A 5 ml - Limite de erro: 0,020 ml</t>
  </si>
  <si>
    <t xml:space="preserve"> Pipeta Volumétrica Esgotamento Total Calsse A 10 ml - Limite de erro: 0,020 ml</t>
  </si>
  <si>
    <t>MICROPIPETA, MONOCANAL, Micropipeta monocanal, volume variável (0,2-2ul). Com dispensador de ponteiras e sistema de numeração digital. Botão com dois estágios de operação. Ao menos a parte inferior autoclavável. Encaixe perfeito para ponteira do tipo universal. Micropipeta já calibrada pelo próprio fabricante.</t>
  </si>
  <si>
    <t>PRÓ-ANÁLISE</t>
  </si>
  <si>
    <t>EPPENDORF</t>
  </si>
  <si>
    <t xml:space="preserve">Micropipeta monocanal 100 – 1000 µl. Micropipeta monocanal 100 – 1000 µL. Modo de operação manual. Micropipetas com alto nível de precisão e exatidão (preferência para especificações como ISO 8655);Micropipetas com design ergonômico e fácil ajuste de volume, minimizando o esforço manual durante o uso prolongado; Materiais de alta qualidade que oferecem maior resistência química e menor desgaste mecânico, além de suporte técnico e disponibilidade de peças de reposição (manutenção facilitada); Micropipetas que sejam compatíveis com ponteiras universais e, preferencialmente, com ponteiras de baixo custo, sem perda de precisão; Possuir certificações internacionais, como ISO 9001 ou ISO 8655. Entrega no Laboratório de  Microbiologia, UDESC de Pinhalzinho. </t>
  </si>
  <si>
    <t>ELO SCIENTIFIC</t>
  </si>
  <si>
    <t xml:space="preserve">Micropipeta monocanal 30 – 300 µL. Micropipeta monocanal 30 – 300 µL. Modo de operação manual. Micropipetas com alto nível de precisão e exatidão (preferência para especificações como ISO 8655);Micropipetas com design ergonômico e fácil ajuste de volume, minimizando o esforço manual durante o uso prolongado; Materiais de alta qualidade que oferecem maior resistência química e menor desgaste mecânico, além de suporte técnico e disponibilidade de peças de reposição (manutenção facilitada); Micropipetas que sejam compatíveis com ponteiras universais e, preferencialmente, com ponteiras de baixo custo, sem perda de precisão; Possuir certificações internacionais, como ISO 9001 ou ISO 8655.Entrega no Laboratório de Bioprocessos, UDESC de Pinhalzinho. </t>
  </si>
  <si>
    <t xml:space="preserve">Micropipeta monocanal 20 – 200 µL. Micropipeta monocanal 20 – 200 µL. Modo de operação manual. Micropipetas com alto nível de precisão e exatidão (preferência para especificações como ISO 8655);Micropipetas com design ergonômico e fácil ajuste de volume, minimizando o esforço manual durante o uso prolongado; Materiais de alta qualidade que oferecem maior resistência química e menor desgaste mecânico, além de suporte técnico e disponibilidade de peças de reposição (manutenção facilitada); Micropipetas que sejam compatíveis com ponteiras universais e, preferencialmente, com ponteiras de baixo custo, sem perda de precisão; Possuir certificações internacionais, como ISO 9001 ou ISO 8655.Entrega no Laboratório de Bioprocessos, UDESC de Pinhalzinho. </t>
  </si>
  <si>
    <t xml:space="preserve">Micropipeta monocanal 10 – 100 µL. Micropipeta monocanal 10 – 100 µL. Modo de operação manual. Micropipetas com alto nível de precisão e exatidão (preferência para especificações como ISO 8655);Micropipetas com design ergonômico e fácil ajuste de volume, minimizando o esforço manual durante o uso prolongado; Materiais de alta qualidade que oferecem maior resistência química e menor desgaste mecânico, além de suporte técnico e disponibilidade de peças de reposição (manutenção facilitada); Micropipetas que sejam compatíveis com ponteiras universais e, preferencialmente, com ponteiras de baixo custo, sem perda de precisão; Possuir certificações internacionais, como ISO 9001 ou ISO 8655. Entrega no Laboratório de Bioprocessos, UDESC de Pinhalzinho. </t>
  </si>
  <si>
    <t xml:space="preserve">Micropipeta monocanal 2 – 20 µL. Micropipeta monocanal 2 – 20 µL. Modo de operação manual. Micropipetas com alto nível de precisão e exatidão (preferência para especificações como ISO 8655);Micropipetas com design ergonômico e fácil ajuste de volume, minimizando o esforço manual durante o uso prolongado; Materiais de alta qualidade que oferecem maior resistência química e menor desgaste mecânico, além de suporte técnico e disponibilidade de peças de reposição (manutenção facilitada); Micropipetas que sejam compatíveis com ponteiras universais e, preferencialmente, com ponteiras de baixo custo, sem perda de precisão; Possuir certificações internacionais, como ISO 9001 ou ISO 8655. Entrega no Laboratório de Bioprocessos, UDESC de Pinhalzinho. </t>
  </si>
  <si>
    <t xml:space="preserve">Micropipeta monocanal 0,5 – 10 µL. Micropipeta monocanal 0,5 – 10 µL. Modo de operação manual. Micropipetas com alto nível de precisão e exatidão (preferência para especificações como ISO 8655);Micropipetas com design ergonômico e fácil ajuste de volume, minimizando o esforço manual durante o uso prolongado; Materiais de alta qualidade que oferecem maior resistência química e menor desgaste mecânico, além de suporte técnico e disponibilidade de peças de reposição (manutenção facilitada); Micropipetas que sejam compatíveis com ponteiras universais e, preferencialmente, com ponteiras de baixo custo, sem perda de precisão; Possuir certificações internacionais, como ISO 9001 ou ISO 8655.Entrega no Laboratório de Bioprocessos, UDESC de Pinhalzinho. </t>
  </si>
  <si>
    <t xml:space="preserve">Micropipeta monocanal 0,1 – 2,5 µL. Micropipeta monocanal 0,1 – 2,5 µL. Modo de operação manual. Micropipetas com alto nível de precisão e exatidão (preferência para especificações como ISO 8655);Micropipetas com design ergonômico e fácil ajuste de volume, minimizando o esforço manual durante o uso prolongado; Materiais de alta qualidade que oferecem maior resistência química e menor desgaste mecânico, além de suporte técnico e disponibilidade de peças de reposição (manutenção facilitada); Micropipetas que sejam compatíveis com ponteiras universais e, preferencialmente, com ponteiras de baixo custo, sem perda de precisão; Possuir certificações internacionais, como ISO 9001 ou ISO 8655.Entrega no Laboratório de Bioprocessos, UDESC de Pinhalzinho.  </t>
  </si>
  <si>
    <t>EPLAB</t>
  </si>
  <si>
    <t>uniscience</t>
  </si>
  <si>
    <t>61-15</t>
  </si>
  <si>
    <t xml:space="preserve">Micropipeta Multicanal 0,5 -10 uL. Micropipeta monocanal 0,5 – 10 µL. Modo de operação manual. Micropipetas com alto nível de precisão e exatidão (preferência para especificações como ISO 8655);Micropipetas com design ergonômico e fácil ajuste de volume, minimizando o esforço manual durante o uso prolongado; Materiais de alta qualidade que oferecem maior resistência química e menor desgaste mecânico, além de suporte técnico e disponibilidade de peças de reposição (manutenção facilitada); Micropipetas que sejam compatíveis com ponteiras universais e, preferencialmente, com ponteiras de baixo custo, sem perda de precisão; Possuir certificações internacionais, como ISO 9001 ou ISO 8655.Entrega no Laboratório de Bioprocessos, UDESC de Pinhalzinho. </t>
  </si>
  <si>
    <t>DSYLAB</t>
  </si>
  <si>
    <t xml:space="preserve">Micropipeta Multicanal 20 -200 uL. Micropipeta multicanal com 12 canais, volume de 20 a 200 µL. Micropipetas com alto nível de precisão e exatidão (preferência para especificações como ISO 8655);Micropipetas com design ergonômico e fácil ajuste de volume, minimizando o esforço manual durante o uso prolongado; Materiais de alta qualidade que oferecem maior resistência química e menor desgaste mecânico, além de suporte técnico e disponibilidade de peças de reposição (manutenção facilitada); Micropipetas que sejam compatíveis com ponteiras universais e, preferencialmente, com ponteiras de baixo custo, sem perda de precisão; Possuir certificações internacionais, como ISO 9001 ou ISO 8655. Entrega no Laboratório de Bioprocessos, UDESC de Pinhalzinho. </t>
  </si>
  <si>
    <t>generalmed</t>
  </si>
  <si>
    <t>MICROPIPETA, MONOCANAL, Micropipeta monocanal, volume variável (20-200ul). Com dispensador de ponteiras e sistema de numeração digital. Botão com dois estágios de operação. Ao menos a parte inferior autoclavável. Encaixe perfeito para ponteira do tipo universal. Micropipeta já calibrada pelo próprio fabricante.</t>
  </si>
  <si>
    <t>Mezzalira mix</t>
  </si>
  <si>
    <t>Apismel</t>
  </si>
  <si>
    <t>Fumigador de Apicultura.Capacidade de 4 litros, material em aço carbono.</t>
  </si>
  <si>
    <t>dkadi decor</t>
  </si>
  <si>
    <t>beethoven agropet</t>
  </si>
  <si>
    <t>63-11</t>
  </si>
  <si>
    <r>
      <t>Caixa modelo Langstroth para abelha com ferrão (</t>
    </r>
    <r>
      <rPr>
        <i/>
        <sz val="12"/>
        <rFont val="Calibri"/>
        <family val="2"/>
        <scheme val="minor"/>
      </rPr>
      <t>Apis mellifera</t>
    </r>
    <r>
      <rPr>
        <sz val="12"/>
        <rFont val="Calibri"/>
        <family val="2"/>
        <scheme val="minor"/>
      </rPr>
      <t>)</t>
    </r>
    <r>
      <rPr>
        <sz val="12"/>
        <color theme="1"/>
        <rFont val="Calibri"/>
        <family val="2"/>
        <scheme val="minor"/>
      </rPr>
      <t>. Colmeia com 2 melgueiras</t>
    </r>
  </si>
  <si>
    <t>Senhor das patas</t>
  </si>
  <si>
    <t>Caixa de abelha SEM ferrão, Modelo INPA. Caixa modelo INPA, para abelha sem ferrão (ASF), 15 x 15, material eucalipto 3cm de espessura</t>
  </si>
  <si>
    <t>Caixa de abelha sem ferrão Modelo INPA. Caixa modelo INPA, para abelha sem ferrão (ASF), 12 x 12, material eucalipto 3cm de espessura</t>
  </si>
  <si>
    <t>eplab</t>
  </si>
  <si>
    <t>DYSLAB</t>
  </si>
  <si>
    <t>Microtubos 200µl Tampa Chata Transparente. 200 ul Fabricados em polipropileno. Pacote com 1000 Unidades Livre de DNase, RNase Autoclavável</t>
  </si>
  <si>
    <t>bclab</t>
  </si>
  <si>
    <t>Microtubo Tipo Eppendorf 2ml. 2 ml Pacote Com 500 Unidades Fabricados em polipropileno transparente. Autoclavável (121°C, 15 psi, 15 min.)</t>
  </si>
  <si>
    <t>Microtubo Tipo Eppendorf 1,5ml. 1,5 ml Pacote Com 500 Unidades Fabricados em polipropileno transparente. Autoclavável (121°C, 15 psi, 15 min.); pcte com 500 unidades</t>
  </si>
  <si>
    <t xml:space="preserve">QWB </t>
  </si>
  <si>
    <t>orionprodutos</t>
  </si>
  <si>
    <t>Seta para ocular de microscópio, em aço inoxidável, compatível com oculares de 10x/22, WF16mm/13mm e 20x/11.</t>
  </si>
  <si>
    <t>Laborglas</t>
  </si>
  <si>
    <t>OrionCeintific</t>
  </si>
  <si>
    <t>Cone Imhoff de acrilico. Cone em acrílico, com graduação permanente, capacidade útil de 1000L, com tampa rosca para facilitar a drenagem. 
- Graduação 1000 litros com:
- Volume _______ Subdivisão
- 0 ~ 2 ml __________1/10
- 2 ~ 10 ml __________1/2
- 10 ~ 40 ml __________1/1
- 40 ~ 100 ml _________2/1
- 100 ~ 1000 ml _______50/1</t>
  </si>
  <si>
    <t>medix brasil</t>
  </si>
  <si>
    <t>PLACA DE PETRI EM PS 60X15MM LISA - Cx. c/ 420 unid.</t>
  </si>
  <si>
    <t xml:space="preserve">Placa de Petri de Vidro 100 x 20mm </t>
  </si>
  <si>
    <t xml:space="preserve">Placa de Petri de Vidro 80 x 15mm </t>
  </si>
  <si>
    <t>PLACA DE PETRI, 90X15MM, PACOTE COM 10 UNIDADES, SEM DIVISÃO, ESTÉRIL (DESCARTÁVEL), CONFECCIONADA EM POLIESTIRENO CRISTAL</t>
  </si>
  <si>
    <t xml:space="preserve"> PLACA DE PETRI,VIDRO TRANSPARENTE,SUPERF.(D), Dimensões de 60 x 15 mm. 10 unidades.</t>
  </si>
  <si>
    <t>lab import</t>
  </si>
  <si>
    <t>Estante Grade 90 Tubos Branco. Permite o uso em conjunto com banho-maria, freezer e estufa;
Resistente a autoclave a 121°C por até 10 minutos;
Alfanumérica;
Dimensões (CxLxA): 25x10,5x7cm.</t>
  </si>
  <si>
    <t>Estante em polipropileno para tubos de ensaio. para 60 tubos de ensaio 17mm ; material autoclavável</t>
  </si>
  <si>
    <t>Estante Universal Suporte Giratório. Para 10 Micropietas – Fabricado em PVC Branco</t>
  </si>
  <si>
    <t>lkp</t>
  </si>
  <si>
    <t xml:space="preserve"> RACK EM POLIPROPILENO AUTOCLAVAVEL, Rack plástica para Tubos de Centrifugação (tubos Falcon) de 15 e 50 ml autoclavável e fabricado em PP é utilizado para armazenar tubos de 15 e 50mL.</t>
  </si>
  <si>
    <t xml:space="preserve"> RACK EM POLIPROPILENO AUTOCLAVAVEL, Rack dupla face para 96 microtubos Descrição: Fabricado em polipropileno; Capacidade para 96 microtubos de 0,5mL em um lado e 96 microtubos de 1,5mL ou 2,0mL em outro; Formato retangular com identificação alfanumérica, padrão 8×12; Tampa destacável com encaixe nas laterais;? Autoclavável (121°C, 15psi, 30min).</t>
  </si>
  <si>
    <t xml:space="preserve"> Rack sem tampa para 100 tubos, para armazenamento e transporte de tubos criogênicos e microtubos. Ideal para microtubos de 1,5 a 2,0 ml. Fabricado em polipropileno colorido, com identificação numérica. Autoclavável.</t>
  </si>
  <si>
    <t>montserrat</t>
  </si>
  <si>
    <t>Estantes Para 40 Tubos De Ensaio Em Arame Revestido De PVC - Diâmetros de suporte 20/21 mm</t>
  </si>
  <si>
    <t>Estantes Para 40 Tubos De Ensaio Em Arame Revestido De PVC - Diâmetros de suporte 15/16 mm</t>
  </si>
  <si>
    <t> Estante grade para tubo Falcon 50ml. Estante autoclavável em  Polipropileno.
Possui capacidade para 30 tubos de 15mL e 20 tubos de 50mL. Autoclavável (121°C, 15 psi, 15 min.).</t>
  </si>
  <si>
    <t>7lab</t>
  </si>
  <si>
    <t>akso</t>
  </si>
  <si>
    <t>Eletrodo de pH para Líquidos</t>
  </si>
  <si>
    <t>Parafilm M - Rolo com 10,2cm largura x 38,1m de comprimento</t>
  </si>
  <si>
    <t>Suporte Universal haste em ferro zincado Comprimento da Haste 70cm</t>
  </si>
  <si>
    <t xml:space="preserve"> CAMARA DE CONTAGEM, Câmara Neubauer dupla melhorada espelhada - Dimensão aproximada (CxLxA): 7,5x3,2x0,35xm.</t>
  </si>
  <si>
    <t>DESSECADOR C/TAMPA, LUVA/DISCO 
PORCELANA,160MM DE DIAM.</t>
  </si>
  <si>
    <t>casa lab</t>
  </si>
  <si>
    <t>LMP LAB</t>
  </si>
  <si>
    <t>Filtro Peneira de Nylon Estéril  (Cell Strainers) - 100um - 50 Unid</t>
  </si>
  <si>
    <t>Prolab</t>
  </si>
  <si>
    <t>DISPENSADOR DE VOLUMES MANUAL. 2,5 a 25 ml</t>
  </si>
  <si>
    <t>DISPENSADOR DE VOLUMES MANUAL. resistente a ácidos e bases com regulagem de 1 a 10 mL</t>
  </si>
  <si>
    <t>fabeni</t>
  </si>
  <si>
    <t>LEICA</t>
  </si>
  <si>
    <t>CASALAB</t>
  </si>
  <si>
    <t>Moldes de polietileno para inclusão de 9 amostras histológicas em resina plástica, 9 inclusões com cerca de 6 x 8 mm  cada. Kit com 10</t>
  </si>
  <si>
    <t>Moldes de polietileno para inclusão de 9 amostras histológicas em resina plástica, 9 inclusões com cerca de 13 x 19 mm cada. Kit com 10</t>
  </si>
  <si>
    <t>fort medical</t>
  </si>
  <si>
    <t>Bolsa Pressórica. Bolsa Pressurizadora (Bolsa Pressórica) 500ml. Para pressurização de fluídos. Para pressurização de fluídos. Bolsa transparente, permite fácil visualização do frasco de soro e ventilação do nível do fluido. Resistente, produzido em Poliuretano denso. Com Gancho especial embutido, permite que o frasco de soro seja substituído sem remover o Clear-Cuff do suporte.  O bulbo extragrande permite uma perfeita insuflação com mais rapidez e facilidade. Torneira de três vias de alto fluxo permite o esvaziamento quase instantâneo do Clear-Cuff sem comprimir a bolsa.</t>
  </si>
  <si>
    <t>Hospicenter</t>
  </si>
  <si>
    <t>Sistema de conector valvulado neutro, com sistema fechado; a válvula evita o extravasamento de fluídos e embolia aérea, além de dificultar a entrada de micro-organismos na corrente sanguínea. Dispensa o uso de agulhas; compatível com conexões Luer Lock e Luer Slip. Fabricado em Policarbonato e Silicone grau médico, Baixo volume de prime, Comprimento: preferência 24 mm, Número mínimo de ativações: 100. Esteril, embalados individualmente em blister. Caixa com 100 unidades</t>
  </si>
  <si>
    <t>PAPEL FILTRO
QUANTITATIVO DIÂMETRO DE 11 CM-PCT 100 UND.(FILTRAÇÃO MÉDIA)</t>
  </si>
  <si>
    <t>Papel Filtro Qualitativo 80g Diâmetro 24cm Pacote C/100 Folhas</t>
  </si>
  <si>
    <t>MEMBRANA PARA USO EM LABORATORIO, MEMBRANA FILTRANTE PTFE47MM E 0,45 MICROMETROS DE POROSIDADE, Membrana de filtração lisa ou quadriculada, 47 mm, poro 0,45 microns, material com base em mistura de ésteres ou nylon ou PTFE ou PVDF, embaladas individualmente, caixa com no mínimo 150 unidades</t>
  </si>
  <si>
    <t>MEMBRANA PARA USO EM LABORATORIO, DE FILTRACAO DE 0.45 MICRONS 47MM, CAIXA COM 100 UNIDADES, Membrana filtrante: Membrana filtrante de nitrato de celulose, quadriculada, 0,45 ?m, 47 mm, pacote com 100 unidades</t>
  </si>
  <si>
    <t>Uninatural</t>
  </si>
  <si>
    <t>Healing</t>
  </si>
  <si>
    <t>Mona’s Flower</t>
  </si>
  <si>
    <t xml:space="preserve">Unidade </t>
  </si>
  <si>
    <t>Floral Rescue  10 ML</t>
  </si>
  <si>
    <t>Uniflowers</t>
  </si>
  <si>
    <t>kit</t>
  </si>
  <si>
    <t>Kit completo de Florais de Bach originais contém 38 essências 10 ml</t>
  </si>
  <si>
    <t>BARRILETE PARA AGUA DESTILADA, CAPACIDADE 20 LTS, Em polietileno</t>
  </si>
  <si>
    <t>Tubo para Centrífuga Tipo Falcon Estéril Pacote com 50 unidades. Volume de 50 ml Autoclavável: Pode ser autoclavado a 121°C, 15 PSI por 15 minutos, para reutilização segura.</t>
  </si>
  <si>
    <t>dental e cia</t>
  </si>
  <si>
    <t xml:space="preserve">Bandeja Inox para uso hospitalar. Bandeja Inox Lisa para uso hospitalar – tamanho 30 x 20 x 4cm. </t>
  </si>
  <si>
    <t>Frasco coleta água com Tiossulfato. Capacidade de 120ml; pcte com 100 unidades</t>
  </si>
  <si>
    <t>BCLAB</t>
  </si>
  <si>
    <t>66-18</t>
  </si>
  <si>
    <t>Tiras para Uroanálise. Tiras para Uroanálise. Tiras reativas "dip-and-read" para Diagnóstico In Vitro de determinação rápida, para testar os parâmetros na urina. (Frasco com 150 tiras)</t>
  </si>
  <si>
    <t>farma agora</t>
  </si>
  <si>
    <t>diabetes farma</t>
  </si>
  <si>
    <t>farmacia preço popular</t>
  </si>
  <si>
    <t xml:space="preserve">Lancetas para teste de glicemia -HGT. Lanceta trifacetada e siliconada, sistema estéril. Sistema de punção estéril completo de lanceta conjunta com o lanceteador; com 1 ajuste de profundidade com agulha de 0,36mm, 28G. Cx com 200 unidades </t>
  </si>
  <si>
    <t>Surya dental</t>
  </si>
  <si>
    <t>02</t>
  </si>
  <si>
    <t>Fita para autoclave 18mm x 55m. Com linhas termo sensíveis</t>
  </si>
  <si>
    <t>descarpark</t>
  </si>
  <si>
    <t>Dispositivo para Transferência de Soluções. Dispositivo para Transferência de Soluções, para troca de soluções assépticas de recipientes de soluções intravenosas.  Lanceta perfuradora adaptável aos recipientes de solução; disponível para conexão fêmea; esterilizado por óxido etileno; Apirogênico e Atóxico. Permite acesso aos recipientes de soluções parenterais em sistema fechado, para irrigações, curativos e procedimentos com soluções estéreis. (Caixa com 100 unidades)</t>
  </si>
  <si>
    <t xml:space="preserve">LAMINA PARA BISTURI EM ACO CARBONO N.24, esterilizada caixa com 100 unidades. UNIDADE peça corresponde a caixa com 100 unidades </t>
  </si>
  <si>
    <t>PISSETA, Pisseta com classificação de risco
(água destilada).500ml</t>
  </si>
  <si>
    <t xml:space="preserve">Aparelho de pressão digital de braço. Com tensiômetro digital de braço, com medições de pressão, indicador de erro, enchimento automático, memória acima de 90, circunferência mínima da braçadeira: 22cm. </t>
  </si>
  <si>
    <t xml:space="preserve">Tiras reagentes para verificação de Glicemia. Compatíveis com o aparelho Accu-Chek; Resultados em 5 segundos, exige apenas 0,6 µL de sangue. Cx com 50 unidades    </t>
  </si>
  <si>
    <t>Oxímetro de dedo. Usado para medir a saturação de oxigênio no sangue e  frequência cardíaca. Adulto</t>
  </si>
  <si>
    <t>Fio de Sutura Nylon 3-0 Monofilamento Preto  (Ag-1/2-25mm), esteril, embalado individualmente, 45cm de comprimento. (cx com 24 unidades)</t>
  </si>
  <si>
    <t>FITA P/DETERMINACAO DE PH, FAIXA DE 0 A 14Papel indicador de PH (0 – 14), jogo com 100 unidades, graduação de 1 em 1. Indicada para uso em análise ambiental e controle de processos industriais</t>
  </si>
  <si>
    <t>Total Lote</t>
  </si>
  <si>
    <t>Anexo II - Planilha de itens</t>
  </si>
  <si>
    <t>TOTAL  = R$342.827,55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</si>
</sst>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R$&quot;\ #,##0.00;[Red]\-&quot;R$&quot;\ #,##0.00"/>
    <numFmt numFmtId="44" formatCode="_-&quot;R$&quot;\ * #,##0.00_-;\-&quot;R$&quot;\ * #,##0.00_-;_-&quot;R$&quot;\ * &quot;-&quot;??_-;_-@_-"/>
    <numFmt numFmtId="164" formatCode="00"/>
    <numFmt numFmtId="165" formatCode="0000"/>
    <numFmt numFmtId="166" formatCode="0.0%"/>
    <numFmt numFmtId="167" formatCode="&quot;R$&quot;\ #,##0.00"/>
    <numFmt numFmtId="168" formatCode="#,##0.0000"/>
  </numFmts>
  <fonts count="28" x14ac:knownFonts="1">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b/>
      <sz val="11"/>
      <color theme="1"/>
      <name val="Calibri"/>
      <family val="2"/>
      <scheme val="minor"/>
    </font>
    <font>
      <b/>
      <sz val="18"/>
      <color rgb="FFFFFFFF"/>
      <name val="Calibri"/>
      <family val="2"/>
    </font>
    <font>
      <b/>
      <i/>
      <sz val="12"/>
      <name val="Calibri"/>
      <family val="2"/>
    </font>
    <font>
      <b/>
      <i/>
      <sz val="12"/>
      <name val="Calibri"/>
      <family val="2"/>
      <scheme val="minor"/>
    </font>
    <font>
      <b/>
      <sz val="12"/>
      <color indexed="8"/>
      <name val="Calibri"/>
      <family val="2"/>
    </font>
    <font>
      <b/>
      <sz val="11"/>
      <color indexed="8"/>
      <name val="Calibri"/>
      <family val="2"/>
    </font>
    <font>
      <b/>
      <i/>
      <sz val="12"/>
      <color indexed="8"/>
      <name val="Calibri"/>
      <family val="2"/>
    </font>
    <font>
      <sz val="8"/>
      <name val="Calibri"/>
      <family val="2"/>
    </font>
    <font>
      <sz val="12"/>
      <name val="Calibri"/>
      <family val="2"/>
    </font>
    <font>
      <sz val="12"/>
      <name val="Calibri"/>
      <family val="2"/>
      <scheme val="minor"/>
    </font>
    <font>
      <sz val="10"/>
      <name val="Calibri"/>
      <family val="2"/>
      <scheme val="minor"/>
    </font>
    <font>
      <sz val="11"/>
      <name val="Calibri"/>
      <family val="2"/>
    </font>
    <font>
      <sz val="12"/>
      <color rgb="FF000000"/>
      <name val="Calibri"/>
      <family val="2"/>
      <scheme val="minor"/>
    </font>
    <font>
      <sz val="12"/>
      <color theme="1"/>
      <name val="Calibri"/>
      <family val="2"/>
      <scheme val="minor"/>
    </font>
    <font>
      <sz val="10"/>
      <name val="Calibri"/>
      <family val="2"/>
    </font>
    <font>
      <sz val="10"/>
      <color theme="1"/>
      <name val="Calibri"/>
      <family val="2"/>
      <scheme val="minor"/>
    </font>
    <font>
      <sz val="10"/>
      <color rgb="FF000000"/>
      <name val="Calibri"/>
      <family val="2"/>
    </font>
    <font>
      <sz val="10"/>
      <color indexed="8"/>
      <name val="Calibri"/>
      <family val="2"/>
    </font>
    <font>
      <sz val="12"/>
      <color indexed="8"/>
      <name val="Calibri"/>
      <family val="2"/>
    </font>
    <font>
      <sz val="10"/>
      <color rgb="FF000000"/>
      <name val="Calibri"/>
      <family val="2"/>
      <scheme val="minor"/>
    </font>
    <font>
      <i/>
      <sz val="12"/>
      <name val="Calibri"/>
      <family val="2"/>
      <scheme val="minor"/>
    </font>
    <font>
      <b/>
      <sz val="14"/>
      <name val="Calibri"/>
      <family val="2"/>
    </font>
    <font>
      <b/>
      <sz val="12"/>
      <name val="Calibri"/>
      <family val="2"/>
    </font>
    <font>
      <b/>
      <sz val="14"/>
      <color theme="1"/>
      <name val="Calibri"/>
      <family val="2"/>
      <scheme val="minor"/>
    </font>
  </fonts>
  <fills count="10">
    <fill>
      <patternFill patternType="none"/>
    </fill>
    <fill>
      <patternFill patternType="gray125"/>
    </fill>
    <fill>
      <patternFill patternType="solid">
        <fgColor rgb="FFC6EFCE"/>
      </patternFill>
    </fill>
    <fill>
      <patternFill patternType="solid">
        <fgColor rgb="FFFFC7CE"/>
      </patternFill>
    </fill>
    <fill>
      <patternFill patternType="solid">
        <fgColor rgb="FF149B55"/>
        <bgColor rgb="FF003366"/>
      </patternFill>
    </fill>
    <fill>
      <patternFill patternType="solid">
        <fgColor rgb="FF149B55"/>
        <bgColor indexed="64"/>
      </patternFill>
    </fill>
    <fill>
      <patternFill patternType="solid">
        <fgColor theme="0"/>
        <bgColor indexed="64"/>
      </patternFill>
    </fill>
    <fill>
      <patternFill patternType="solid">
        <fgColor rgb="FFFFFFCC"/>
      </patternFill>
    </fill>
    <fill>
      <patternFill patternType="solid">
        <fgColor theme="6" tint="0.79998168889431442"/>
        <bgColor indexed="65"/>
      </patternFill>
    </fill>
    <fill>
      <patternFill patternType="solid">
        <fgColor rgb="FFFFFF0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auto="1"/>
      </top>
      <bottom style="thin">
        <color auto="1"/>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right/>
      <top/>
      <bottom style="thin">
        <color auto="1"/>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7" borderId="11" applyNumberFormat="0" applyFont="0" applyAlignment="0" applyProtection="0"/>
    <xf numFmtId="0" fontId="1" fillId="8" borderId="0" applyNumberFormat="0" applyBorder="0" applyAlignment="0" applyProtection="0"/>
  </cellStyleXfs>
  <cellXfs count="127">
    <xf numFmtId="0" fontId="0" fillId="0" borderId="0" xfId="0"/>
    <xf numFmtId="165" fontId="7" fillId="5" borderId="2" xfId="0" applyNumberFormat="1" applyFont="1" applyFill="1" applyBorder="1" applyAlignment="1">
      <alignment horizontal="center" vertical="center" wrapText="1"/>
    </xf>
    <xf numFmtId="0" fontId="0" fillId="0" borderId="0" xfId="0" applyFill="1"/>
    <xf numFmtId="165" fontId="7" fillId="5" borderId="5" xfId="0" applyNumberFormat="1" applyFont="1" applyFill="1" applyBorder="1" applyAlignment="1">
      <alignment horizontal="center" vertical="center"/>
    </xf>
    <xf numFmtId="4" fontId="11" fillId="5" borderId="6" xfId="1" applyNumberFormat="1" applyFont="1" applyFill="1" applyBorder="1" applyAlignment="1">
      <alignment horizontal="center"/>
    </xf>
    <xf numFmtId="0" fontId="13" fillId="6" borderId="6" xfId="0" applyFont="1" applyFill="1" applyBorder="1" applyAlignment="1">
      <alignment horizontal="center" vertical="center" wrapText="1"/>
    </xf>
    <xf numFmtId="2" fontId="13" fillId="6" borderId="1" xfId="1" applyNumberFormat="1" applyFont="1" applyFill="1" applyBorder="1" applyAlignment="1">
      <alignment horizontal="center" vertical="center" wrapText="1"/>
    </xf>
    <xf numFmtId="167" fontId="14" fillId="6" borderId="1" xfId="0" applyNumberFormat="1" applyFont="1" applyFill="1" applyBorder="1" applyAlignment="1">
      <alignment horizontal="center" vertical="center" wrapText="1"/>
    </xf>
    <xf numFmtId="167" fontId="14" fillId="6" borderId="1" xfId="4" applyNumberFormat="1" applyFont="1" applyFill="1" applyBorder="1" applyAlignment="1">
      <alignment horizontal="center" vertical="center" wrapText="1"/>
    </xf>
    <xf numFmtId="167" fontId="15" fillId="6" borderId="1" xfId="0" applyNumberFormat="1" applyFont="1" applyFill="1" applyBorder="1" applyAlignment="1">
      <alignment horizontal="center" vertical="center"/>
    </xf>
    <xf numFmtId="164" fontId="12" fillId="6" borderId="2" xfId="0" applyNumberFormat="1" applyFont="1" applyFill="1" applyBorder="1" applyAlignment="1">
      <alignment horizontal="center" vertical="center"/>
    </xf>
    <xf numFmtId="0" fontId="13" fillId="6" borderId="1" xfId="0" applyFont="1" applyFill="1" applyBorder="1" applyAlignment="1">
      <alignment horizontal="left" vertical="center" wrapText="1"/>
    </xf>
    <xf numFmtId="0" fontId="13" fillId="6" borderId="3" xfId="0" applyFont="1" applyFill="1" applyBorder="1" applyAlignment="1">
      <alignment horizontal="center" vertical="center" wrapText="1"/>
    </xf>
    <xf numFmtId="4" fontId="12" fillId="6" borderId="3" xfId="1" applyNumberFormat="1" applyFont="1" applyFill="1" applyBorder="1" applyAlignment="1">
      <alignment horizontal="center"/>
    </xf>
    <xf numFmtId="4" fontId="15" fillId="6" borderId="1" xfId="1" applyNumberFormat="1" applyFont="1" applyFill="1" applyBorder="1" applyAlignment="1">
      <alignment horizontal="center" vertical="center"/>
    </xf>
    <xf numFmtId="166" fontId="15" fillId="6" borderId="1" xfId="2" applyNumberFormat="1" applyFont="1" applyFill="1" applyBorder="1" applyAlignment="1">
      <alignment horizontal="center" vertical="center"/>
    </xf>
    <xf numFmtId="2" fontId="13" fillId="6" borderId="1" xfId="0" applyNumberFormat="1" applyFont="1" applyFill="1" applyBorder="1" applyAlignment="1">
      <alignment horizontal="center" vertical="center" wrapText="1"/>
    </xf>
    <xf numFmtId="0" fontId="14" fillId="6" borderId="1" xfId="0" applyFont="1" applyFill="1" applyBorder="1" applyAlignment="1">
      <alignment horizontal="center" vertical="center" wrapText="1"/>
    </xf>
    <xf numFmtId="4" fontId="15" fillId="6" borderId="3" xfId="1" applyNumberFormat="1" applyFont="1" applyFill="1" applyBorder="1" applyAlignment="1">
      <alignment horizontal="center" vertical="center"/>
    </xf>
    <xf numFmtId="16" fontId="13" fillId="6" borderId="3" xfId="0" applyNumberFormat="1" applyFont="1" applyFill="1" applyBorder="1" applyAlignment="1">
      <alignment horizontal="center" vertical="center" wrapText="1"/>
    </xf>
    <xf numFmtId="0" fontId="18" fillId="6" borderId="1" xfId="0" applyFont="1" applyFill="1" applyBorder="1" applyAlignment="1">
      <alignment horizontal="center" vertical="center" wrapText="1"/>
    </xf>
    <xf numFmtId="0" fontId="14" fillId="6" borderId="1" xfId="3" applyFont="1" applyFill="1" applyBorder="1" applyAlignment="1">
      <alignment horizontal="center" vertical="center" wrapText="1"/>
    </xf>
    <xf numFmtId="167" fontId="14" fillId="6" borderId="1" xfId="3" applyNumberFormat="1" applyFont="1" applyFill="1" applyBorder="1" applyAlignment="1">
      <alignment horizontal="center" vertical="center" wrapText="1"/>
    </xf>
    <xf numFmtId="167" fontId="19" fillId="6" borderId="0" xfId="0" applyNumberFormat="1" applyFont="1" applyFill="1" applyAlignment="1">
      <alignment horizontal="center" vertical="center" wrapText="1"/>
    </xf>
    <xf numFmtId="0" fontId="16" fillId="6" borderId="1" xfId="0" applyFont="1" applyFill="1" applyBorder="1" applyAlignment="1">
      <alignment horizontal="left" vertical="center" wrapText="1"/>
    </xf>
    <xf numFmtId="0" fontId="19" fillId="6" borderId="1" xfId="0" applyFont="1" applyFill="1" applyBorder="1" applyAlignment="1">
      <alignment horizontal="center" vertical="center" wrapText="1"/>
    </xf>
    <xf numFmtId="167" fontId="19" fillId="6" borderId="1" xfId="0" applyNumberFormat="1" applyFont="1" applyFill="1" applyBorder="1" applyAlignment="1">
      <alignment horizontal="center" vertical="center" wrapText="1"/>
    </xf>
    <xf numFmtId="2" fontId="16" fillId="6" borderId="1" xfId="1" applyNumberFormat="1" applyFont="1" applyFill="1" applyBorder="1" applyAlignment="1">
      <alignment horizontal="center" vertical="center" wrapText="1"/>
    </xf>
    <xf numFmtId="2" fontId="16" fillId="6" borderId="1" xfId="0" applyNumberFormat="1" applyFont="1" applyFill="1" applyBorder="1" applyAlignment="1">
      <alignment horizontal="center" vertical="center" wrapText="1"/>
    </xf>
    <xf numFmtId="167" fontId="14" fillId="6" borderId="1" xfId="1" applyNumberFormat="1" applyFont="1" applyFill="1" applyBorder="1" applyAlignment="1">
      <alignment horizontal="center" vertical="center" wrapText="1"/>
    </xf>
    <xf numFmtId="0" fontId="13" fillId="6" borderId="2" xfId="0" applyFont="1" applyFill="1" applyBorder="1" applyAlignment="1">
      <alignment horizontal="left" vertical="center" wrapText="1"/>
    </xf>
    <xf numFmtId="0" fontId="17" fillId="6" borderId="1" xfId="0" applyFont="1" applyFill="1" applyBorder="1" applyAlignment="1">
      <alignment horizontal="left" vertical="center" wrapText="1"/>
    </xf>
    <xf numFmtId="0" fontId="13" fillId="6" borderId="7" xfId="0" applyFont="1" applyFill="1" applyBorder="1" applyAlignment="1">
      <alignment horizontal="center" vertical="center" wrapText="1"/>
    </xf>
    <xf numFmtId="0" fontId="17" fillId="6" borderId="5" xfId="0" applyFont="1" applyFill="1" applyBorder="1" applyAlignment="1">
      <alignment horizontal="left" vertical="center" wrapText="1"/>
    </xf>
    <xf numFmtId="16" fontId="13" fillId="6" borderId="7" xfId="0" applyNumberFormat="1" applyFont="1" applyFill="1" applyBorder="1" applyAlignment="1">
      <alignment horizontal="center" vertical="center" wrapText="1"/>
    </xf>
    <xf numFmtId="0" fontId="13" fillId="6" borderId="4" xfId="0" applyFont="1" applyFill="1" applyBorder="1" applyAlignment="1">
      <alignment horizontal="center" vertical="center" wrapText="1"/>
    </xf>
    <xf numFmtId="4" fontId="12" fillId="6" borderId="7" xfId="1" applyNumberFormat="1" applyFont="1" applyFill="1" applyBorder="1" applyAlignment="1">
      <alignment horizontal="center"/>
    </xf>
    <xf numFmtId="2" fontId="16" fillId="6" borderId="3" xfId="0" applyNumberFormat="1" applyFont="1" applyFill="1" applyBorder="1" applyAlignment="1">
      <alignment horizontal="center" vertical="center" wrapText="1"/>
    </xf>
    <xf numFmtId="167" fontId="14" fillId="6" borderId="1" xfId="4" applyNumberFormat="1" applyFont="1" applyFill="1" applyBorder="1" applyAlignment="1">
      <alignment horizontal="center" vertical="center"/>
    </xf>
    <xf numFmtId="0" fontId="20" fillId="6" borderId="1" xfId="0" applyFont="1" applyFill="1" applyBorder="1" applyAlignment="1">
      <alignment horizontal="center" vertical="center" wrapText="1"/>
    </xf>
    <xf numFmtId="8" fontId="18" fillId="6" borderId="1" xfId="0" applyNumberFormat="1" applyFont="1" applyFill="1" applyBorder="1" applyAlignment="1">
      <alignment horizontal="center" vertical="center" wrapText="1"/>
    </xf>
    <xf numFmtId="167" fontId="18" fillId="6" borderId="1" xfId="0" applyNumberFormat="1" applyFont="1" applyFill="1" applyBorder="1" applyAlignment="1">
      <alignment horizontal="center" vertical="center" wrapText="1"/>
    </xf>
    <xf numFmtId="8" fontId="18" fillId="6" borderId="3" xfId="0" applyNumberFormat="1" applyFont="1" applyFill="1" applyBorder="1" applyAlignment="1">
      <alignment horizontal="center" vertical="center" wrapText="1"/>
    </xf>
    <xf numFmtId="2" fontId="13" fillId="6" borderId="3" xfId="0" applyNumberFormat="1" applyFont="1" applyFill="1" applyBorder="1" applyAlignment="1">
      <alignment horizontal="center" vertical="center" wrapText="1"/>
    </xf>
    <xf numFmtId="2" fontId="13" fillId="6" borderId="6" xfId="0" applyNumberFormat="1" applyFont="1" applyFill="1" applyBorder="1" applyAlignment="1">
      <alignment horizontal="center" vertical="center" wrapText="1"/>
    </xf>
    <xf numFmtId="0" fontId="14" fillId="6" borderId="6" xfId="0" applyFont="1" applyFill="1" applyBorder="1" applyAlignment="1">
      <alignment horizontal="center" vertical="center" wrapText="1"/>
    </xf>
    <xf numFmtId="167" fontId="14" fillId="6" borderId="6" xfId="0" applyNumberFormat="1" applyFont="1" applyFill="1" applyBorder="1" applyAlignment="1">
      <alignment horizontal="center" vertical="center" wrapText="1"/>
    </xf>
    <xf numFmtId="4" fontId="21" fillId="6" borderId="6" xfId="0" applyNumberFormat="1" applyFont="1" applyFill="1" applyBorder="1" applyAlignment="1">
      <alignment horizontal="center" vertical="center"/>
    </xf>
    <xf numFmtId="0" fontId="13" fillId="6" borderId="1" xfId="0" applyFont="1" applyFill="1" applyBorder="1" applyAlignment="1">
      <alignment horizontal="center" vertical="center" wrapText="1"/>
    </xf>
    <xf numFmtId="4" fontId="21" fillId="6" borderId="1" xfId="0" applyNumberFormat="1" applyFont="1" applyFill="1" applyBorder="1" applyAlignment="1">
      <alignment horizontal="center" vertical="center"/>
    </xf>
    <xf numFmtId="4" fontId="18" fillId="6" borderId="1" xfId="0" applyNumberFormat="1" applyFont="1" applyFill="1" applyBorder="1" applyAlignment="1">
      <alignment horizontal="center" vertical="center"/>
    </xf>
    <xf numFmtId="164" fontId="12" fillId="6" borderId="1" xfId="0" applyNumberFormat="1" applyFont="1" applyFill="1" applyBorder="1" applyAlignment="1">
      <alignment horizontal="center" vertical="center"/>
    </xf>
    <xf numFmtId="49" fontId="13" fillId="6" borderId="3" xfId="0" applyNumberFormat="1" applyFont="1" applyFill="1" applyBorder="1" applyAlignment="1">
      <alignment horizontal="center" vertical="center" wrapText="1"/>
    </xf>
    <xf numFmtId="0" fontId="0" fillId="0" borderId="0" xfId="0" applyFont="1"/>
    <xf numFmtId="2" fontId="13" fillId="6" borderId="1" xfId="4" applyNumberFormat="1" applyFont="1" applyFill="1" applyBorder="1" applyAlignment="1">
      <alignment horizontal="center" vertical="center" wrapText="1"/>
    </xf>
    <xf numFmtId="166" fontId="15" fillId="6" borderId="2" xfId="2" applyNumberFormat="1" applyFont="1" applyFill="1" applyBorder="1" applyAlignment="1">
      <alignment horizontal="center" vertical="center"/>
    </xf>
    <xf numFmtId="4" fontId="15" fillId="6" borderId="6" xfId="1" applyNumberFormat="1" applyFont="1" applyFill="1" applyBorder="1" applyAlignment="1">
      <alignment horizontal="center" vertical="center"/>
    </xf>
    <xf numFmtId="4" fontId="12" fillId="6" borderId="6" xfId="0" applyNumberFormat="1" applyFont="1" applyFill="1" applyBorder="1" applyAlignment="1">
      <alignment horizontal="center" vertical="center"/>
    </xf>
    <xf numFmtId="4" fontId="22" fillId="6" borderId="6" xfId="0" applyNumberFormat="1" applyFont="1" applyFill="1" applyBorder="1" applyAlignment="1">
      <alignment horizontal="center" vertical="center"/>
    </xf>
    <xf numFmtId="167" fontId="23" fillId="6" borderId="1" xfId="4" applyNumberFormat="1" applyFont="1" applyFill="1" applyBorder="1" applyAlignment="1">
      <alignment horizontal="center" vertical="center" wrapText="1"/>
    </xf>
    <xf numFmtId="0" fontId="23" fillId="6" borderId="1" xfId="3" applyFont="1" applyFill="1" applyBorder="1" applyAlignment="1">
      <alignment horizontal="center" vertical="center" wrapText="1"/>
    </xf>
    <xf numFmtId="167" fontId="23" fillId="6" borderId="1" xfId="0" applyNumberFormat="1" applyFont="1" applyFill="1" applyBorder="1" applyAlignment="1">
      <alignment horizontal="center" vertical="center" wrapText="1"/>
    </xf>
    <xf numFmtId="2" fontId="13" fillId="6" borderId="1" xfId="3" applyNumberFormat="1" applyFont="1" applyFill="1" applyBorder="1" applyAlignment="1">
      <alignment horizontal="center" vertical="center" wrapText="1"/>
    </xf>
    <xf numFmtId="167" fontId="14" fillId="6" borderId="1" xfId="5" applyNumberFormat="1" applyFont="1" applyFill="1" applyBorder="1" applyAlignment="1">
      <alignment horizontal="center" vertical="center" wrapText="1"/>
    </xf>
    <xf numFmtId="167" fontId="23" fillId="6" borderId="1" xfId="5" applyNumberFormat="1" applyFont="1" applyFill="1" applyBorder="1" applyAlignment="1">
      <alignment horizontal="center" vertical="center" wrapText="1"/>
    </xf>
    <xf numFmtId="2" fontId="13" fillId="6" borderId="1" xfId="5" applyNumberFormat="1" applyFont="1" applyFill="1" applyBorder="1" applyAlignment="1">
      <alignment horizontal="center" vertical="center" wrapText="1"/>
    </xf>
    <xf numFmtId="4" fontId="12" fillId="6" borderId="6" xfId="1" applyNumberFormat="1" applyFont="1" applyFill="1" applyBorder="1" applyAlignment="1">
      <alignment horizontal="center"/>
    </xf>
    <xf numFmtId="168" fontId="12" fillId="6" borderId="6" xfId="1" applyNumberFormat="1" applyFont="1" applyFill="1" applyBorder="1" applyAlignment="1">
      <alignment horizontal="center"/>
    </xf>
    <xf numFmtId="167" fontId="23" fillId="6" borderId="1" xfId="3" applyNumberFormat="1" applyFont="1" applyFill="1" applyBorder="1" applyAlignment="1">
      <alignment horizontal="center" vertical="center" wrapText="1"/>
    </xf>
    <xf numFmtId="2" fontId="17" fillId="6" borderId="1" xfId="1" applyNumberFormat="1" applyFont="1" applyFill="1" applyBorder="1" applyAlignment="1">
      <alignment horizontal="center" vertical="center" wrapText="1"/>
    </xf>
    <xf numFmtId="167" fontId="14" fillId="6" borderId="1" xfId="6" applyNumberFormat="1" applyFont="1" applyFill="1" applyBorder="1" applyAlignment="1">
      <alignment horizontal="center" vertical="center" wrapText="1"/>
    </xf>
    <xf numFmtId="167" fontId="23" fillId="6" borderId="1" xfId="6" applyNumberFormat="1" applyFont="1" applyFill="1" applyBorder="1" applyAlignment="1">
      <alignment horizontal="center" vertical="center" wrapText="1"/>
    </xf>
    <xf numFmtId="2" fontId="13" fillId="6" borderId="1" xfId="6" applyNumberFormat="1" applyFont="1" applyFill="1" applyBorder="1" applyAlignment="1">
      <alignment horizontal="center" vertical="center" wrapText="1"/>
    </xf>
    <xf numFmtId="0" fontId="13" fillId="6" borderId="6" xfId="0" applyFont="1" applyFill="1" applyBorder="1" applyAlignment="1">
      <alignment horizontal="left" vertical="center" wrapText="1"/>
    </xf>
    <xf numFmtId="167" fontId="25" fillId="9" borderId="1" xfId="0" applyNumberFormat="1" applyFont="1" applyFill="1" applyBorder="1" applyAlignment="1">
      <alignment horizontal="center" vertical="center"/>
    </xf>
    <xf numFmtId="167" fontId="25" fillId="9" borderId="5" xfId="0" applyNumberFormat="1" applyFont="1" applyFill="1" applyBorder="1" applyAlignment="1">
      <alignment horizontal="center" vertical="center"/>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14" xfId="0" applyFont="1" applyBorder="1"/>
    <xf numFmtId="0" fontId="4" fillId="9" borderId="7" xfId="0" applyFont="1" applyFill="1" applyBorder="1" applyAlignment="1">
      <alignment vertical="center"/>
    </xf>
    <xf numFmtId="0" fontId="4" fillId="9" borderId="4" xfId="0" applyFont="1" applyFill="1" applyBorder="1" applyAlignment="1">
      <alignment vertical="center"/>
    </xf>
    <xf numFmtId="167" fontId="15" fillId="6" borderId="2" xfId="0" applyNumberFormat="1" applyFont="1" applyFill="1" applyBorder="1" applyAlignment="1">
      <alignment horizontal="center" vertical="center"/>
    </xf>
    <xf numFmtId="167" fontId="15" fillId="6" borderId="5" xfId="0" applyNumberFormat="1" applyFont="1" applyFill="1" applyBorder="1" applyAlignment="1">
      <alignment horizontal="center" vertical="center"/>
    </xf>
    <xf numFmtId="0" fontId="4" fillId="9" borderId="7" xfId="0" applyFont="1" applyFill="1" applyBorder="1" applyAlignment="1">
      <alignment horizontal="center" vertical="center"/>
    </xf>
    <xf numFmtId="0" fontId="4" fillId="9" borderId="4" xfId="0" applyFont="1" applyFill="1" applyBorder="1" applyAlignment="1">
      <alignment horizontal="center" vertical="center"/>
    </xf>
    <xf numFmtId="167" fontId="15" fillId="6" borderId="15" xfId="0" applyNumberFormat="1" applyFont="1" applyFill="1" applyBorder="1" applyAlignment="1">
      <alignment horizontal="center" vertical="center"/>
    </xf>
    <xf numFmtId="0" fontId="4" fillId="9" borderId="12" xfId="0" applyFont="1" applyFill="1" applyBorder="1" applyAlignment="1">
      <alignment horizontal="center" vertical="center"/>
    </xf>
    <xf numFmtId="0" fontId="4" fillId="9" borderId="10" xfId="0" applyFont="1" applyFill="1" applyBorder="1" applyAlignment="1">
      <alignment horizontal="center" vertical="center"/>
    </xf>
    <xf numFmtId="0" fontId="4" fillId="0" borderId="2" xfId="0" applyFont="1" applyBorder="1" applyAlignment="1">
      <alignment horizontal="center" vertical="center"/>
    </xf>
    <xf numFmtId="0" fontId="4" fillId="0" borderId="5" xfId="0" applyFont="1" applyBorder="1" applyAlignment="1">
      <alignment horizontal="center" vertical="center"/>
    </xf>
    <xf numFmtId="0" fontId="4" fillId="0" borderId="15" xfId="0" applyFont="1" applyBorder="1" applyAlignment="1">
      <alignment horizontal="center" vertical="center"/>
    </xf>
    <xf numFmtId="167" fontId="15" fillId="6" borderId="2" xfId="0" applyNumberFormat="1" applyFont="1" applyFill="1" applyBorder="1" applyAlignment="1">
      <alignment horizontal="center" vertical="center" wrapText="1"/>
    </xf>
    <xf numFmtId="167" fontId="15" fillId="6" borderId="5" xfId="0" applyNumberFormat="1" applyFont="1" applyFill="1" applyBorder="1" applyAlignment="1">
      <alignment horizontal="center" vertical="center" wrapText="1"/>
    </xf>
    <xf numFmtId="0" fontId="4" fillId="9" borderId="7" xfId="0" applyFont="1" applyFill="1" applyBorder="1" applyAlignment="1">
      <alignment horizontal="center"/>
    </xf>
    <xf numFmtId="0" fontId="4" fillId="9" borderId="4" xfId="0" applyFont="1" applyFill="1" applyBorder="1" applyAlignment="1">
      <alignment horizontal="center"/>
    </xf>
    <xf numFmtId="167" fontId="25" fillId="9" borderId="7" xfId="0" applyNumberFormat="1" applyFont="1" applyFill="1" applyBorder="1" applyAlignment="1">
      <alignment horizontal="center" vertical="center"/>
    </xf>
    <xf numFmtId="167" fontId="25" fillId="9" borderId="4" xfId="0" applyNumberFormat="1" applyFont="1" applyFill="1" applyBorder="1" applyAlignment="1">
      <alignment horizontal="center" vertical="center"/>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166" fontId="6" fillId="5" borderId="2" xfId="2" applyNumberFormat="1" applyFont="1" applyFill="1" applyBorder="1" applyAlignment="1">
      <alignment horizontal="center" vertical="center" wrapText="1"/>
    </xf>
    <xf numFmtId="166" fontId="6" fillId="5" borderId="5" xfId="2" applyNumberFormat="1"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5" fillId="4" borderId="12" xfId="0" applyFont="1" applyFill="1" applyBorder="1" applyAlignment="1">
      <alignment horizontal="center" vertical="center"/>
    </xf>
    <xf numFmtId="164" fontId="6" fillId="5" borderId="2" xfId="0" applyNumberFormat="1" applyFont="1" applyFill="1" applyBorder="1" applyAlignment="1">
      <alignment horizontal="center" vertical="center"/>
    </xf>
    <xf numFmtId="164" fontId="6" fillId="5" borderId="5" xfId="0" applyNumberFormat="1" applyFont="1" applyFill="1" applyBorder="1" applyAlignment="1">
      <alignment horizontal="center" vertical="center"/>
    </xf>
    <xf numFmtId="165" fontId="7" fillId="5" borderId="2" xfId="0" applyNumberFormat="1" applyFont="1" applyFill="1" applyBorder="1" applyAlignment="1">
      <alignment horizontal="center" vertical="center"/>
    </xf>
    <xf numFmtId="165" fontId="7" fillId="5" borderId="5" xfId="0" applyNumberFormat="1" applyFont="1" applyFill="1" applyBorder="1" applyAlignment="1">
      <alignment horizontal="center" vertical="center"/>
    </xf>
    <xf numFmtId="0" fontId="8" fillId="5"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4" fillId="9" borderId="0" xfId="0" applyFont="1" applyFill="1" applyBorder="1" applyAlignment="1">
      <alignment horizontal="center" vertical="center"/>
    </xf>
    <xf numFmtId="0" fontId="4" fillId="9" borderId="9" xfId="0" applyFont="1" applyFill="1" applyBorder="1" applyAlignment="1">
      <alignment horizontal="center" vertical="center"/>
    </xf>
    <xf numFmtId="0" fontId="4" fillId="9" borderId="13" xfId="0" applyFont="1" applyFill="1" applyBorder="1" applyAlignment="1">
      <alignment horizontal="center" vertical="center"/>
    </xf>
    <xf numFmtId="0" fontId="4" fillId="9" borderId="8" xfId="0" applyFont="1" applyFill="1" applyBorder="1" applyAlignment="1">
      <alignment horizontal="center" vertical="center"/>
    </xf>
    <xf numFmtId="167" fontId="15" fillId="6" borderId="15" xfId="0" applyNumberFormat="1" applyFont="1" applyFill="1" applyBorder="1" applyAlignment="1">
      <alignment horizontal="center" vertical="center" wrapText="1"/>
    </xf>
    <xf numFmtId="167" fontId="26" fillId="6" borderId="2" xfId="0" applyNumberFormat="1" applyFont="1" applyFill="1" applyBorder="1" applyAlignment="1">
      <alignment horizontal="center" vertical="center" wrapText="1"/>
    </xf>
    <xf numFmtId="167" fontId="26" fillId="6" borderId="15" xfId="0" applyNumberFormat="1" applyFont="1" applyFill="1" applyBorder="1" applyAlignment="1">
      <alignment horizontal="center" vertical="center" wrapText="1"/>
    </xf>
    <xf numFmtId="167" fontId="26" fillId="6" borderId="5" xfId="0" applyNumberFormat="1" applyFont="1" applyFill="1" applyBorder="1" applyAlignment="1">
      <alignment horizontal="center" vertical="center" wrapText="1"/>
    </xf>
    <xf numFmtId="167" fontId="26" fillId="6" borderId="2" xfId="0" applyNumberFormat="1" applyFont="1" applyFill="1" applyBorder="1" applyAlignment="1">
      <alignment horizontal="center" vertical="center"/>
    </xf>
    <xf numFmtId="167" fontId="26" fillId="6" borderId="15" xfId="0" applyNumberFormat="1" applyFont="1" applyFill="1" applyBorder="1" applyAlignment="1">
      <alignment horizontal="center" vertical="center"/>
    </xf>
    <xf numFmtId="167" fontId="26" fillId="6" borderId="5" xfId="0" applyNumberFormat="1" applyFont="1" applyFill="1" applyBorder="1" applyAlignment="1">
      <alignment horizontal="center" vertical="center"/>
    </xf>
    <xf numFmtId="0" fontId="27" fillId="9" borderId="7" xfId="0" applyFont="1" applyFill="1" applyBorder="1" applyAlignment="1">
      <alignment horizontal="right" vertical="center"/>
    </xf>
    <xf numFmtId="0" fontId="27" fillId="9" borderId="4" xfId="0" applyFont="1" applyFill="1" applyBorder="1" applyAlignment="1">
      <alignment horizontal="right" vertical="center"/>
    </xf>
  </cellXfs>
  <cellStyles count="7">
    <cellStyle name="20% - Ênfase3" xfId="6" builtinId="38"/>
    <cellStyle name="Bom" xfId="3" builtinId="26"/>
    <cellStyle name="Moeda" xfId="1" builtinId="4"/>
    <cellStyle name="Normal" xfId="0" builtinId="0"/>
    <cellStyle name="Nota" xfId="5" builtinId="10"/>
    <cellStyle name="Porcentagem" xfId="2" builtinId="5"/>
    <cellStyle name="Ruim" xfId="4" builtinId="27"/>
  </cellStyles>
  <dxfs count="310">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fgColor indexed="64"/>
          <bgColor rgb="FF92D050"/>
        </patternFill>
      </fill>
    </dxf>
    <dxf>
      <font>
        <b/>
        <i val="0"/>
      </font>
      <fill>
        <patternFill>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
      <font>
        <b/>
        <i val="0"/>
      </font>
      <fill>
        <patternFill>
          <bgColor rgb="FF92D050"/>
        </patternFill>
      </fill>
    </dxf>
    <dxf>
      <font>
        <b/>
        <i val="0"/>
      </font>
      <fill>
        <patternFill>
          <fgColor indexed="64"/>
          <bgColor rgb="FF92D050"/>
        </patternFill>
      </fill>
    </dxf>
  </dxfs>
  <tableStyles count="0" defaultTableStyle="TableStyleMedium2" defaultPivotStyle="PivotStyleLight16"/>
  <colors>
    <mruColors>
      <color rgb="FFFF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765024</xdr:colOff>
      <xdr:row>0</xdr:row>
      <xdr:rowOff>102811</xdr:rowOff>
    </xdr:from>
    <xdr:to>
      <xdr:col>2</xdr:col>
      <xdr:colOff>1989667</xdr:colOff>
      <xdr:row>0</xdr:row>
      <xdr:rowOff>610811</xdr:rowOff>
    </xdr:to>
    <xdr:pic>
      <xdr:nvPicPr>
        <xdr:cNvPr id="3" name="Imagem 2">
          <a:extLst>
            <a:ext uri="{FF2B5EF4-FFF2-40B4-BE49-F238E27FC236}">
              <a16:creationId xmlns:a16="http://schemas.microsoft.com/office/drawing/2014/main" id="{55EF09A3-9684-43C4-A968-47E496F2CF6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39988" y="102811"/>
          <a:ext cx="1224643" cy="508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D62C7-F739-4DAC-958D-55D83805AC5D}">
  <sheetPr>
    <pageSetUpPr fitToPage="1"/>
  </sheetPr>
  <dimension ref="A1:Y348"/>
  <sheetViews>
    <sheetView showGridLines="0" tabSelected="1" zoomScale="70" zoomScaleNormal="70" zoomScaleSheetLayoutView="100" zoomScalePageLayoutView="80" workbookViewId="0">
      <selection activeCell="A348" sqref="A1:Y348"/>
    </sheetView>
  </sheetViews>
  <sheetFormatPr defaultRowHeight="15" x14ac:dyDescent="0.25"/>
  <cols>
    <col min="1" max="1" width="9.140625" style="78"/>
    <col min="2" max="2" width="6.85546875" customWidth="1"/>
    <col min="3" max="3" width="62.42578125" style="53" customWidth="1"/>
    <col min="4" max="4" width="14.28515625" style="53" bestFit="1" customWidth="1"/>
    <col min="5" max="5" width="13.42578125" style="53" bestFit="1" customWidth="1"/>
    <col min="6" max="6" width="21" style="53" customWidth="1"/>
    <col min="7" max="7" width="15.85546875" style="53" hidden="1" customWidth="1"/>
    <col min="8" max="8" width="8.140625" style="53" bestFit="1" customWidth="1"/>
    <col min="9" max="9" width="18.85546875" style="53" hidden="1" customWidth="1"/>
    <col min="10" max="10" width="12.28515625" hidden="1" customWidth="1"/>
    <col min="11" max="11" width="13.5703125" hidden="1" customWidth="1"/>
    <col min="12" max="12" width="11.42578125" hidden="1" customWidth="1"/>
    <col min="13" max="13" width="13.5703125" hidden="1" customWidth="1"/>
    <col min="14" max="14" width="11.42578125" hidden="1" customWidth="1"/>
    <col min="15" max="15" width="13.42578125" hidden="1" customWidth="1"/>
    <col min="16" max="16" width="11" hidden="1" customWidth="1"/>
    <col min="17" max="17" width="13.5703125" hidden="1" customWidth="1"/>
    <col min="18" max="18" width="12.42578125" hidden="1" customWidth="1"/>
    <col min="19" max="19" width="11.28515625" hidden="1" customWidth="1"/>
    <col min="20" max="20" width="12" hidden="1" customWidth="1"/>
    <col min="21" max="21" width="13.42578125" hidden="1" customWidth="1"/>
    <col min="22" max="22" width="14.28515625" hidden="1" customWidth="1"/>
    <col min="23" max="23" width="16.140625" customWidth="1"/>
    <col min="24" max="25" width="18.28515625" customWidth="1"/>
  </cols>
  <sheetData>
    <row r="1" spans="1:25" ht="55.5" customHeight="1" x14ac:dyDescent="0.25">
      <c r="A1" s="103" t="s">
        <v>602</v>
      </c>
      <c r="B1" s="103"/>
      <c r="C1" s="103"/>
      <c r="D1" s="103"/>
      <c r="E1" s="103"/>
      <c r="F1" s="103"/>
      <c r="G1" s="103"/>
      <c r="H1" s="103"/>
      <c r="I1" s="103"/>
      <c r="J1" s="103"/>
      <c r="K1" s="103"/>
      <c r="L1" s="103"/>
      <c r="M1" s="103"/>
      <c r="N1" s="103"/>
      <c r="O1" s="103"/>
      <c r="P1" s="103"/>
      <c r="Q1" s="103"/>
      <c r="R1" s="103"/>
      <c r="S1" s="103"/>
      <c r="T1" s="103"/>
      <c r="U1" s="103"/>
      <c r="V1" s="103"/>
      <c r="W1" s="103"/>
      <c r="X1" s="103"/>
      <c r="Y1" s="103"/>
    </row>
    <row r="2" spans="1:25" s="2" customFormat="1" ht="31.15" customHeight="1" x14ac:dyDescent="0.25">
      <c r="A2" s="104" t="s">
        <v>118</v>
      </c>
      <c r="B2" s="104" t="s">
        <v>0</v>
      </c>
      <c r="C2" s="106" t="s">
        <v>1</v>
      </c>
      <c r="D2" s="1" t="s">
        <v>2</v>
      </c>
      <c r="E2" s="1" t="s">
        <v>3</v>
      </c>
      <c r="F2" s="1" t="s">
        <v>4</v>
      </c>
      <c r="G2" s="1" t="s">
        <v>5</v>
      </c>
      <c r="H2" s="106" t="s">
        <v>6</v>
      </c>
      <c r="I2" s="108" t="s">
        <v>7</v>
      </c>
      <c r="J2" s="109"/>
      <c r="K2" s="108" t="s">
        <v>8</v>
      </c>
      <c r="L2" s="109"/>
      <c r="M2" s="110" t="s">
        <v>9</v>
      </c>
      <c r="N2" s="111"/>
      <c r="O2" s="110" t="s">
        <v>10</v>
      </c>
      <c r="P2" s="111"/>
      <c r="Q2" s="110" t="s">
        <v>11</v>
      </c>
      <c r="R2" s="111"/>
      <c r="S2" s="112" t="s">
        <v>12</v>
      </c>
      <c r="T2" s="97" t="s">
        <v>13</v>
      </c>
      <c r="U2" s="97" t="s">
        <v>14</v>
      </c>
      <c r="V2" s="99" t="s">
        <v>15</v>
      </c>
      <c r="W2" s="101" t="s">
        <v>16</v>
      </c>
      <c r="X2" s="102" t="s">
        <v>17</v>
      </c>
      <c r="Y2" s="102" t="s">
        <v>601</v>
      </c>
    </row>
    <row r="3" spans="1:25" s="2" customFormat="1" ht="15.75" x14ac:dyDescent="0.25">
      <c r="A3" s="105"/>
      <c r="B3" s="105"/>
      <c r="C3" s="107"/>
      <c r="D3" s="3"/>
      <c r="E3" s="3"/>
      <c r="F3" s="3"/>
      <c r="G3" s="3"/>
      <c r="H3" s="107"/>
      <c r="I3" s="4" t="s">
        <v>18</v>
      </c>
      <c r="J3" s="4" t="s">
        <v>19</v>
      </c>
      <c r="K3" s="4" t="s">
        <v>18</v>
      </c>
      <c r="L3" s="4" t="s">
        <v>19</v>
      </c>
      <c r="M3" s="4" t="s">
        <v>18</v>
      </c>
      <c r="N3" s="4" t="s">
        <v>19</v>
      </c>
      <c r="O3" s="4" t="s">
        <v>18</v>
      </c>
      <c r="P3" s="4" t="s">
        <v>19</v>
      </c>
      <c r="Q3" s="4" t="s">
        <v>18</v>
      </c>
      <c r="R3" s="4" t="s">
        <v>19</v>
      </c>
      <c r="S3" s="113"/>
      <c r="T3" s="98"/>
      <c r="U3" s="98"/>
      <c r="V3" s="100"/>
      <c r="W3" s="101"/>
      <c r="X3" s="102"/>
      <c r="Y3" s="102"/>
    </row>
    <row r="4" spans="1:25" ht="31.5" x14ac:dyDescent="0.25">
      <c r="A4" s="88">
        <v>1</v>
      </c>
      <c r="B4" s="10">
        <f>ROW(A1)</f>
        <v>1</v>
      </c>
      <c r="C4" s="33" t="s">
        <v>45</v>
      </c>
      <c r="D4" s="32" t="s">
        <v>24</v>
      </c>
      <c r="E4" s="12">
        <v>55387023</v>
      </c>
      <c r="F4" s="12" t="s">
        <v>20</v>
      </c>
      <c r="G4" s="12">
        <v>33903035</v>
      </c>
      <c r="H4" s="28">
        <v>80</v>
      </c>
      <c r="I4" s="7" t="s">
        <v>37</v>
      </c>
      <c r="J4" s="7">
        <v>14.87</v>
      </c>
      <c r="K4" s="7" t="s">
        <v>36</v>
      </c>
      <c r="L4" s="7">
        <v>18.88</v>
      </c>
      <c r="M4" s="7" t="s">
        <v>44</v>
      </c>
      <c r="N4" s="7">
        <v>13.79</v>
      </c>
      <c r="O4" s="13"/>
      <c r="P4" s="13"/>
      <c r="Q4" s="13"/>
      <c r="R4" s="13"/>
      <c r="S4" s="18">
        <f t="shared" ref="S4:S37" si="0">MIN(J4:R4)</f>
        <v>13.79</v>
      </c>
      <c r="T4" s="14">
        <f t="shared" ref="T4:T37" si="1">ROUNDDOWN(AVERAGE(J4:R4),2)</f>
        <v>15.84</v>
      </c>
      <c r="U4" s="14">
        <f t="shared" ref="U4:U37" si="2">ROUNDDOWN(MEDIAN(J4:R4),2)</f>
        <v>14.87</v>
      </c>
      <c r="V4" s="15">
        <f t="shared" ref="V4:V37" si="3">STDEV(J4:R4)/AVERAGE(J4:R4)</f>
        <v>0.16923882439694593</v>
      </c>
      <c r="W4" s="9">
        <f t="shared" ref="W4:W37" si="4">IF(V4&lt;=25%,T4,U4)</f>
        <v>15.84</v>
      </c>
      <c r="X4" s="9">
        <f t="shared" ref="X4:X71" si="5">IF(V4&lt;=25%,T4,U4)*H4</f>
        <v>1267.2</v>
      </c>
      <c r="Y4" s="119">
        <v>10280.049999999999</v>
      </c>
    </row>
    <row r="5" spans="1:25" ht="63" x14ac:dyDescent="0.25">
      <c r="A5" s="90"/>
      <c r="B5" s="10">
        <f t="shared" ref="B5:B23" si="6">ROW(B2)</f>
        <v>2</v>
      </c>
      <c r="C5" s="33" t="s">
        <v>62</v>
      </c>
      <c r="D5" s="32" t="s">
        <v>24</v>
      </c>
      <c r="E5" s="12">
        <v>40592126</v>
      </c>
      <c r="F5" s="12" t="s">
        <v>20</v>
      </c>
      <c r="G5" s="12">
        <v>33903035</v>
      </c>
      <c r="H5" s="28">
        <v>40</v>
      </c>
      <c r="I5" s="7" t="s">
        <v>52</v>
      </c>
      <c r="J5" s="7">
        <v>27.2</v>
      </c>
      <c r="K5" s="7" t="s">
        <v>30</v>
      </c>
      <c r="L5" s="7">
        <v>20.99</v>
      </c>
      <c r="M5" s="7" t="s">
        <v>63</v>
      </c>
      <c r="N5" s="7">
        <v>22.45</v>
      </c>
      <c r="O5" s="13"/>
      <c r="P5" s="13"/>
      <c r="Q5" s="13"/>
      <c r="R5" s="13"/>
      <c r="S5" s="18">
        <f t="shared" si="0"/>
        <v>20.99</v>
      </c>
      <c r="T5" s="14">
        <f t="shared" si="1"/>
        <v>23.54</v>
      </c>
      <c r="U5" s="14">
        <f t="shared" si="2"/>
        <v>22.45</v>
      </c>
      <c r="V5" s="15">
        <f t="shared" si="3"/>
        <v>0.13789653512371391</v>
      </c>
      <c r="W5" s="9">
        <f t="shared" si="4"/>
        <v>23.54</v>
      </c>
      <c r="X5" s="9">
        <f t="shared" si="5"/>
        <v>941.59999999999991</v>
      </c>
      <c r="Y5" s="120"/>
    </row>
    <row r="6" spans="1:25" ht="47.25" x14ac:dyDescent="0.25">
      <c r="A6" s="90"/>
      <c r="B6" s="10">
        <f t="shared" si="6"/>
        <v>3</v>
      </c>
      <c r="C6" s="33" t="s">
        <v>64</v>
      </c>
      <c r="D6" s="32" t="s">
        <v>24</v>
      </c>
      <c r="E6" s="12">
        <v>34398124</v>
      </c>
      <c r="F6" s="12" t="s">
        <v>20</v>
      </c>
      <c r="G6" s="12">
        <v>33903035</v>
      </c>
      <c r="H6" s="28">
        <f>5+42</f>
        <v>47</v>
      </c>
      <c r="I6" s="7" t="s">
        <v>39</v>
      </c>
      <c r="J6" s="7">
        <v>20.52</v>
      </c>
      <c r="K6" s="7" t="s">
        <v>30</v>
      </c>
      <c r="L6" s="7">
        <v>17.23</v>
      </c>
      <c r="M6" s="7" t="s">
        <v>36</v>
      </c>
      <c r="N6" s="7">
        <v>20.14</v>
      </c>
      <c r="O6" s="13"/>
      <c r="P6" s="13"/>
      <c r="Q6" s="13"/>
      <c r="R6" s="13"/>
      <c r="S6" s="18">
        <f t="shared" si="0"/>
        <v>17.23</v>
      </c>
      <c r="T6" s="14">
        <f t="shared" si="1"/>
        <v>19.29</v>
      </c>
      <c r="U6" s="14">
        <f t="shared" si="2"/>
        <v>20.14</v>
      </c>
      <c r="V6" s="15">
        <f t="shared" si="3"/>
        <v>9.3272201712357825E-2</v>
      </c>
      <c r="W6" s="9">
        <f t="shared" si="4"/>
        <v>19.29</v>
      </c>
      <c r="X6" s="9">
        <f t="shared" si="5"/>
        <v>906.63</v>
      </c>
      <c r="Y6" s="120"/>
    </row>
    <row r="7" spans="1:25" ht="31.5" x14ac:dyDescent="0.25">
      <c r="A7" s="90"/>
      <c r="B7" s="10">
        <f t="shared" si="6"/>
        <v>4</v>
      </c>
      <c r="C7" s="33" t="s">
        <v>65</v>
      </c>
      <c r="D7" s="32" t="s">
        <v>24</v>
      </c>
      <c r="E7" s="12">
        <v>40592102</v>
      </c>
      <c r="F7" s="12" t="s">
        <v>20</v>
      </c>
      <c r="G7" s="12">
        <v>33903035</v>
      </c>
      <c r="H7" s="28">
        <v>8</v>
      </c>
      <c r="I7" s="7" t="s">
        <v>39</v>
      </c>
      <c r="J7" s="7">
        <v>49.78</v>
      </c>
      <c r="K7" s="7" t="s">
        <v>30</v>
      </c>
      <c r="L7" s="7">
        <v>50.49</v>
      </c>
      <c r="M7" s="7" t="s">
        <v>21</v>
      </c>
      <c r="N7" s="7">
        <v>57.61</v>
      </c>
      <c r="O7" s="13"/>
      <c r="P7" s="13"/>
      <c r="Q7" s="13"/>
      <c r="R7" s="13"/>
      <c r="S7" s="18">
        <f t="shared" si="0"/>
        <v>49.78</v>
      </c>
      <c r="T7" s="14">
        <f t="shared" si="1"/>
        <v>52.62</v>
      </c>
      <c r="U7" s="14">
        <f t="shared" si="2"/>
        <v>50.49</v>
      </c>
      <c r="V7" s="15">
        <f t="shared" si="3"/>
        <v>8.2282798891185061E-2</v>
      </c>
      <c r="W7" s="9">
        <f t="shared" si="4"/>
        <v>52.62</v>
      </c>
      <c r="X7" s="9">
        <f t="shared" si="5"/>
        <v>420.96</v>
      </c>
      <c r="Y7" s="120"/>
    </row>
    <row r="8" spans="1:25" ht="47.25" x14ac:dyDescent="0.25">
      <c r="A8" s="90"/>
      <c r="B8" s="10">
        <f t="shared" si="6"/>
        <v>5</v>
      </c>
      <c r="C8" s="33" t="s">
        <v>67</v>
      </c>
      <c r="D8" s="12" t="s">
        <v>24</v>
      </c>
      <c r="E8" s="12">
        <v>39330061</v>
      </c>
      <c r="F8" s="12" t="s">
        <v>20</v>
      </c>
      <c r="G8" s="12">
        <v>33903035</v>
      </c>
      <c r="H8" s="28">
        <v>26</v>
      </c>
      <c r="I8" s="7" t="s">
        <v>36</v>
      </c>
      <c r="J8" s="7">
        <v>26</v>
      </c>
      <c r="K8" s="7" t="s">
        <v>22</v>
      </c>
      <c r="L8" s="7">
        <v>30.38</v>
      </c>
      <c r="M8" s="7" t="s">
        <v>22</v>
      </c>
      <c r="N8" s="7">
        <v>27.5</v>
      </c>
      <c r="O8" s="13"/>
      <c r="P8" s="13"/>
      <c r="Q8" s="13"/>
      <c r="R8" s="13"/>
      <c r="S8" s="18">
        <f t="shared" si="0"/>
        <v>26</v>
      </c>
      <c r="T8" s="14">
        <f t="shared" si="1"/>
        <v>27.96</v>
      </c>
      <c r="U8" s="14">
        <f t="shared" si="2"/>
        <v>27.5</v>
      </c>
      <c r="V8" s="15">
        <f t="shared" si="3"/>
        <v>7.9611516614003189E-2</v>
      </c>
      <c r="W8" s="9">
        <f t="shared" si="4"/>
        <v>27.96</v>
      </c>
      <c r="X8" s="9">
        <f t="shared" si="5"/>
        <v>726.96</v>
      </c>
      <c r="Y8" s="120"/>
    </row>
    <row r="9" spans="1:25" ht="31.5" x14ac:dyDescent="0.25">
      <c r="A9" s="90"/>
      <c r="B9" s="10">
        <f t="shared" si="6"/>
        <v>6</v>
      </c>
      <c r="C9" s="33" t="s">
        <v>68</v>
      </c>
      <c r="D9" s="12" t="s">
        <v>24</v>
      </c>
      <c r="E9" s="12">
        <v>39330066</v>
      </c>
      <c r="F9" s="12" t="s">
        <v>20</v>
      </c>
      <c r="G9" s="12">
        <v>33903035</v>
      </c>
      <c r="H9" s="28">
        <v>17</v>
      </c>
      <c r="I9" s="7" t="s">
        <v>37</v>
      </c>
      <c r="J9" s="7">
        <v>13.4</v>
      </c>
      <c r="K9" s="7" t="s">
        <v>22</v>
      </c>
      <c r="L9" s="7">
        <v>8.9700000000000006</v>
      </c>
      <c r="M9" s="7" t="s">
        <v>22</v>
      </c>
      <c r="N9" s="7">
        <v>10.220000000000001</v>
      </c>
      <c r="O9" s="13"/>
      <c r="P9" s="13"/>
      <c r="Q9" s="13"/>
      <c r="R9" s="13"/>
      <c r="S9" s="18">
        <f t="shared" si="0"/>
        <v>8.9700000000000006</v>
      </c>
      <c r="T9" s="14">
        <f t="shared" si="1"/>
        <v>10.86</v>
      </c>
      <c r="U9" s="14">
        <f t="shared" si="2"/>
        <v>10.220000000000001</v>
      </c>
      <c r="V9" s="15">
        <f t="shared" si="3"/>
        <v>0.21024808572627143</v>
      </c>
      <c r="W9" s="9">
        <f t="shared" si="4"/>
        <v>10.86</v>
      </c>
      <c r="X9" s="9">
        <f t="shared" si="5"/>
        <v>184.62</v>
      </c>
      <c r="Y9" s="120"/>
    </row>
    <row r="10" spans="1:25" ht="31.5" x14ac:dyDescent="0.25">
      <c r="A10" s="90"/>
      <c r="B10" s="10">
        <f t="shared" si="6"/>
        <v>7</v>
      </c>
      <c r="C10" s="33" t="s">
        <v>72</v>
      </c>
      <c r="D10" s="12" t="s">
        <v>24</v>
      </c>
      <c r="E10" s="12">
        <v>39330034</v>
      </c>
      <c r="F10" s="12" t="s">
        <v>20</v>
      </c>
      <c r="G10" s="12">
        <v>33903035</v>
      </c>
      <c r="H10" s="28">
        <v>5</v>
      </c>
      <c r="I10" s="7" t="s">
        <v>52</v>
      </c>
      <c r="J10" s="7">
        <v>15</v>
      </c>
      <c r="K10" s="7" t="s">
        <v>73</v>
      </c>
      <c r="L10" s="7">
        <v>17.66</v>
      </c>
      <c r="M10" s="7" t="s">
        <v>74</v>
      </c>
      <c r="N10" s="7">
        <v>14.93</v>
      </c>
      <c r="O10" s="13"/>
      <c r="P10" s="13"/>
      <c r="Q10" s="13"/>
      <c r="R10" s="13"/>
      <c r="S10" s="18">
        <f t="shared" si="0"/>
        <v>14.93</v>
      </c>
      <c r="T10" s="14">
        <f t="shared" si="1"/>
        <v>15.86</v>
      </c>
      <c r="U10" s="14">
        <f t="shared" si="2"/>
        <v>15</v>
      </c>
      <c r="V10" s="15">
        <f t="shared" si="3"/>
        <v>9.8110059272591782E-2</v>
      </c>
      <c r="W10" s="9">
        <f t="shared" si="4"/>
        <v>15.86</v>
      </c>
      <c r="X10" s="9">
        <f t="shared" si="5"/>
        <v>79.3</v>
      </c>
      <c r="Y10" s="120"/>
    </row>
    <row r="11" spans="1:25" ht="31.5" x14ac:dyDescent="0.25">
      <c r="A11" s="90"/>
      <c r="B11" s="10">
        <f t="shared" si="6"/>
        <v>8</v>
      </c>
      <c r="C11" s="33" t="s">
        <v>75</v>
      </c>
      <c r="D11" s="12" t="s">
        <v>24</v>
      </c>
      <c r="E11" s="12">
        <v>39330029</v>
      </c>
      <c r="F11" s="12" t="s">
        <v>20</v>
      </c>
      <c r="G11" s="12">
        <v>33903035</v>
      </c>
      <c r="H11" s="28">
        <v>20</v>
      </c>
      <c r="I11" s="7" t="s">
        <v>36</v>
      </c>
      <c r="J11" s="7">
        <v>7.32</v>
      </c>
      <c r="K11" s="7" t="s">
        <v>73</v>
      </c>
      <c r="L11" s="7">
        <v>6.67</v>
      </c>
      <c r="M11" s="7" t="s">
        <v>39</v>
      </c>
      <c r="N11" s="7">
        <v>7.22</v>
      </c>
      <c r="O11" s="13"/>
      <c r="P11" s="13"/>
      <c r="Q11" s="13"/>
      <c r="R11" s="13"/>
      <c r="S11" s="18">
        <f t="shared" si="0"/>
        <v>6.67</v>
      </c>
      <c r="T11" s="14">
        <f t="shared" si="1"/>
        <v>7.07</v>
      </c>
      <c r="U11" s="14">
        <f t="shared" si="2"/>
        <v>7.22</v>
      </c>
      <c r="V11" s="15">
        <f t="shared" si="3"/>
        <v>4.9504950495049514E-2</v>
      </c>
      <c r="W11" s="9">
        <f t="shared" si="4"/>
        <v>7.07</v>
      </c>
      <c r="X11" s="9">
        <f t="shared" si="5"/>
        <v>141.4</v>
      </c>
      <c r="Y11" s="120"/>
    </row>
    <row r="12" spans="1:25" ht="31.5" x14ac:dyDescent="0.25">
      <c r="A12" s="90"/>
      <c r="B12" s="10">
        <f t="shared" si="6"/>
        <v>9</v>
      </c>
      <c r="C12" s="33" t="s">
        <v>76</v>
      </c>
      <c r="D12" s="12" t="s">
        <v>24</v>
      </c>
      <c r="E12" s="12">
        <v>39330032</v>
      </c>
      <c r="F12" s="12" t="s">
        <v>20</v>
      </c>
      <c r="G12" s="12">
        <v>33903035</v>
      </c>
      <c r="H12" s="28">
        <v>10</v>
      </c>
      <c r="I12" s="7" t="s">
        <v>37</v>
      </c>
      <c r="J12" s="7">
        <v>51.64</v>
      </c>
      <c r="K12" s="7" t="s">
        <v>52</v>
      </c>
      <c r="L12" s="7">
        <v>59.16</v>
      </c>
      <c r="M12" s="7" t="s">
        <v>36</v>
      </c>
      <c r="N12" s="7">
        <v>74.64</v>
      </c>
      <c r="O12" s="13"/>
      <c r="P12" s="13"/>
      <c r="Q12" s="13"/>
      <c r="R12" s="13"/>
      <c r="S12" s="18">
        <f t="shared" si="0"/>
        <v>51.64</v>
      </c>
      <c r="T12" s="14">
        <f t="shared" si="1"/>
        <v>61.81</v>
      </c>
      <c r="U12" s="14">
        <f t="shared" si="2"/>
        <v>59.16</v>
      </c>
      <c r="V12" s="15">
        <f t="shared" si="3"/>
        <v>0.18972159542958023</v>
      </c>
      <c r="W12" s="9">
        <f t="shared" si="4"/>
        <v>61.81</v>
      </c>
      <c r="X12" s="9">
        <f t="shared" si="5"/>
        <v>618.1</v>
      </c>
      <c r="Y12" s="120"/>
    </row>
    <row r="13" spans="1:25" ht="31.5" x14ac:dyDescent="0.25">
      <c r="A13" s="90"/>
      <c r="B13" s="10">
        <f t="shared" si="6"/>
        <v>10</v>
      </c>
      <c r="C13" s="33" t="s">
        <v>77</v>
      </c>
      <c r="D13" s="12" t="s">
        <v>24</v>
      </c>
      <c r="E13" s="12">
        <v>39330066</v>
      </c>
      <c r="F13" s="12" t="s">
        <v>20</v>
      </c>
      <c r="G13" s="12">
        <v>33903035</v>
      </c>
      <c r="H13" s="28">
        <v>30</v>
      </c>
      <c r="I13" s="7" t="s">
        <v>37</v>
      </c>
      <c r="J13" s="7">
        <v>4.41</v>
      </c>
      <c r="K13" s="7" t="s">
        <v>52</v>
      </c>
      <c r="L13" s="7">
        <v>4.45</v>
      </c>
      <c r="M13" s="7" t="s">
        <v>36</v>
      </c>
      <c r="N13" s="7">
        <v>4.1900000000000004</v>
      </c>
      <c r="O13" s="13"/>
      <c r="P13" s="13"/>
      <c r="Q13" s="13"/>
      <c r="R13" s="13"/>
      <c r="S13" s="18">
        <f t="shared" si="0"/>
        <v>4.1900000000000004</v>
      </c>
      <c r="T13" s="14">
        <f t="shared" si="1"/>
        <v>4.3499999999999996</v>
      </c>
      <c r="U13" s="14">
        <f t="shared" si="2"/>
        <v>4.41</v>
      </c>
      <c r="V13" s="15">
        <f t="shared" si="3"/>
        <v>3.2183908045976976E-2</v>
      </c>
      <c r="W13" s="9">
        <f t="shared" si="4"/>
        <v>4.3499999999999996</v>
      </c>
      <c r="X13" s="9">
        <f t="shared" si="5"/>
        <v>130.5</v>
      </c>
      <c r="Y13" s="120"/>
    </row>
    <row r="14" spans="1:25" ht="47.25" x14ac:dyDescent="0.25">
      <c r="A14" s="90"/>
      <c r="B14" s="10">
        <f t="shared" si="6"/>
        <v>11</v>
      </c>
      <c r="C14" s="33" t="s">
        <v>78</v>
      </c>
      <c r="D14" s="12" t="s">
        <v>24</v>
      </c>
      <c r="E14" s="12">
        <v>39330006</v>
      </c>
      <c r="F14" s="12" t="s">
        <v>20</v>
      </c>
      <c r="G14" s="12">
        <v>33903035</v>
      </c>
      <c r="H14" s="28">
        <v>34</v>
      </c>
      <c r="I14" s="7" t="s">
        <v>52</v>
      </c>
      <c r="J14" s="7">
        <v>8.0500000000000007</v>
      </c>
      <c r="K14" s="7" t="s">
        <v>37</v>
      </c>
      <c r="L14" s="7">
        <v>7.98</v>
      </c>
      <c r="M14" s="7" t="s">
        <v>36</v>
      </c>
      <c r="N14" s="7">
        <v>7.95</v>
      </c>
      <c r="O14" s="13"/>
      <c r="P14" s="13"/>
      <c r="Q14" s="13"/>
      <c r="R14" s="13"/>
      <c r="S14" s="18">
        <f t="shared" si="0"/>
        <v>7.95</v>
      </c>
      <c r="T14" s="14">
        <f t="shared" si="1"/>
        <v>7.99</v>
      </c>
      <c r="U14" s="14">
        <f t="shared" si="2"/>
        <v>7.98</v>
      </c>
      <c r="V14" s="15">
        <f t="shared" si="3"/>
        <v>6.4198516757050586E-3</v>
      </c>
      <c r="W14" s="9">
        <f t="shared" si="4"/>
        <v>7.99</v>
      </c>
      <c r="X14" s="9">
        <f t="shared" si="5"/>
        <v>271.66000000000003</v>
      </c>
      <c r="Y14" s="120"/>
    </row>
    <row r="15" spans="1:25" ht="31.5" x14ac:dyDescent="0.25">
      <c r="A15" s="90"/>
      <c r="B15" s="10">
        <f t="shared" si="6"/>
        <v>12</v>
      </c>
      <c r="C15" s="33" t="s">
        <v>79</v>
      </c>
      <c r="D15" s="12" t="s">
        <v>24</v>
      </c>
      <c r="E15" s="12">
        <v>39330030</v>
      </c>
      <c r="F15" s="12" t="s">
        <v>20</v>
      </c>
      <c r="G15" s="12">
        <v>33903035</v>
      </c>
      <c r="H15" s="28">
        <v>59</v>
      </c>
      <c r="I15" s="7" t="s">
        <v>52</v>
      </c>
      <c r="J15" s="7">
        <v>9.56</v>
      </c>
      <c r="K15" s="7" t="s">
        <v>37</v>
      </c>
      <c r="L15" s="7">
        <v>8.59</v>
      </c>
      <c r="M15" s="7" t="s">
        <v>36</v>
      </c>
      <c r="N15" s="7">
        <v>7.81</v>
      </c>
      <c r="O15" s="13"/>
      <c r="P15" s="13"/>
      <c r="Q15" s="13"/>
      <c r="R15" s="13"/>
      <c r="S15" s="18">
        <f t="shared" si="0"/>
        <v>7.81</v>
      </c>
      <c r="T15" s="14">
        <f t="shared" si="1"/>
        <v>8.65</v>
      </c>
      <c r="U15" s="14">
        <f t="shared" si="2"/>
        <v>8.59</v>
      </c>
      <c r="V15" s="15">
        <f t="shared" si="3"/>
        <v>0.10131556574951224</v>
      </c>
      <c r="W15" s="9">
        <f t="shared" si="4"/>
        <v>8.65</v>
      </c>
      <c r="X15" s="9">
        <f t="shared" si="5"/>
        <v>510.35</v>
      </c>
      <c r="Y15" s="120"/>
    </row>
    <row r="16" spans="1:25" ht="38.25" x14ac:dyDescent="0.25">
      <c r="A16" s="90"/>
      <c r="B16" s="10">
        <f t="shared" si="6"/>
        <v>13</v>
      </c>
      <c r="C16" s="11" t="s">
        <v>82</v>
      </c>
      <c r="D16" s="12" t="s">
        <v>24</v>
      </c>
      <c r="E16" s="12">
        <v>39330016</v>
      </c>
      <c r="F16" s="12" t="s">
        <v>20</v>
      </c>
      <c r="G16" s="12">
        <v>33903035</v>
      </c>
      <c r="H16" s="28">
        <v>20</v>
      </c>
      <c r="I16" s="21" t="s">
        <v>81</v>
      </c>
      <c r="J16" s="7">
        <v>11.74</v>
      </c>
      <c r="K16" s="7" t="s">
        <v>37</v>
      </c>
      <c r="L16" s="7">
        <v>7.11</v>
      </c>
      <c r="M16" s="7" t="s">
        <v>52</v>
      </c>
      <c r="N16" s="42">
        <v>7.92</v>
      </c>
      <c r="O16" s="13"/>
      <c r="P16" s="13"/>
      <c r="Q16" s="13"/>
      <c r="R16" s="13"/>
      <c r="S16" s="18">
        <f t="shared" si="0"/>
        <v>7.11</v>
      </c>
      <c r="T16" s="14">
        <f t="shared" si="1"/>
        <v>8.92</v>
      </c>
      <c r="U16" s="14">
        <f t="shared" si="2"/>
        <v>7.92</v>
      </c>
      <c r="V16" s="15">
        <f t="shared" si="3"/>
        <v>0.27710469730263149</v>
      </c>
      <c r="W16" s="9">
        <f t="shared" si="4"/>
        <v>7.92</v>
      </c>
      <c r="X16" s="9">
        <f t="shared" si="5"/>
        <v>158.4</v>
      </c>
      <c r="Y16" s="120"/>
    </row>
    <row r="17" spans="1:25" ht="31.5" x14ac:dyDescent="0.25">
      <c r="A17" s="90"/>
      <c r="B17" s="10">
        <f t="shared" si="6"/>
        <v>14</v>
      </c>
      <c r="C17" s="11" t="s">
        <v>84</v>
      </c>
      <c r="D17" s="12" t="s">
        <v>24</v>
      </c>
      <c r="E17" s="12">
        <v>34398124</v>
      </c>
      <c r="F17" s="12" t="s">
        <v>20</v>
      </c>
      <c r="G17" s="12">
        <v>33903035</v>
      </c>
      <c r="H17" s="28">
        <v>52</v>
      </c>
      <c r="I17" s="21" t="s">
        <v>52</v>
      </c>
      <c r="J17" s="7">
        <v>18.489999999999998</v>
      </c>
      <c r="K17" s="7" t="s">
        <v>37</v>
      </c>
      <c r="L17" s="7">
        <v>18.260000000000002</v>
      </c>
      <c r="M17" s="7" t="s">
        <v>30</v>
      </c>
      <c r="N17" s="42">
        <v>17.149999999999999</v>
      </c>
      <c r="O17" s="13"/>
      <c r="P17" s="13"/>
      <c r="Q17" s="13"/>
      <c r="R17" s="13"/>
      <c r="S17" s="18">
        <f t="shared" si="0"/>
        <v>17.149999999999999</v>
      </c>
      <c r="T17" s="14">
        <f t="shared" si="1"/>
        <v>17.96</v>
      </c>
      <c r="U17" s="14">
        <f t="shared" si="2"/>
        <v>18.260000000000002</v>
      </c>
      <c r="V17" s="15">
        <f t="shared" si="3"/>
        <v>3.9881778752741182E-2</v>
      </c>
      <c r="W17" s="9">
        <f t="shared" si="4"/>
        <v>17.96</v>
      </c>
      <c r="X17" s="9">
        <f t="shared" si="5"/>
        <v>933.92000000000007</v>
      </c>
      <c r="Y17" s="120"/>
    </row>
    <row r="18" spans="1:25" ht="31.5" x14ac:dyDescent="0.25">
      <c r="A18" s="90"/>
      <c r="B18" s="10">
        <f t="shared" si="6"/>
        <v>15</v>
      </c>
      <c r="C18" s="11" t="s">
        <v>85</v>
      </c>
      <c r="D18" s="12" t="s">
        <v>24</v>
      </c>
      <c r="E18" s="12">
        <v>34398124</v>
      </c>
      <c r="F18" s="12" t="s">
        <v>20</v>
      </c>
      <c r="G18" s="12">
        <v>33903035</v>
      </c>
      <c r="H18" s="28">
        <v>35</v>
      </c>
      <c r="I18" s="21" t="s">
        <v>37</v>
      </c>
      <c r="J18" s="7">
        <v>20.71</v>
      </c>
      <c r="K18" s="7" t="s">
        <v>30</v>
      </c>
      <c r="L18" s="7">
        <v>18.14</v>
      </c>
      <c r="M18" s="7" t="s">
        <v>36</v>
      </c>
      <c r="N18" s="42">
        <v>21.38</v>
      </c>
      <c r="O18" s="13"/>
      <c r="P18" s="13"/>
      <c r="Q18" s="13"/>
      <c r="R18" s="13"/>
      <c r="S18" s="18">
        <f t="shared" si="0"/>
        <v>18.14</v>
      </c>
      <c r="T18" s="14">
        <f t="shared" si="1"/>
        <v>20.07</v>
      </c>
      <c r="U18" s="14">
        <f t="shared" si="2"/>
        <v>20.71</v>
      </c>
      <c r="V18" s="15">
        <f t="shared" si="3"/>
        <v>8.5190005906295482E-2</v>
      </c>
      <c r="W18" s="9">
        <f t="shared" si="4"/>
        <v>20.07</v>
      </c>
      <c r="X18" s="9">
        <f t="shared" si="5"/>
        <v>702.45</v>
      </c>
      <c r="Y18" s="120"/>
    </row>
    <row r="19" spans="1:25" ht="31.5" x14ac:dyDescent="0.25">
      <c r="A19" s="90"/>
      <c r="B19" s="10">
        <f t="shared" si="6"/>
        <v>16</v>
      </c>
      <c r="C19" s="11" t="s">
        <v>93</v>
      </c>
      <c r="D19" s="12" t="s">
        <v>24</v>
      </c>
      <c r="E19" s="12">
        <v>39330016</v>
      </c>
      <c r="F19" s="12" t="s">
        <v>20</v>
      </c>
      <c r="G19" s="12">
        <v>33903035</v>
      </c>
      <c r="H19" s="43">
        <v>59</v>
      </c>
      <c r="I19" s="21" t="s">
        <v>52</v>
      </c>
      <c r="J19" s="7">
        <v>4.72</v>
      </c>
      <c r="K19" s="7" t="s">
        <v>50</v>
      </c>
      <c r="L19" s="7">
        <v>3.89</v>
      </c>
      <c r="M19" s="7" t="s">
        <v>36</v>
      </c>
      <c r="N19" s="7">
        <v>5.2</v>
      </c>
      <c r="O19" s="13"/>
      <c r="P19" s="13"/>
      <c r="Q19" s="13"/>
      <c r="R19" s="13"/>
      <c r="S19" s="18">
        <f t="shared" si="0"/>
        <v>3.89</v>
      </c>
      <c r="T19" s="14">
        <f t="shared" si="1"/>
        <v>4.5999999999999996</v>
      </c>
      <c r="U19" s="14">
        <f t="shared" si="2"/>
        <v>4.72</v>
      </c>
      <c r="V19" s="15">
        <f t="shared" si="3"/>
        <v>0.14397106648206442</v>
      </c>
      <c r="W19" s="9">
        <f t="shared" si="4"/>
        <v>4.5999999999999996</v>
      </c>
      <c r="X19" s="9">
        <f t="shared" si="5"/>
        <v>271.39999999999998</v>
      </c>
      <c r="Y19" s="120"/>
    </row>
    <row r="20" spans="1:25" ht="31.5" x14ac:dyDescent="0.25">
      <c r="A20" s="90"/>
      <c r="B20" s="10">
        <f t="shared" si="6"/>
        <v>17</v>
      </c>
      <c r="C20" s="11" t="s">
        <v>94</v>
      </c>
      <c r="D20" s="12" t="s">
        <v>24</v>
      </c>
      <c r="E20" s="12">
        <v>39330016</v>
      </c>
      <c r="F20" s="12" t="s">
        <v>20</v>
      </c>
      <c r="G20" s="12">
        <v>33903035</v>
      </c>
      <c r="H20" s="43">
        <v>62</v>
      </c>
      <c r="I20" s="21" t="s">
        <v>52</v>
      </c>
      <c r="J20" s="7">
        <v>6.72</v>
      </c>
      <c r="K20" s="7" t="s">
        <v>73</v>
      </c>
      <c r="L20" s="7">
        <v>7.5</v>
      </c>
      <c r="M20" s="7" t="s">
        <v>36</v>
      </c>
      <c r="N20" s="7">
        <v>6.83</v>
      </c>
      <c r="O20" s="13"/>
      <c r="P20" s="13"/>
      <c r="Q20" s="13"/>
      <c r="R20" s="13"/>
      <c r="S20" s="18">
        <f t="shared" si="0"/>
        <v>6.72</v>
      </c>
      <c r="T20" s="14">
        <f t="shared" si="1"/>
        <v>7.01</v>
      </c>
      <c r="U20" s="14">
        <f t="shared" si="2"/>
        <v>6.83</v>
      </c>
      <c r="V20" s="15">
        <f t="shared" si="3"/>
        <v>6.016772895279416E-2</v>
      </c>
      <c r="W20" s="9">
        <f t="shared" si="4"/>
        <v>7.01</v>
      </c>
      <c r="X20" s="9">
        <f t="shared" si="5"/>
        <v>434.62</v>
      </c>
      <c r="Y20" s="120"/>
    </row>
    <row r="21" spans="1:25" ht="31.5" x14ac:dyDescent="0.25">
      <c r="A21" s="90"/>
      <c r="B21" s="10">
        <f t="shared" si="6"/>
        <v>18</v>
      </c>
      <c r="C21" s="11" t="s">
        <v>95</v>
      </c>
      <c r="D21" s="12" t="s">
        <v>24</v>
      </c>
      <c r="E21" s="12">
        <v>55387024</v>
      </c>
      <c r="F21" s="12" t="s">
        <v>20</v>
      </c>
      <c r="G21" s="12">
        <v>33903035</v>
      </c>
      <c r="H21" s="43">
        <v>11</v>
      </c>
      <c r="I21" s="21" t="s">
        <v>21</v>
      </c>
      <c r="J21" s="7">
        <v>11.8</v>
      </c>
      <c r="K21" s="21" t="s">
        <v>21</v>
      </c>
      <c r="L21" s="7">
        <v>10.07</v>
      </c>
      <c r="M21" s="21" t="s">
        <v>21</v>
      </c>
      <c r="N21" s="7">
        <v>12</v>
      </c>
      <c r="O21" s="13"/>
      <c r="P21" s="13"/>
      <c r="Q21" s="13"/>
      <c r="R21" s="13"/>
      <c r="S21" s="18">
        <f t="shared" si="0"/>
        <v>10.07</v>
      </c>
      <c r="T21" s="14">
        <f t="shared" si="1"/>
        <v>11.29</v>
      </c>
      <c r="U21" s="14">
        <f t="shared" si="2"/>
        <v>11.8</v>
      </c>
      <c r="V21" s="15">
        <f t="shared" si="3"/>
        <v>9.4001135581973247E-2</v>
      </c>
      <c r="W21" s="9">
        <f t="shared" si="4"/>
        <v>11.29</v>
      </c>
      <c r="X21" s="9">
        <f t="shared" si="5"/>
        <v>124.19</v>
      </c>
      <c r="Y21" s="120"/>
    </row>
    <row r="22" spans="1:25" ht="31.5" x14ac:dyDescent="0.25">
      <c r="A22" s="90"/>
      <c r="B22" s="10">
        <f t="shared" si="6"/>
        <v>19</v>
      </c>
      <c r="C22" s="33" t="s">
        <v>71</v>
      </c>
      <c r="D22" s="12" t="s">
        <v>24</v>
      </c>
      <c r="E22" s="12">
        <v>40592104</v>
      </c>
      <c r="F22" s="12" t="s">
        <v>20</v>
      </c>
      <c r="G22" s="12">
        <v>33903035</v>
      </c>
      <c r="H22" s="37">
        <v>7</v>
      </c>
      <c r="I22" s="7" t="s">
        <v>52</v>
      </c>
      <c r="J22" s="7">
        <v>151.19999999999999</v>
      </c>
      <c r="K22" s="7" t="s">
        <v>37</v>
      </c>
      <c r="L22" s="7">
        <v>151.19999999999999</v>
      </c>
      <c r="M22" s="7" t="s">
        <v>30</v>
      </c>
      <c r="N22" s="7">
        <v>139.71</v>
      </c>
      <c r="O22" s="13"/>
      <c r="P22" s="13"/>
      <c r="Q22" s="13"/>
      <c r="R22" s="13"/>
      <c r="S22" s="18">
        <f t="shared" si="0"/>
        <v>139.71</v>
      </c>
      <c r="T22" s="14">
        <f t="shared" si="1"/>
        <v>147.37</v>
      </c>
      <c r="U22" s="14">
        <f t="shared" si="2"/>
        <v>151.19999999999999</v>
      </c>
      <c r="V22" s="15">
        <f t="shared" si="3"/>
        <v>4.5014281013698781E-2</v>
      </c>
      <c r="W22" s="9">
        <f t="shared" si="4"/>
        <v>147.37</v>
      </c>
      <c r="X22" s="9">
        <f t="shared" si="5"/>
        <v>1031.5900000000001</v>
      </c>
      <c r="Y22" s="120"/>
    </row>
    <row r="23" spans="1:25" ht="15.75" x14ac:dyDescent="0.25">
      <c r="A23" s="89"/>
      <c r="B23" s="10">
        <f t="shared" si="6"/>
        <v>20</v>
      </c>
      <c r="C23" s="11" t="s">
        <v>116</v>
      </c>
      <c r="D23" s="12" t="s">
        <v>24</v>
      </c>
      <c r="E23" s="12">
        <v>40592107</v>
      </c>
      <c r="F23" s="12" t="s">
        <v>20</v>
      </c>
      <c r="G23" s="12">
        <v>33903035</v>
      </c>
      <c r="H23" s="43">
        <v>6</v>
      </c>
      <c r="I23" s="21" t="s">
        <v>37</v>
      </c>
      <c r="J23" s="7">
        <v>75.47</v>
      </c>
      <c r="K23" s="21" t="s">
        <v>36</v>
      </c>
      <c r="L23" s="7">
        <v>74</v>
      </c>
      <c r="M23" s="21" t="s">
        <v>56</v>
      </c>
      <c r="N23" s="7">
        <v>62.65</v>
      </c>
      <c r="O23" s="13"/>
      <c r="P23" s="13"/>
      <c r="Q23" s="13"/>
      <c r="R23" s="13"/>
      <c r="S23" s="18">
        <f t="shared" si="0"/>
        <v>62.65</v>
      </c>
      <c r="T23" s="14">
        <f t="shared" si="1"/>
        <v>70.7</v>
      </c>
      <c r="U23" s="14">
        <f t="shared" si="2"/>
        <v>74</v>
      </c>
      <c r="V23" s="15">
        <f t="shared" si="3"/>
        <v>9.922521721581283E-2</v>
      </c>
      <c r="W23" s="9">
        <f t="shared" si="4"/>
        <v>70.7</v>
      </c>
      <c r="X23" s="9">
        <f t="shared" si="5"/>
        <v>424.20000000000005</v>
      </c>
      <c r="Y23" s="121"/>
    </row>
    <row r="24" spans="1:25" ht="18.75" x14ac:dyDescent="0.25">
      <c r="A24" s="83"/>
      <c r="B24" s="83"/>
      <c r="C24" s="83"/>
      <c r="D24" s="83"/>
      <c r="E24" s="83"/>
      <c r="F24" s="83"/>
      <c r="G24" s="83"/>
      <c r="H24" s="83"/>
      <c r="I24" s="83"/>
      <c r="J24" s="83"/>
      <c r="K24" s="83"/>
      <c r="L24" s="83"/>
      <c r="M24" s="83"/>
      <c r="N24" s="83"/>
      <c r="O24" s="83"/>
      <c r="P24" s="83"/>
      <c r="Q24" s="83"/>
      <c r="R24" s="83"/>
      <c r="S24" s="83"/>
      <c r="T24" s="83"/>
      <c r="U24" s="83"/>
      <c r="V24" s="84"/>
      <c r="W24" s="74"/>
      <c r="X24" s="74"/>
      <c r="Y24" s="74"/>
    </row>
    <row r="25" spans="1:25" ht="31.5" x14ac:dyDescent="0.25">
      <c r="A25" s="88">
        <v>2</v>
      </c>
      <c r="B25" s="10">
        <v>21</v>
      </c>
      <c r="C25" s="33" t="s">
        <v>27</v>
      </c>
      <c r="D25" s="32" t="s">
        <v>24</v>
      </c>
      <c r="E25" s="12">
        <v>55387163</v>
      </c>
      <c r="F25" s="12" t="s">
        <v>20</v>
      </c>
      <c r="G25" s="12">
        <v>33903035</v>
      </c>
      <c r="H25" s="28">
        <f>40+19</f>
        <v>59</v>
      </c>
      <c r="I25" s="7" t="s">
        <v>22</v>
      </c>
      <c r="J25" s="7">
        <v>29.94</v>
      </c>
      <c r="K25" s="7" t="s">
        <v>22</v>
      </c>
      <c r="L25" s="7">
        <v>34.229999999999997</v>
      </c>
      <c r="M25" s="7" t="s">
        <v>22</v>
      </c>
      <c r="N25" s="7">
        <v>32.49</v>
      </c>
      <c r="O25" s="13"/>
      <c r="P25" s="13"/>
      <c r="Q25" s="13"/>
      <c r="R25" s="13"/>
      <c r="S25" s="18">
        <f t="shared" si="0"/>
        <v>29.94</v>
      </c>
      <c r="T25" s="14">
        <f t="shared" si="1"/>
        <v>32.22</v>
      </c>
      <c r="U25" s="14">
        <f t="shared" si="2"/>
        <v>32.49</v>
      </c>
      <c r="V25" s="15">
        <f t="shared" si="3"/>
        <v>6.696794277970762E-2</v>
      </c>
      <c r="W25" s="9">
        <f t="shared" si="4"/>
        <v>32.22</v>
      </c>
      <c r="X25" s="9">
        <f t="shared" si="5"/>
        <v>1900.98</v>
      </c>
      <c r="Y25" s="122">
        <v>17023.830000000002</v>
      </c>
    </row>
    <row r="26" spans="1:25" ht="31.5" x14ac:dyDescent="0.25">
      <c r="A26" s="90"/>
      <c r="B26" s="10">
        <v>22</v>
      </c>
      <c r="C26" s="33" t="s">
        <v>581</v>
      </c>
      <c r="D26" s="32" t="s">
        <v>24</v>
      </c>
      <c r="E26" s="12">
        <v>55387175</v>
      </c>
      <c r="F26" s="12" t="s">
        <v>121</v>
      </c>
      <c r="G26" s="12">
        <v>33903035</v>
      </c>
      <c r="H26" s="28">
        <v>20</v>
      </c>
      <c r="I26" s="7" t="s">
        <v>22</v>
      </c>
      <c r="J26" s="7">
        <v>3.5</v>
      </c>
      <c r="K26" s="7" t="s">
        <v>22</v>
      </c>
      <c r="L26" s="7">
        <v>3.3</v>
      </c>
      <c r="M26" s="7" t="s">
        <v>22</v>
      </c>
      <c r="N26" s="7">
        <v>3.55</v>
      </c>
      <c r="O26" s="13"/>
      <c r="P26" s="13"/>
      <c r="Q26" s="13"/>
      <c r="R26" s="13"/>
      <c r="S26" s="18">
        <f>MIN(J26:R26)</f>
        <v>3.3</v>
      </c>
      <c r="T26" s="14">
        <f>ROUNDDOWN(AVERAGE(J26:R26),2)</f>
        <v>3.45</v>
      </c>
      <c r="U26" s="14">
        <f>ROUNDDOWN(MEDIAN(J26:R26),2)</f>
        <v>3.5</v>
      </c>
      <c r="V26" s="15">
        <f>STDEV(J26:R26)/AVERAGE(J26:R26)</f>
        <v>3.8344221899486837E-2</v>
      </c>
      <c r="W26" s="9">
        <f>IF(V26&lt;=25%,T26,U26)</f>
        <v>3.45</v>
      </c>
      <c r="X26" s="9">
        <f t="shared" si="5"/>
        <v>69</v>
      </c>
      <c r="Y26" s="123"/>
    </row>
    <row r="27" spans="1:25" ht="31.5" x14ac:dyDescent="0.25">
      <c r="A27" s="90"/>
      <c r="B27" s="10">
        <v>23</v>
      </c>
      <c r="C27" s="33" t="s">
        <v>28</v>
      </c>
      <c r="D27" s="32" t="s">
        <v>24</v>
      </c>
      <c r="E27" s="12">
        <v>55387163</v>
      </c>
      <c r="F27" s="12" t="s">
        <v>20</v>
      </c>
      <c r="G27" s="12">
        <v>33903035</v>
      </c>
      <c r="H27" s="28">
        <f>40+16</f>
        <v>56</v>
      </c>
      <c r="I27" s="7" t="s">
        <v>22</v>
      </c>
      <c r="J27" s="7">
        <v>25</v>
      </c>
      <c r="K27" s="7" t="s">
        <v>22</v>
      </c>
      <c r="L27" s="7">
        <v>23.99</v>
      </c>
      <c r="M27" s="7" t="s">
        <v>22</v>
      </c>
      <c r="N27" s="7">
        <v>25.95</v>
      </c>
      <c r="O27" s="13"/>
      <c r="P27" s="13"/>
      <c r="Q27" s="13"/>
      <c r="R27" s="13"/>
      <c r="S27" s="18">
        <f t="shared" si="0"/>
        <v>23.99</v>
      </c>
      <c r="T27" s="14">
        <f t="shared" si="1"/>
        <v>24.98</v>
      </c>
      <c r="U27" s="14">
        <f t="shared" si="2"/>
        <v>25</v>
      </c>
      <c r="V27" s="15">
        <f t="shared" si="3"/>
        <v>3.9237511980521576E-2</v>
      </c>
      <c r="W27" s="9">
        <f t="shared" si="4"/>
        <v>24.98</v>
      </c>
      <c r="X27" s="9">
        <f t="shared" si="5"/>
        <v>1398.88</v>
      </c>
      <c r="Y27" s="123"/>
    </row>
    <row r="28" spans="1:25" ht="47.25" x14ac:dyDescent="0.25">
      <c r="A28" s="90"/>
      <c r="B28" s="10">
        <v>24</v>
      </c>
      <c r="C28" s="33" t="s">
        <v>34</v>
      </c>
      <c r="D28" s="32" t="s">
        <v>24</v>
      </c>
      <c r="E28" s="12">
        <v>55360014</v>
      </c>
      <c r="F28" s="12" t="s">
        <v>20</v>
      </c>
      <c r="G28" s="12">
        <v>33903035</v>
      </c>
      <c r="H28" s="28">
        <v>12</v>
      </c>
      <c r="I28" s="7" t="s">
        <v>22</v>
      </c>
      <c r="J28" s="7">
        <v>72</v>
      </c>
      <c r="K28" s="7" t="s">
        <v>22</v>
      </c>
      <c r="L28" s="7">
        <v>85.95</v>
      </c>
      <c r="M28" s="7" t="s">
        <v>23</v>
      </c>
      <c r="N28" s="7">
        <v>62.64</v>
      </c>
      <c r="O28" s="13"/>
      <c r="P28" s="13"/>
      <c r="Q28" s="13"/>
      <c r="R28" s="13"/>
      <c r="S28" s="18">
        <f t="shared" si="0"/>
        <v>62.64</v>
      </c>
      <c r="T28" s="14">
        <f t="shared" si="1"/>
        <v>73.53</v>
      </c>
      <c r="U28" s="14">
        <f t="shared" si="2"/>
        <v>72</v>
      </c>
      <c r="V28" s="15">
        <f t="shared" si="3"/>
        <v>0.15952776725271156</v>
      </c>
      <c r="W28" s="9">
        <f t="shared" si="4"/>
        <v>73.53</v>
      </c>
      <c r="X28" s="9">
        <f t="shared" si="5"/>
        <v>882.36</v>
      </c>
      <c r="Y28" s="123"/>
    </row>
    <row r="29" spans="1:25" ht="31.5" x14ac:dyDescent="0.25">
      <c r="A29" s="90"/>
      <c r="B29" s="10">
        <v>25</v>
      </c>
      <c r="C29" s="33" t="s">
        <v>35</v>
      </c>
      <c r="D29" s="32" t="s">
        <v>24</v>
      </c>
      <c r="E29" s="12">
        <v>39357060</v>
      </c>
      <c r="F29" s="12" t="s">
        <v>20</v>
      </c>
      <c r="G29" s="12">
        <v>33903035</v>
      </c>
      <c r="H29" s="28">
        <v>18</v>
      </c>
      <c r="I29" s="7" t="s">
        <v>22</v>
      </c>
      <c r="J29" s="7">
        <v>26.47</v>
      </c>
      <c r="K29" s="7" t="s">
        <v>36</v>
      </c>
      <c r="L29" s="7">
        <v>25.69</v>
      </c>
      <c r="M29" s="7" t="s">
        <v>37</v>
      </c>
      <c r="N29" s="7">
        <v>26.98</v>
      </c>
      <c r="O29" s="13"/>
      <c r="P29" s="13"/>
      <c r="Q29" s="13"/>
      <c r="R29" s="13"/>
      <c r="S29" s="18">
        <f t="shared" si="0"/>
        <v>25.69</v>
      </c>
      <c r="T29" s="14">
        <f t="shared" si="1"/>
        <v>26.38</v>
      </c>
      <c r="U29" s="14">
        <f t="shared" si="2"/>
        <v>26.47</v>
      </c>
      <c r="V29" s="15">
        <f t="shared" si="3"/>
        <v>2.4628212086096696E-2</v>
      </c>
      <c r="W29" s="9">
        <f t="shared" si="4"/>
        <v>26.38</v>
      </c>
      <c r="X29" s="9">
        <f t="shared" si="5"/>
        <v>474.84</v>
      </c>
      <c r="Y29" s="123"/>
    </row>
    <row r="30" spans="1:25" ht="25.5" x14ac:dyDescent="0.25">
      <c r="A30" s="90"/>
      <c r="B30" s="10">
        <v>26</v>
      </c>
      <c r="C30" s="11" t="s">
        <v>89</v>
      </c>
      <c r="D30" s="12" t="s">
        <v>24</v>
      </c>
      <c r="E30" s="12">
        <v>55387155</v>
      </c>
      <c r="F30" s="12" t="s">
        <v>20</v>
      </c>
      <c r="G30" s="12">
        <v>33903035</v>
      </c>
      <c r="H30" s="28">
        <v>6</v>
      </c>
      <c r="I30" s="21" t="s">
        <v>80</v>
      </c>
      <c r="J30" s="7">
        <v>147.54</v>
      </c>
      <c r="K30" s="7" t="s">
        <v>21</v>
      </c>
      <c r="L30" s="7">
        <v>167.71</v>
      </c>
      <c r="M30" s="7" t="s">
        <v>21</v>
      </c>
      <c r="N30" s="7">
        <v>157.91999999999999</v>
      </c>
      <c r="O30" s="13"/>
      <c r="P30" s="13"/>
      <c r="Q30" s="13"/>
      <c r="R30" s="13"/>
      <c r="S30" s="18">
        <f t="shared" si="0"/>
        <v>147.54</v>
      </c>
      <c r="T30" s="14">
        <f t="shared" si="1"/>
        <v>157.72</v>
      </c>
      <c r="U30" s="14">
        <f t="shared" si="2"/>
        <v>157.91999999999999</v>
      </c>
      <c r="V30" s="15">
        <f t="shared" si="3"/>
        <v>6.3950196057447728E-2</v>
      </c>
      <c r="W30" s="9">
        <f t="shared" si="4"/>
        <v>157.72</v>
      </c>
      <c r="X30" s="9">
        <f t="shared" si="5"/>
        <v>946.31999999999994</v>
      </c>
      <c r="Y30" s="123"/>
    </row>
    <row r="31" spans="1:25" ht="31.5" x14ac:dyDescent="0.25">
      <c r="A31" s="90"/>
      <c r="B31" s="10">
        <v>27</v>
      </c>
      <c r="C31" s="33" t="s">
        <v>53</v>
      </c>
      <c r="D31" s="32" t="s">
        <v>24</v>
      </c>
      <c r="E31" s="12">
        <v>55387128</v>
      </c>
      <c r="F31" s="12" t="s">
        <v>20</v>
      </c>
      <c r="G31" s="12">
        <v>33903035</v>
      </c>
      <c r="H31" s="28">
        <v>20</v>
      </c>
      <c r="I31" s="7" t="s">
        <v>36</v>
      </c>
      <c r="J31" s="7">
        <v>42.1</v>
      </c>
      <c r="K31" s="7" t="s">
        <v>37</v>
      </c>
      <c r="L31" s="7">
        <v>44.39</v>
      </c>
      <c r="M31" s="7" t="s">
        <v>51</v>
      </c>
      <c r="N31" s="7">
        <v>38.75</v>
      </c>
      <c r="O31" s="13"/>
      <c r="P31" s="13"/>
      <c r="Q31" s="13"/>
      <c r="R31" s="13"/>
      <c r="S31" s="18">
        <f t="shared" si="0"/>
        <v>38.75</v>
      </c>
      <c r="T31" s="14">
        <f t="shared" si="1"/>
        <v>41.74</v>
      </c>
      <c r="U31" s="14">
        <f t="shared" si="2"/>
        <v>42.1</v>
      </c>
      <c r="V31" s="15">
        <f t="shared" si="3"/>
        <v>6.7946815854507583E-2</v>
      </c>
      <c r="W31" s="9">
        <f t="shared" si="4"/>
        <v>41.74</v>
      </c>
      <c r="X31" s="9">
        <f t="shared" si="5"/>
        <v>834.80000000000007</v>
      </c>
      <c r="Y31" s="123"/>
    </row>
    <row r="32" spans="1:25" ht="31.5" x14ac:dyDescent="0.25">
      <c r="A32" s="90"/>
      <c r="B32" s="10">
        <v>28</v>
      </c>
      <c r="C32" s="33" t="s">
        <v>54</v>
      </c>
      <c r="D32" s="32" t="s">
        <v>24</v>
      </c>
      <c r="E32" s="12">
        <v>55387099</v>
      </c>
      <c r="F32" s="12" t="s">
        <v>20</v>
      </c>
      <c r="G32" s="12">
        <v>33903035</v>
      </c>
      <c r="H32" s="28">
        <v>20</v>
      </c>
      <c r="I32" s="7" t="s">
        <v>36</v>
      </c>
      <c r="J32" s="7">
        <v>34.18</v>
      </c>
      <c r="K32" s="7" t="s">
        <v>55</v>
      </c>
      <c r="L32" s="7">
        <v>34.79</v>
      </c>
      <c r="M32" s="7" t="s">
        <v>56</v>
      </c>
      <c r="N32" s="7">
        <v>29.24</v>
      </c>
      <c r="O32" s="13"/>
      <c r="P32" s="13"/>
      <c r="Q32" s="13"/>
      <c r="R32" s="13"/>
      <c r="S32" s="18">
        <f t="shared" si="0"/>
        <v>29.24</v>
      </c>
      <c r="T32" s="14">
        <f t="shared" si="1"/>
        <v>32.729999999999997</v>
      </c>
      <c r="U32" s="14">
        <f t="shared" si="2"/>
        <v>34.18</v>
      </c>
      <c r="V32" s="15">
        <f t="shared" si="3"/>
        <v>9.2969855749589062E-2</v>
      </c>
      <c r="W32" s="9">
        <f t="shared" si="4"/>
        <v>32.729999999999997</v>
      </c>
      <c r="X32" s="9">
        <f t="shared" si="5"/>
        <v>654.59999999999991</v>
      </c>
      <c r="Y32" s="123"/>
    </row>
    <row r="33" spans="1:25" ht="31.5" x14ac:dyDescent="0.25">
      <c r="A33" s="90"/>
      <c r="B33" s="10">
        <v>29</v>
      </c>
      <c r="C33" s="33" t="s">
        <v>57</v>
      </c>
      <c r="D33" s="32" t="s">
        <v>24</v>
      </c>
      <c r="E33" s="12">
        <v>55387133</v>
      </c>
      <c r="F33" s="12" t="s">
        <v>20</v>
      </c>
      <c r="G33" s="12">
        <v>33903035</v>
      </c>
      <c r="H33" s="28">
        <v>20</v>
      </c>
      <c r="I33" s="7" t="s">
        <v>58</v>
      </c>
      <c r="J33" s="7">
        <v>64.099999999999994</v>
      </c>
      <c r="K33" s="7" t="s">
        <v>36</v>
      </c>
      <c r="L33" s="7">
        <v>63.93</v>
      </c>
      <c r="M33" s="7" t="s">
        <v>26</v>
      </c>
      <c r="N33" s="7">
        <v>61.65</v>
      </c>
      <c r="O33" s="13"/>
      <c r="P33" s="13"/>
      <c r="Q33" s="13"/>
      <c r="R33" s="13"/>
      <c r="S33" s="18">
        <f t="shared" si="0"/>
        <v>61.65</v>
      </c>
      <c r="T33" s="14">
        <f t="shared" si="1"/>
        <v>63.22</v>
      </c>
      <c r="U33" s="14">
        <f t="shared" si="2"/>
        <v>63.93</v>
      </c>
      <c r="V33" s="15">
        <f t="shared" si="3"/>
        <v>2.163765038878827E-2</v>
      </c>
      <c r="W33" s="9">
        <f t="shared" si="4"/>
        <v>63.22</v>
      </c>
      <c r="X33" s="9">
        <f t="shared" si="5"/>
        <v>1264.4000000000001</v>
      </c>
      <c r="Y33" s="123"/>
    </row>
    <row r="34" spans="1:25" ht="47.25" x14ac:dyDescent="0.25">
      <c r="A34" s="90"/>
      <c r="B34" s="10">
        <v>30</v>
      </c>
      <c r="C34" s="11" t="s">
        <v>90</v>
      </c>
      <c r="D34" s="12" t="s">
        <v>24</v>
      </c>
      <c r="E34" s="12">
        <v>39357065</v>
      </c>
      <c r="F34" s="12" t="s">
        <v>20</v>
      </c>
      <c r="G34" s="12">
        <v>33903035</v>
      </c>
      <c r="H34" s="28">
        <v>11</v>
      </c>
      <c r="I34" s="21" t="s">
        <v>29</v>
      </c>
      <c r="J34" s="7">
        <v>175.61</v>
      </c>
      <c r="K34" s="7" t="s">
        <v>52</v>
      </c>
      <c r="L34" s="7">
        <v>132.83000000000001</v>
      </c>
      <c r="M34" s="7" t="s">
        <v>26</v>
      </c>
      <c r="N34" s="7">
        <v>195.12</v>
      </c>
      <c r="O34" s="13"/>
      <c r="P34" s="13"/>
      <c r="Q34" s="13"/>
      <c r="R34" s="13"/>
      <c r="S34" s="18">
        <f t="shared" si="0"/>
        <v>132.83000000000001</v>
      </c>
      <c r="T34" s="14">
        <f t="shared" si="1"/>
        <v>167.85</v>
      </c>
      <c r="U34" s="14">
        <f t="shared" si="2"/>
        <v>175.61</v>
      </c>
      <c r="V34" s="15">
        <f t="shared" si="3"/>
        <v>0.18981565303224074</v>
      </c>
      <c r="W34" s="9">
        <f t="shared" si="4"/>
        <v>167.85</v>
      </c>
      <c r="X34" s="9">
        <f t="shared" si="5"/>
        <v>1846.35</v>
      </c>
      <c r="Y34" s="123"/>
    </row>
    <row r="35" spans="1:25" ht="63" x14ac:dyDescent="0.25">
      <c r="A35" s="90"/>
      <c r="B35" s="10">
        <v>31</v>
      </c>
      <c r="C35" s="11" t="s">
        <v>96</v>
      </c>
      <c r="D35" s="12" t="s">
        <v>24</v>
      </c>
      <c r="E35" s="12">
        <v>55387176</v>
      </c>
      <c r="F35" s="12" t="s">
        <v>20</v>
      </c>
      <c r="G35" s="12">
        <v>33903035</v>
      </c>
      <c r="H35" s="43">
        <v>15</v>
      </c>
      <c r="I35" s="21" t="s">
        <v>66</v>
      </c>
      <c r="J35" s="7">
        <v>35.35</v>
      </c>
      <c r="K35" s="7" t="s">
        <v>97</v>
      </c>
      <c r="L35" s="7">
        <v>35.479999999999997</v>
      </c>
      <c r="M35" s="7" t="s">
        <v>98</v>
      </c>
      <c r="N35" s="7">
        <v>23.66</v>
      </c>
      <c r="O35" s="13"/>
      <c r="P35" s="13"/>
      <c r="Q35" s="13"/>
      <c r="R35" s="13"/>
      <c r="S35" s="18">
        <f t="shared" si="0"/>
        <v>23.66</v>
      </c>
      <c r="T35" s="14">
        <f t="shared" si="1"/>
        <v>31.49</v>
      </c>
      <c r="U35" s="14">
        <f t="shared" si="2"/>
        <v>35.35</v>
      </c>
      <c r="V35" s="15">
        <f t="shared" si="3"/>
        <v>0.21548514156066514</v>
      </c>
      <c r="W35" s="9">
        <f t="shared" si="4"/>
        <v>31.49</v>
      </c>
      <c r="X35" s="9">
        <f t="shared" si="5"/>
        <v>472.34999999999997</v>
      </c>
      <c r="Y35" s="123"/>
    </row>
    <row r="36" spans="1:25" ht="78.75" x14ac:dyDescent="0.25">
      <c r="A36" s="90"/>
      <c r="B36" s="10">
        <v>32</v>
      </c>
      <c r="C36" s="11" t="s">
        <v>99</v>
      </c>
      <c r="D36" s="12" t="s">
        <v>24</v>
      </c>
      <c r="E36" s="12">
        <v>55387143</v>
      </c>
      <c r="F36" s="12" t="s">
        <v>20</v>
      </c>
      <c r="G36" s="12">
        <v>33903035</v>
      </c>
      <c r="H36" s="43">
        <v>9</v>
      </c>
      <c r="I36" s="21" t="s">
        <v>100</v>
      </c>
      <c r="J36" s="7">
        <v>60</v>
      </c>
      <c r="K36" s="7" t="s">
        <v>52</v>
      </c>
      <c r="L36" s="7">
        <v>72.959999999999994</v>
      </c>
      <c r="M36" s="7" t="s">
        <v>26</v>
      </c>
      <c r="N36" s="7">
        <v>61.56</v>
      </c>
      <c r="O36" s="13"/>
      <c r="P36" s="13"/>
      <c r="Q36" s="13"/>
      <c r="R36" s="13"/>
      <c r="S36" s="18">
        <f t="shared" si="0"/>
        <v>60</v>
      </c>
      <c r="T36" s="14">
        <f t="shared" si="1"/>
        <v>64.84</v>
      </c>
      <c r="U36" s="14">
        <f t="shared" si="2"/>
        <v>61.56</v>
      </c>
      <c r="V36" s="15">
        <f t="shared" si="3"/>
        <v>0.10911864043284597</v>
      </c>
      <c r="W36" s="9">
        <f t="shared" si="4"/>
        <v>64.84</v>
      </c>
      <c r="X36" s="9">
        <f t="shared" si="5"/>
        <v>583.56000000000006</v>
      </c>
      <c r="Y36" s="123"/>
    </row>
    <row r="37" spans="1:25" ht="31.5" x14ac:dyDescent="0.25">
      <c r="A37" s="90"/>
      <c r="B37" s="10">
        <v>33</v>
      </c>
      <c r="C37" s="11" t="s">
        <v>101</v>
      </c>
      <c r="D37" s="12" t="s">
        <v>24</v>
      </c>
      <c r="E37" s="12">
        <v>55387143</v>
      </c>
      <c r="F37" s="12" t="s">
        <v>20</v>
      </c>
      <c r="G37" s="12">
        <v>33903035</v>
      </c>
      <c r="H37" s="43">
        <v>25</v>
      </c>
      <c r="I37" s="21" t="s">
        <v>52</v>
      </c>
      <c r="J37" s="7">
        <v>26.6</v>
      </c>
      <c r="K37" s="7" t="s">
        <v>30</v>
      </c>
      <c r="L37" s="7">
        <v>21.36</v>
      </c>
      <c r="M37" s="7" t="s">
        <v>102</v>
      </c>
      <c r="N37" s="7">
        <v>25.08</v>
      </c>
      <c r="O37" s="13"/>
      <c r="P37" s="13"/>
      <c r="Q37" s="13"/>
      <c r="R37" s="13"/>
      <c r="S37" s="18">
        <f t="shared" si="0"/>
        <v>21.36</v>
      </c>
      <c r="T37" s="14">
        <f t="shared" si="1"/>
        <v>24.34</v>
      </c>
      <c r="U37" s="14">
        <f t="shared" si="2"/>
        <v>25.08</v>
      </c>
      <c r="V37" s="15">
        <f t="shared" si="3"/>
        <v>0.11072864415556798</v>
      </c>
      <c r="W37" s="9">
        <f t="shared" si="4"/>
        <v>24.34</v>
      </c>
      <c r="X37" s="9">
        <f t="shared" si="5"/>
        <v>608.5</v>
      </c>
      <c r="Y37" s="123"/>
    </row>
    <row r="38" spans="1:25" ht="15.75" x14ac:dyDescent="0.25">
      <c r="A38" s="90"/>
      <c r="B38" s="10">
        <v>34</v>
      </c>
      <c r="C38" s="11" t="s">
        <v>104</v>
      </c>
      <c r="D38" s="12" t="s">
        <v>24</v>
      </c>
      <c r="E38" s="12">
        <v>55387176</v>
      </c>
      <c r="F38" s="12" t="s">
        <v>20</v>
      </c>
      <c r="G38" s="12">
        <v>33903035</v>
      </c>
      <c r="H38" s="43">
        <v>40</v>
      </c>
      <c r="I38" s="21" t="s">
        <v>52</v>
      </c>
      <c r="J38" s="7">
        <v>3.71</v>
      </c>
      <c r="K38" s="7" t="s">
        <v>36</v>
      </c>
      <c r="L38" s="7">
        <v>9.52</v>
      </c>
      <c r="M38" s="7" t="s">
        <v>105</v>
      </c>
      <c r="N38" s="7">
        <v>2.99</v>
      </c>
      <c r="O38" s="13"/>
      <c r="P38" s="13"/>
      <c r="Q38" s="13"/>
      <c r="R38" s="13"/>
      <c r="S38" s="18">
        <f t="shared" ref="S38:S59" si="7">MIN(J38:R38)</f>
        <v>2.99</v>
      </c>
      <c r="T38" s="14">
        <f t="shared" ref="T38:T59" si="8">ROUNDDOWN(AVERAGE(J38:R38),2)</f>
        <v>5.4</v>
      </c>
      <c r="U38" s="14">
        <f t="shared" ref="U38:U59" si="9">ROUNDDOWN(MEDIAN(J38:R38),2)</f>
        <v>3.71</v>
      </c>
      <c r="V38" s="15">
        <f t="shared" ref="V38:V59" si="10">STDEV(J38:R38)/AVERAGE(J38:R38)</f>
        <v>0.66221868589606103</v>
      </c>
      <c r="W38" s="9">
        <f t="shared" ref="W38:W59" si="11">IF(V38&lt;=25%,T38,U38)</f>
        <v>3.71</v>
      </c>
      <c r="X38" s="9">
        <f t="shared" si="5"/>
        <v>148.4</v>
      </c>
      <c r="Y38" s="123"/>
    </row>
    <row r="39" spans="1:25" ht="15.75" x14ac:dyDescent="0.25">
      <c r="A39" s="90"/>
      <c r="B39" s="10">
        <v>35</v>
      </c>
      <c r="C39" s="11" t="s">
        <v>106</v>
      </c>
      <c r="D39" s="12" t="s">
        <v>24</v>
      </c>
      <c r="E39" s="12">
        <v>55387176</v>
      </c>
      <c r="F39" s="12" t="s">
        <v>20</v>
      </c>
      <c r="G39" s="12">
        <v>33903035</v>
      </c>
      <c r="H39" s="43">
        <v>38</v>
      </c>
      <c r="I39" s="21" t="s">
        <v>21</v>
      </c>
      <c r="J39" s="7">
        <v>2.42</v>
      </c>
      <c r="K39" s="7" t="s">
        <v>107</v>
      </c>
      <c r="L39" s="7">
        <v>3.74</v>
      </c>
      <c r="M39" s="7" t="s">
        <v>48</v>
      </c>
      <c r="N39" s="7">
        <v>3.4</v>
      </c>
      <c r="O39" s="13"/>
      <c r="P39" s="13"/>
      <c r="Q39" s="13"/>
      <c r="R39" s="13"/>
      <c r="S39" s="18">
        <f t="shared" si="7"/>
        <v>2.42</v>
      </c>
      <c r="T39" s="14">
        <f t="shared" si="8"/>
        <v>3.18</v>
      </c>
      <c r="U39" s="14">
        <f t="shared" si="9"/>
        <v>3.4</v>
      </c>
      <c r="V39" s="15">
        <f t="shared" si="10"/>
        <v>0.21507456457850982</v>
      </c>
      <c r="W39" s="9">
        <f t="shared" si="11"/>
        <v>3.18</v>
      </c>
      <c r="X39" s="9">
        <f t="shared" si="5"/>
        <v>120.84</v>
      </c>
      <c r="Y39" s="123"/>
    </row>
    <row r="40" spans="1:25" ht="31.5" x14ac:dyDescent="0.25">
      <c r="A40" s="90"/>
      <c r="B40" s="10">
        <v>36</v>
      </c>
      <c r="C40" s="33" t="s">
        <v>69</v>
      </c>
      <c r="D40" s="12" t="s">
        <v>24</v>
      </c>
      <c r="E40" s="12">
        <v>39357062</v>
      </c>
      <c r="F40" s="12" t="s">
        <v>20</v>
      </c>
      <c r="G40" s="12">
        <v>33903035</v>
      </c>
      <c r="H40" s="37">
        <v>15</v>
      </c>
      <c r="I40" s="7" t="s">
        <v>47</v>
      </c>
      <c r="J40" s="7">
        <v>9.0399999999999991</v>
      </c>
      <c r="K40" s="7" t="s">
        <v>70</v>
      </c>
      <c r="L40" s="7">
        <v>15</v>
      </c>
      <c r="M40" s="7" t="s">
        <v>22</v>
      </c>
      <c r="N40" s="7">
        <v>7.85</v>
      </c>
      <c r="O40" s="36"/>
      <c r="P40" s="13"/>
      <c r="Q40" s="13"/>
      <c r="R40" s="13"/>
      <c r="S40" s="18">
        <f t="shared" si="7"/>
        <v>7.85</v>
      </c>
      <c r="T40" s="14">
        <f t="shared" si="8"/>
        <v>10.63</v>
      </c>
      <c r="U40" s="14">
        <f t="shared" si="9"/>
        <v>9.0399999999999991</v>
      </c>
      <c r="V40" s="15">
        <f t="shared" si="10"/>
        <v>0.36039681481039176</v>
      </c>
      <c r="W40" s="9">
        <f t="shared" si="11"/>
        <v>9.0399999999999991</v>
      </c>
      <c r="X40" s="9">
        <f t="shared" si="5"/>
        <v>135.6</v>
      </c>
      <c r="Y40" s="123"/>
    </row>
    <row r="41" spans="1:25" ht="47.25" x14ac:dyDescent="0.25">
      <c r="A41" s="90"/>
      <c r="B41" s="10">
        <v>37</v>
      </c>
      <c r="C41" s="11" t="s">
        <v>91</v>
      </c>
      <c r="D41" s="12" t="s">
        <v>92</v>
      </c>
      <c r="E41" s="12">
        <v>55530006</v>
      </c>
      <c r="F41" s="12" t="s">
        <v>20</v>
      </c>
      <c r="G41" s="12">
        <v>33903035</v>
      </c>
      <c r="H41" s="27">
        <v>9</v>
      </c>
      <c r="I41" s="21" t="s">
        <v>80</v>
      </c>
      <c r="J41" s="7">
        <v>29.99</v>
      </c>
      <c r="K41" s="7" t="s">
        <v>36</v>
      </c>
      <c r="L41" s="7">
        <v>31.87</v>
      </c>
      <c r="M41" s="7" t="s">
        <v>46</v>
      </c>
      <c r="N41" s="7">
        <v>27.45</v>
      </c>
      <c r="O41" s="13"/>
      <c r="P41" s="13"/>
      <c r="Q41" s="13"/>
      <c r="R41" s="13"/>
      <c r="S41" s="18">
        <f t="shared" si="7"/>
        <v>27.45</v>
      </c>
      <c r="T41" s="14">
        <f t="shared" si="8"/>
        <v>29.77</v>
      </c>
      <c r="U41" s="14">
        <f t="shared" si="9"/>
        <v>29.99</v>
      </c>
      <c r="V41" s="15">
        <f t="shared" si="10"/>
        <v>7.4511167833818059E-2</v>
      </c>
      <c r="W41" s="9">
        <f t="shared" si="11"/>
        <v>29.77</v>
      </c>
      <c r="X41" s="9">
        <f t="shared" si="5"/>
        <v>267.93</v>
      </c>
      <c r="Y41" s="123"/>
    </row>
    <row r="42" spans="1:25" ht="15.75" x14ac:dyDescent="0.25">
      <c r="A42" s="90"/>
      <c r="B42" s="10">
        <v>38</v>
      </c>
      <c r="C42" s="33" t="s">
        <v>61</v>
      </c>
      <c r="D42" s="32" t="s">
        <v>24</v>
      </c>
      <c r="E42" s="12">
        <v>39357063</v>
      </c>
      <c r="F42" s="12" t="s">
        <v>20</v>
      </c>
      <c r="G42" s="12">
        <v>33903035</v>
      </c>
      <c r="H42" s="28">
        <v>5</v>
      </c>
      <c r="I42" s="7" t="s">
        <v>40</v>
      </c>
      <c r="J42" s="7">
        <v>512.49</v>
      </c>
      <c r="K42" s="7" t="s">
        <v>60</v>
      </c>
      <c r="L42" s="7">
        <v>551</v>
      </c>
      <c r="M42" s="7" t="s">
        <v>26</v>
      </c>
      <c r="N42" s="7">
        <v>517.65</v>
      </c>
      <c r="O42" s="13"/>
      <c r="P42" s="13"/>
      <c r="Q42" s="13"/>
      <c r="R42" s="13"/>
      <c r="S42" s="18">
        <f t="shared" si="7"/>
        <v>512.49</v>
      </c>
      <c r="T42" s="14">
        <f t="shared" si="8"/>
        <v>527.04</v>
      </c>
      <c r="U42" s="14">
        <f t="shared" si="9"/>
        <v>517.65</v>
      </c>
      <c r="V42" s="15">
        <f t="shared" si="10"/>
        <v>3.9662559070692646E-2</v>
      </c>
      <c r="W42" s="9">
        <f t="shared" si="11"/>
        <v>527.04</v>
      </c>
      <c r="X42" s="9">
        <f t="shared" si="5"/>
        <v>2635.2</v>
      </c>
      <c r="Y42" s="123"/>
    </row>
    <row r="43" spans="1:25" ht="15.75" x14ac:dyDescent="0.25">
      <c r="A43" s="90"/>
      <c r="B43" s="10">
        <v>39</v>
      </c>
      <c r="C43" s="11" t="s">
        <v>108</v>
      </c>
      <c r="D43" s="12" t="s">
        <v>24</v>
      </c>
      <c r="E43" s="12">
        <v>57460003</v>
      </c>
      <c r="F43" s="12" t="s">
        <v>20</v>
      </c>
      <c r="G43" s="12">
        <v>33903035</v>
      </c>
      <c r="H43" s="43">
        <v>4</v>
      </c>
      <c r="I43" s="21" t="s">
        <v>37</v>
      </c>
      <c r="J43" s="7">
        <v>59.56</v>
      </c>
      <c r="K43" s="7" t="s">
        <v>59</v>
      </c>
      <c r="L43" s="7">
        <v>30</v>
      </c>
      <c r="M43" s="7" t="s">
        <v>52</v>
      </c>
      <c r="N43" s="7">
        <v>21.1</v>
      </c>
      <c r="O43" s="13"/>
      <c r="P43" s="13"/>
      <c r="Q43" s="13"/>
      <c r="R43" s="13"/>
      <c r="S43" s="18">
        <f t="shared" si="7"/>
        <v>21.1</v>
      </c>
      <c r="T43" s="14">
        <f t="shared" si="8"/>
        <v>36.880000000000003</v>
      </c>
      <c r="U43" s="14">
        <f t="shared" si="9"/>
        <v>30</v>
      </c>
      <c r="V43" s="15">
        <f t="shared" si="10"/>
        <v>0.5458237031211155</v>
      </c>
      <c r="W43" s="9">
        <f t="shared" si="11"/>
        <v>30</v>
      </c>
      <c r="X43" s="9">
        <f t="shared" si="5"/>
        <v>120</v>
      </c>
      <c r="Y43" s="123"/>
    </row>
    <row r="44" spans="1:25" ht="15.75" x14ac:dyDescent="0.25">
      <c r="A44" s="90"/>
      <c r="B44" s="10">
        <v>40</v>
      </c>
      <c r="C44" s="11" t="s">
        <v>109</v>
      </c>
      <c r="D44" s="12" t="s">
        <v>24</v>
      </c>
      <c r="E44" s="12">
        <v>57460003</v>
      </c>
      <c r="F44" s="12" t="s">
        <v>20</v>
      </c>
      <c r="G44" s="12">
        <v>33903035</v>
      </c>
      <c r="H44" s="43">
        <v>4</v>
      </c>
      <c r="I44" s="21" t="s">
        <v>37</v>
      </c>
      <c r="J44" s="7">
        <v>75.47</v>
      </c>
      <c r="K44" s="7" t="s">
        <v>59</v>
      </c>
      <c r="L44" s="7">
        <v>39.770000000000003</v>
      </c>
      <c r="M44" s="7" t="s">
        <v>46</v>
      </c>
      <c r="N44" s="7">
        <v>47.73</v>
      </c>
      <c r="O44" s="13"/>
      <c r="P44" s="13"/>
      <c r="Q44" s="13"/>
      <c r="R44" s="13"/>
      <c r="S44" s="18">
        <f t="shared" si="7"/>
        <v>39.770000000000003</v>
      </c>
      <c r="T44" s="14">
        <f t="shared" si="8"/>
        <v>54.32</v>
      </c>
      <c r="U44" s="14">
        <f t="shared" si="9"/>
        <v>47.73</v>
      </c>
      <c r="V44" s="15">
        <f t="shared" si="10"/>
        <v>0.34499058871168253</v>
      </c>
      <c r="W44" s="9">
        <f t="shared" si="11"/>
        <v>47.73</v>
      </c>
      <c r="X44" s="9">
        <f t="shared" si="5"/>
        <v>190.92</v>
      </c>
      <c r="Y44" s="123"/>
    </row>
    <row r="45" spans="1:25" ht="78.75" x14ac:dyDescent="0.25">
      <c r="A45" s="89"/>
      <c r="B45" s="10">
        <v>41</v>
      </c>
      <c r="C45" s="33" t="s">
        <v>38</v>
      </c>
      <c r="D45" s="32" t="s">
        <v>24</v>
      </c>
      <c r="E45" s="12">
        <v>54437060</v>
      </c>
      <c r="F45" s="12" t="s">
        <v>20</v>
      </c>
      <c r="G45" s="12">
        <v>33903035</v>
      </c>
      <c r="H45" s="28">
        <v>80</v>
      </c>
      <c r="I45" s="7" t="s">
        <v>39</v>
      </c>
      <c r="J45" s="7">
        <v>20.059999999999999</v>
      </c>
      <c r="K45" s="7" t="s">
        <v>22</v>
      </c>
      <c r="L45" s="7">
        <v>18</v>
      </c>
      <c r="M45" s="7" t="s">
        <v>40</v>
      </c>
      <c r="N45" s="7">
        <v>17</v>
      </c>
      <c r="O45" s="13"/>
      <c r="P45" s="13"/>
      <c r="Q45" s="13"/>
      <c r="R45" s="13"/>
      <c r="S45" s="18">
        <f t="shared" si="7"/>
        <v>17</v>
      </c>
      <c r="T45" s="14">
        <f t="shared" si="8"/>
        <v>18.350000000000001</v>
      </c>
      <c r="U45" s="14">
        <f t="shared" si="9"/>
        <v>18</v>
      </c>
      <c r="V45" s="15">
        <f t="shared" si="10"/>
        <v>8.5014481472354936E-2</v>
      </c>
      <c r="W45" s="9">
        <f t="shared" si="11"/>
        <v>18.350000000000001</v>
      </c>
      <c r="X45" s="9">
        <f t="shared" si="5"/>
        <v>1468</v>
      </c>
      <c r="Y45" s="124"/>
    </row>
    <row r="46" spans="1:25" ht="15.75" customHeight="1" x14ac:dyDescent="0.25">
      <c r="A46" s="83"/>
      <c r="B46" s="83"/>
      <c r="C46" s="83"/>
      <c r="D46" s="83"/>
      <c r="E46" s="83"/>
      <c r="F46" s="83"/>
      <c r="G46" s="83"/>
      <c r="H46" s="83"/>
      <c r="I46" s="83"/>
      <c r="J46" s="83"/>
      <c r="K46" s="83"/>
      <c r="L46" s="83"/>
      <c r="M46" s="83"/>
      <c r="N46" s="83"/>
      <c r="O46" s="83"/>
      <c r="P46" s="83"/>
      <c r="Q46" s="83"/>
      <c r="R46" s="83"/>
      <c r="S46" s="83"/>
      <c r="T46" s="83"/>
      <c r="U46" s="83"/>
      <c r="V46" s="84"/>
      <c r="W46" s="74"/>
      <c r="X46" s="74"/>
      <c r="Y46" s="74"/>
    </row>
    <row r="47" spans="1:25" ht="31.5" x14ac:dyDescent="0.25">
      <c r="A47" s="88">
        <v>3</v>
      </c>
      <c r="B47" s="10">
        <v>42</v>
      </c>
      <c r="C47" s="11" t="s">
        <v>86</v>
      </c>
      <c r="D47" s="12" t="s">
        <v>24</v>
      </c>
      <c r="E47" s="12">
        <v>40606007</v>
      </c>
      <c r="F47" s="12" t="s">
        <v>20</v>
      </c>
      <c r="G47" s="12">
        <v>33903035</v>
      </c>
      <c r="H47" s="28">
        <v>16</v>
      </c>
      <c r="I47" s="21" t="s">
        <v>37</v>
      </c>
      <c r="J47" s="7">
        <v>3.7</v>
      </c>
      <c r="K47" s="7" t="s">
        <v>36</v>
      </c>
      <c r="L47" s="7">
        <v>3.82</v>
      </c>
      <c r="M47" s="7" t="s">
        <v>46</v>
      </c>
      <c r="N47" s="7">
        <v>3.3</v>
      </c>
      <c r="O47" s="13"/>
      <c r="P47" s="13"/>
      <c r="Q47" s="13"/>
      <c r="R47" s="13"/>
      <c r="S47" s="18">
        <f t="shared" si="7"/>
        <v>3.3</v>
      </c>
      <c r="T47" s="14">
        <f t="shared" si="8"/>
        <v>3.6</v>
      </c>
      <c r="U47" s="14">
        <f t="shared" si="9"/>
        <v>3.7</v>
      </c>
      <c r="V47" s="15">
        <f t="shared" si="10"/>
        <v>7.5491969895238958E-2</v>
      </c>
      <c r="W47" s="9">
        <f t="shared" si="11"/>
        <v>3.6</v>
      </c>
      <c r="X47" s="9">
        <f t="shared" si="5"/>
        <v>57.6</v>
      </c>
      <c r="Y47" s="122">
        <v>17261.689999999999</v>
      </c>
    </row>
    <row r="48" spans="1:25" ht="31.5" x14ac:dyDescent="0.25">
      <c r="A48" s="90"/>
      <c r="B48" s="10">
        <v>43</v>
      </c>
      <c r="C48" s="11" t="s">
        <v>87</v>
      </c>
      <c r="D48" s="12" t="s">
        <v>24</v>
      </c>
      <c r="E48" s="12">
        <v>40606003</v>
      </c>
      <c r="F48" s="12" t="s">
        <v>20</v>
      </c>
      <c r="G48" s="12">
        <v>33903035</v>
      </c>
      <c r="H48" s="28">
        <v>19</v>
      </c>
      <c r="I48" s="7" t="s">
        <v>36</v>
      </c>
      <c r="J48" s="7">
        <v>1.86</v>
      </c>
      <c r="K48" s="7" t="s">
        <v>46</v>
      </c>
      <c r="L48" s="7">
        <v>1.57</v>
      </c>
      <c r="M48" s="7" t="s">
        <v>88</v>
      </c>
      <c r="N48" s="7">
        <v>1.4</v>
      </c>
      <c r="O48" s="13"/>
      <c r="P48" s="13"/>
      <c r="Q48" s="13"/>
      <c r="R48" s="13"/>
      <c r="S48" s="18">
        <f t="shared" si="7"/>
        <v>1.4</v>
      </c>
      <c r="T48" s="14">
        <f t="shared" si="8"/>
        <v>1.61</v>
      </c>
      <c r="U48" s="14">
        <f t="shared" si="9"/>
        <v>1.57</v>
      </c>
      <c r="V48" s="15">
        <f t="shared" si="10"/>
        <v>0.14446836459146598</v>
      </c>
      <c r="W48" s="9">
        <f t="shared" si="11"/>
        <v>1.61</v>
      </c>
      <c r="X48" s="9">
        <f t="shared" si="5"/>
        <v>30.590000000000003</v>
      </c>
      <c r="Y48" s="123"/>
    </row>
    <row r="49" spans="1:25" ht="31.5" x14ac:dyDescent="0.25">
      <c r="A49" s="90"/>
      <c r="B49" s="10">
        <v>44</v>
      </c>
      <c r="C49" s="11" t="s">
        <v>83</v>
      </c>
      <c r="D49" s="12" t="s">
        <v>25</v>
      </c>
      <c r="E49" s="12">
        <v>122483177</v>
      </c>
      <c r="F49" s="12" t="s">
        <v>20</v>
      </c>
      <c r="G49" s="12">
        <v>33903035</v>
      </c>
      <c r="H49" s="28">
        <v>7</v>
      </c>
      <c r="I49" s="21" t="s">
        <v>66</v>
      </c>
      <c r="J49" s="7">
        <v>790.97</v>
      </c>
      <c r="K49" s="7" t="s">
        <v>52</v>
      </c>
      <c r="L49" s="7">
        <v>614.4</v>
      </c>
      <c r="M49" s="7" t="s">
        <v>36</v>
      </c>
      <c r="N49" s="42">
        <v>624.67999999999995</v>
      </c>
      <c r="O49" s="13"/>
      <c r="P49" s="13"/>
      <c r="Q49" s="13"/>
      <c r="R49" s="13"/>
      <c r="S49" s="18">
        <f t="shared" si="7"/>
        <v>614.4</v>
      </c>
      <c r="T49" s="14">
        <f t="shared" si="8"/>
        <v>676.68</v>
      </c>
      <c r="U49" s="14">
        <f t="shared" si="9"/>
        <v>624.67999999999995</v>
      </c>
      <c r="V49" s="15">
        <f t="shared" si="10"/>
        <v>0.14646220427477971</v>
      </c>
      <c r="W49" s="9">
        <f t="shared" si="11"/>
        <v>676.68</v>
      </c>
      <c r="X49" s="9">
        <f t="shared" si="5"/>
        <v>4736.7599999999993</v>
      </c>
      <c r="Y49" s="123"/>
    </row>
    <row r="50" spans="1:25" ht="31.5" x14ac:dyDescent="0.25">
      <c r="A50" s="90"/>
      <c r="B50" s="10">
        <v>45</v>
      </c>
      <c r="C50" s="11" t="s">
        <v>117</v>
      </c>
      <c r="D50" s="12" t="s">
        <v>24</v>
      </c>
      <c r="E50" s="12">
        <v>55727002</v>
      </c>
      <c r="F50" s="12" t="s">
        <v>20</v>
      </c>
      <c r="G50" s="12">
        <v>33903035</v>
      </c>
      <c r="H50" s="43">
        <v>6</v>
      </c>
      <c r="I50" s="21" t="s">
        <v>37</v>
      </c>
      <c r="J50" s="7">
        <v>196.02</v>
      </c>
      <c r="K50" s="21" t="s">
        <v>52</v>
      </c>
      <c r="L50" s="7">
        <v>192.94</v>
      </c>
      <c r="M50" s="7" t="s">
        <v>103</v>
      </c>
      <c r="N50" s="7">
        <v>115.5</v>
      </c>
      <c r="O50" s="13"/>
      <c r="P50" s="13"/>
      <c r="Q50" s="13"/>
      <c r="R50" s="13"/>
      <c r="S50" s="18">
        <f t="shared" si="7"/>
        <v>115.5</v>
      </c>
      <c r="T50" s="14">
        <f t="shared" si="8"/>
        <v>168.15</v>
      </c>
      <c r="U50" s="14">
        <f t="shared" si="9"/>
        <v>192.94</v>
      </c>
      <c r="V50" s="15">
        <f t="shared" si="10"/>
        <v>0.27133046268285332</v>
      </c>
      <c r="W50" s="9">
        <f t="shared" si="11"/>
        <v>192.94</v>
      </c>
      <c r="X50" s="9">
        <f t="shared" si="5"/>
        <v>1157.6399999999999</v>
      </c>
      <c r="Y50" s="123"/>
    </row>
    <row r="51" spans="1:25" ht="31.5" x14ac:dyDescent="0.25">
      <c r="A51" s="90"/>
      <c r="B51" s="10">
        <v>46</v>
      </c>
      <c r="C51" s="33" t="s">
        <v>41</v>
      </c>
      <c r="D51" s="32" t="s">
        <v>24</v>
      </c>
      <c r="E51" s="12">
        <v>55603004</v>
      </c>
      <c r="F51" s="12" t="s">
        <v>20</v>
      </c>
      <c r="G51" s="12">
        <v>33903035</v>
      </c>
      <c r="H51" s="28">
        <v>80</v>
      </c>
      <c r="I51" s="7" t="s">
        <v>22</v>
      </c>
      <c r="J51" s="7">
        <v>18.170000000000002</v>
      </c>
      <c r="K51" s="7" t="s">
        <v>42</v>
      </c>
      <c r="L51" s="7">
        <v>19.05</v>
      </c>
      <c r="M51" s="7" t="s">
        <v>37</v>
      </c>
      <c r="N51" s="7">
        <v>20.55</v>
      </c>
      <c r="O51" s="13"/>
      <c r="P51" s="13"/>
      <c r="Q51" s="13"/>
      <c r="R51" s="13"/>
      <c r="S51" s="18">
        <f t="shared" si="7"/>
        <v>18.170000000000002</v>
      </c>
      <c r="T51" s="14">
        <f t="shared" si="8"/>
        <v>19.25</v>
      </c>
      <c r="U51" s="14">
        <f t="shared" si="9"/>
        <v>19.05</v>
      </c>
      <c r="V51" s="15">
        <f t="shared" si="10"/>
        <v>6.2491818441333315E-2</v>
      </c>
      <c r="W51" s="9">
        <f t="shared" si="11"/>
        <v>19.25</v>
      </c>
      <c r="X51" s="9">
        <f t="shared" si="5"/>
        <v>1540</v>
      </c>
      <c r="Y51" s="123"/>
    </row>
    <row r="52" spans="1:25" ht="31.5" x14ac:dyDescent="0.25">
      <c r="A52" s="90"/>
      <c r="B52" s="10">
        <v>47</v>
      </c>
      <c r="C52" s="33" t="s">
        <v>43</v>
      </c>
      <c r="D52" s="32" t="s">
        <v>24</v>
      </c>
      <c r="E52" s="12">
        <v>55603004</v>
      </c>
      <c r="F52" s="12" t="s">
        <v>20</v>
      </c>
      <c r="G52" s="12">
        <v>33903035</v>
      </c>
      <c r="H52" s="28">
        <v>250</v>
      </c>
      <c r="I52" s="7" t="s">
        <v>37</v>
      </c>
      <c r="J52" s="7">
        <v>26.76</v>
      </c>
      <c r="K52" s="7" t="s">
        <v>22</v>
      </c>
      <c r="L52" s="7">
        <v>28.55</v>
      </c>
      <c r="M52" s="7" t="s">
        <v>42</v>
      </c>
      <c r="N52" s="7">
        <v>21.52</v>
      </c>
      <c r="O52" s="13"/>
      <c r="P52" s="13"/>
      <c r="Q52" s="13"/>
      <c r="R52" s="13"/>
      <c r="S52" s="18">
        <f t="shared" si="7"/>
        <v>21.52</v>
      </c>
      <c r="T52" s="14">
        <f t="shared" si="8"/>
        <v>25.61</v>
      </c>
      <c r="U52" s="14">
        <f t="shared" si="9"/>
        <v>26.76</v>
      </c>
      <c r="V52" s="15">
        <f t="shared" si="10"/>
        <v>0.14265397535474511</v>
      </c>
      <c r="W52" s="9">
        <f t="shared" si="11"/>
        <v>25.61</v>
      </c>
      <c r="X52" s="9">
        <f t="shared" si="5"/>
        <v>6402.5</v>
      </c>
      <c r="Y52" s="123"/>
    </row>
    <row r="53" spans="1:25" ht="25.5" x14ac:dyDescent="0.25">
      <c r="A53" s="90"/>
      <c r="B53" s="10">
        <v>48</v>
      </c>
      <c r="C53" s="11" t="s">
        <v>110</v>
      </c>
      <c r="D53" s="12" t="s">
        <v>24</v>
      </c>
      <c r="E53" s="12">
        <v>55387104</v>
      </c>
      <c r="F53" s="12" t="s">
        <v>20</v>
      </c>
      <c r="G53" s="12">
        <v>33903035</v>
      </c>
      <c r="H53" s="43">
        <v>4</v>
      </c>
      <c r="I53" s="21" t="s">
        <v>49</v>
      </c>
      <c r="J53" s="7">
        <v>144.9</v>
      </c>
      <c r="K53" s="7" t="s">
        <v>52</v>
      </c>
      <c r="L53" s="7">
        <v>127.5</v>
      </c>
      <c r="M53" s="7" t="s">
        <v>103</v>
      </c>
      <c r="N53" s="7">
        <v>95</v>
      </c>
      <c r="O53" s="13"/>
      <c r="P53" s="13"/>
      <c r="Q53" s="13"/>
      <c r="R53" s="13"/>
      <c r="S53" s="18">
        <f t="shared" si="7"/>
        <v>95</v>
      </c>
      <c r="T53" s="14">
        <f t="shared" si="8"/>
        <v>122.46</v>
      </c>
      <c r="U53" s="14">
        <f t="shared" si="9"/>
        <v>127.5</v>
      </c>
      <c r="V53" s="15">
        <f t="shared" si="10"/>
        <v>0.20681477480232832</v>
      </c>
      <c r="W53" s="9">
        <f t="shared" si="11"/>
        <v>122.46</v>
      </c>
      <c r="X53" s="9">
        <f t="shared" si="5"/>
        <v>489.84</v>
      </c>
      <c r="Y53" s="123"/>
    </row>
    <row r="54" spans="1:25" ht="25.5" x14ac:dyDescent="0.25">
      <c r="A54" s="90"/>
      <c r="B54" s="10">
        <v>49</v>
      </c>
      <c r="C54" s="11" t="s">
        <v>111</v>
      </c>
      <c r="D54" s="12" t="s">
        <v>24</v>
      </c>
      <c r="E54" s="12">
        <v>55387104</v>
      </c>
      <c r="F54" s="12" t="s">
        <v>20</v>
      </c>
      <c r="G54" s="12">
        <v>33903035</v>
      </c>
      <c r="H54" s="43">
        <v>4</v>
      </c>
      <c r="I54" s="21" t="s">
        <v>21</v>
      </c>
      <c r="J54" s="7">
        <v>111.93</v>
      </c>
      <c r="K54" s="21" t="s">
        <v>21</v>
      </c>
      <c r="L54" s="7">
        <v>114.5</v>
      </c>
      <c r="M54" s="21" t="s">
        <v>21</v>
      </c>
      <c r="N54" s="7">
        <v>112.66</v>
      </c>
      <c r="O54" s="13"/>
      <c r="P54" s="13"/>
      <c r="Q54" s="13"/>
      <c r="R54" s="13"/>
      <c r="S54" s="18">
        <f t="shared" si="7"/>
        <v>111.93</v>
      </c>
      <c r="T54" s="14">
        <f t="shared" si="8"/>
        <v>113.03</v>
      </c>
      <c r="U54" s="14">
        <f t="shared" si="9"/>
        <v>112.66</v>
      </c>
      <c r="V54" s="15">
        <f t="shared" si="10"/>
        <v>1.1716791087570315E-2</v>
      </c>
      <c r="W54" s="9">
        <f t="shared" si="11"/>
        <v>113.03</v>
      </c>
      <c r="X54" s="9">
        <f t="shared" si="5"/>
        <v>452.12</v>
      </c>
      <c r="Y54" s="123"/>
    </row>
    <row r="55" spans="1:25" ht="25.5" x14ac:dyDescent="0.25">
      <c r="A55" s="90"/>
      <c r="B55" s="10">
        <v>50</v>
      </c>
      <c r="C55" s="11" t="s">
        <v>112</v>
      </c>
      <c r="D55" s="12" t="s">
        <v>24</v>
      </c>
      <c r="E55" s="12">
        <v>55387104</v>
      </c>
      <c r="F55" s="12" t="s">
        <v>20</v>
      </c>
      <c r="G55" s="12">
        <v>33903035</v>
      </c>
      <c r="H55" s="43">
        <v>4</v>
      </c>
      <c r="I55" s="21" t="s">
        <v>52</v>
      </c>
      <c r="J55" s="7">
        <v>141.33000000000001</v>
      </c>
      <c r="K55" s="7" t="s">
        <v>113</v>
      </c>
      <c r="L55" s="7">
        <v>95</v>
      </c>
      <c r="M55" s="21" t="s">
        <v>21</v>
      </c>
      <c r="N55" s="7">
        <v>103.7</v>
      </c>
      <c r="O55" s="13"/>
      <c r="P55" s="13"/>
      <c r="Q55" s="13"/>
      <c r="R55" s="13"/>
      <c r="S55" s="18">
        <f t="shared" si="7"/>
        <v>95</v>
      </c>
      <c r="T55" s="14">
        <f t="shared" si="8"/>
        <v>113.34</v>
      </c>
      <c r="U55" s="14">
        <f t="shared" si="9"/>
        <v>103.7</v>
      </c>
      <c r="V55" s="15">
        <f t="shared" si="10"/>
        <v>0.21725522719813073</v>
      </c>
      <c r="W55" s="9">
        <f t="shared" si="11"/>
        <v>113.34</v>
      </c>
      <c r="X55" s="9">
        <f t="shared" si="5"/>
        <v>453.36</v>
      </c>
      <c r="Y55" s="123"/>
    </row>
    <row r="56" spans="1:25" ht="25.5" x14ac:dyDescent="0.25">
      <c r="A56" s="90"/>
      <c r="B56" s="10">
        <v>51</v>
      </c>
      <c r="C56" s="11" t="s">
        <v>114</v>
      </c>
      <c r="D56" s="12" t="s">
        <v>24</v>
      </c>
      <c r="E56" s="12">
        <v>55387114</v>
      </c>
      <c r="F56" s="12" t="s">
        <v>20</v>
      </c>
      <c r="G56" s="12">
        <v>33903035</v>
      </c>
      <c r="H56" s="43">
        <v>4</v>
      </c>
      <c r="I56" s="21" t="s">
        <v>21</v>
      </c>
      <c r="J56" s="7">
        <v>160</v>
      </c>
      <c r="K56" s="21" t="s">
        <v>21</v>
      </c>
      <c r="L56" s="7">
        <v>238.38</v>
      </c>
      <c r="M56" s="21" t="s">
        <v>21</v>
      </c>
      <c r="N56" s="7">
        <v>154.4</v>
      </c>
      <c r="O56" s="13"/>
      <c r="P56" s="13"/>
      <c r="Q56" s="13"/>
      <c r="R56" s="13"/>
      <c r="S56" s="18">
        <f t="shared" si="7"/>
        <v>154.4</v>
      </c>
      <c r="T56" s="14">
        <f t="shared" si="8"/>
        <v>184.26</v>
      </c>
      <c r="U56" s="14">
        <f t="shared" si="9"/>
        <v>160</v>
      </c>
      <c r="V56" s="15">
        <f t="shared" si="10"/>
        <v>0.25481850216028973</v>
      </c>
      <c r="W56" s="9">
        <f t="shared" si="11"/>
        <v>160</v>
      </c>
      <c r="X56" s="9">
        <f t="shared" si="5"/>
        <v>640</v>
      </c>
      <c r="Y56" s="123"/>
    </row>
    <row r="57" spans="1:25" ht="25.5" x14ac:dyDescent="0.25">
      <c r="A57" s="90"/>
      <c r="B57" s="10">
        <v>52</v>
      </c>
      <c r="C57" s="11" t="s">
        <v>115</v>
      </c>
      <c r="D57" s="12" t="s">
        <v>24</v>
      </c>
      <c r="E57" s="12">
        <v>55387104</v>
      </c>
      <c r="F57" s="12" t="s">
        <v>20</v>
      </c>
      <c r="G57" s="12">
        <v>33903035</v>
      </c>
      <c r="H57" s="43">
        <v>4</v>
      </c>
      <c r="I57" s="21" t="s">
        <v>21</v>
      </c>
      <c r="J57" s="7">
        <v>143.43</v>
      </c>
      <c r="K57" s="21" t="s">
        <v>21</v>
      </c>
      <c r="L57" s="7">
        <v>145.83000000000001</v>
      </c>
      <c r="M57" s="21" t="s">
        <v>21</v>
      </c>
      <c r="N57" s="7">
        <v>80</v>
      </c>
      <c r="O57" s="13"/>
      <c r="P57" s="13"/>
      <c r="Q57" s="13"/>
      <c r="R57" s="13"/>
      <c r="S57" s="18">
        <f t="shared" si="7"/>
        <v>80</v>
      </c>
      <c r="T57" s="14">
        <f t="shared" si="8"/>
        <v>123.08</v>
      </c>
      <c r="U57" s="14">
        <f t="shared" si="9"/>
        <v>143.43</v>
      </c>
      <c r="V57" s="15">
        <f t="shared" si="10"/>
        <v>0.3033101760942305</v>
      </c>
      <c r="W57" s="9">
        <f t="shared" si="11"/>
        <v>143.43</v>
      </c>
      <c r="X57" s="9">
        <f t="shared" si="5"/>
        <v>573.72</v>
      </c>
      <c r="Y57" s="123"/>
    </row>
    <row r="58" spans="1:25" ht="47.25" x14ac:dyDescent="0.25">
      <c r="A58" s="90"/>
      <c r="B58" s="10">
        <v>53</v>
      </c>
      <c r="C58" s="33" t="s">
        <v>31</v>
      </c>
      <c r="D58" s="32" t="s">
        <v>25</v>
      </c>
      <c r="E58" s="12">
        <v>122483012</v>
      </c>
      <c r="F58" s="12" t="s">
        <v>20</v>
      </c>
      <c r="G58" s="12">
        <v>33903035</v>
      </c>
      <c r="H58" s="28">
        <v>14</v>
      </c>
      <c r="I58" s="7" t="s">
        <v>32</v>
      </c>
      <c r="J58" s="7">
        <v>41.97</v>
      </c>
      <c r="K58" s="7" t="s">
        <v>30</v>
      </c>
      <c r="L58" s="7">
        <v>29.93</v>
      </c>
      <c r="M58" s="7" t="s">
        <v>22</v>
      </c>
      <c r="N58" s="7">
        <v>37.78</v>
      </c>
      <c r="O58" s="13"/>
      <c r="P58" s="13"/>
      <c r="Q58" s="13"/>
      <c r="R58" s="13"/>
      <c r="S58" s="18">
        <f t="shared" si="7"/>
        <v>29.93</v>
      </c>
      <c r="T58" s="14">
        <f t="shared" si="8"/>
        <v>36.56</v>
      </c>
      <c r="U58" s="14">
        <f t="shared" si="9"/>
        <v>37.78</v>
      </c>
      <c r="V58" s="15">
        <f t="shared" si="10"/>
        <v>0.16717759195204454</v>
      </c>
      <c r="W58" s="9">
        <f t="shared" si="11"/>
        <v>36.56</v>
      </c>
      <c r="X58" s="9">
        <f t="shared" si="5"/>
        <v>511.84000000000003</v>
      </c>
      <c r="Y58" s="123"/>
    </row>
    <row r="59" spans="1:25" ht="31.5" x14ac:dyDescent="0.25">
      <c r="A59" s="90"/>
      <c r="B59" s="51">
        <v>54</v>
      </c>
      <c r="C59" s="33" t="s">
        <v>33</v>
      </c>
      <c r="D59" s="32" t="s">
        <v>25</v>
      </c>
      <c r="E59" s="12">
        <v>122483012</v>
      </c>
      <c r="F59" s="12" t="s">
        <v>20</v>
      </c>
      <c r="G59" s="12">
        <v>33903035</v>
      </c>
      <c r="H59" s="28">
        <v>2</v>
      </c>
      <c r="I59" s="7" t="s">
        <v>22</v>
      </c>
      <c r="J59" s="7">
        <v>110</v>
      </c>
      <c r="K59" s="7" t="s">
        <v>22</v>
      </c>
      <c r="L59" s="7">
        <v>105.79</v>
      </c>
      <c r="M59" s="7" t="s">
        <v>22</v>
      </c>
      <c r="N59" s="7">
        <v>107.79</v>
      </c>
      <c r="O59" s="13"/>
      <c r="P59" s="13"/>
      <c r="Q59" s="13"/>
      <c r="R59" s="13"/>
      <c r="S59" s="18">
        <f t="shared" si="7"/>
        <v>105.79</v>
      </c>
      <c r="T59" s="14">
        <f t="shared" si="8"/>
        <v>107.86</v>
      </c>
      <c r="U59" s="14">
        <f t="shared" si="9"/>
        <v>107.79</v>
      </c>
      <c r="V59" s="15">
        <f t="shared" si="10"/>
        <v>1.9524130731452413E-2</v>
      </c>
      <c r="W59" s="9">
        <f t="shared" si="11"/>
        <v>107.86</v>
      </c>
      <c r="X59" s="9">
        <f t="shared" si="5"/>
        <v>215.72</v>
      </c>
      <c r="Y59" s="124"/>
    </row>
    <row r="60" spans="1:25" ht="15.75" customHeight="1" x14ac:dyDescent="0.25">
      <c r="A60" s="86"/>
      <c r="B60" s="86"/>
      <c r="C60" s="86"/>
      <c r="D60" s="86"/>
      <c r="E60" s="86"/>
      <c r="F60" s="86"/>
      <c r="G60" s="86"/>
      <c r="H60" s="86"/>
      <c r="I60" s="86"/>
      <c r="J60" s="86"/>
      <c r="K60" s="86"/>
      <c r="L60" s="86"/>
      <c r="M60" s="86"/>
      <c r="N60" s="86"/>
      <c r="O60" s="86"/>
      <c r="P60" s="86"/>
      <c r="Q60" s="86"/>
      <c r="R60" s="86"/>
      <c r="S60" s="86"/>
      <c r="T60" s="86"/>
      <c r="U60" s="86"/>
      <c r="V60" s="87"/>
      <c r="W60" s="74"/>
      <c r="X60" s="74"/>
      <c r="Y60" s="74"/>
    </row>
    <row r="61" spans="1:25" ht="31.5" customHeight="1" x14ac:dyDescent="0.25">
      <c r="A61" s="88">
        <v>4</v>
      </c>
      <c r="B61" s="10">
        <v>55</v>
      </c>
      <c r="C61" s="33" t="s">
        <v>119</v>
      </c>
      <c r="D61" s="32" t="s">
        <v>25</v>
      </c>
      <c r="E61" s="12">
        <v>122483093</v>
      </c>
      <c r="F61" s="12" t="s">
        <v>20</v>
      </c>
      <c r="G61" s="12">
        <v>33903035</v>
      </c>
      <c r="H61" s="28">
        <v>44</v>
      </c>
      <c r="I61" s="7" t="s">
        <v>22</v>
      </c>
      <c r="J61" s="7">
        <v>5</v>
      </c>
      <c r="K61" s="7" t="s">
        <v>22</v>
      </c>
      <c r="L61" s="7">
        <v>5.29</v>
      </c>
      <c r="M61" s="7" t="s">
        <v>22</v>
      </c>
      <c r="N61" s="7">
        <v>6.06</v>
      </c>
      <c r="O61" s="13"/>
      <c r="P61" s="13"/>
      <c r="Q61" s="13"/>
      <c r="R61" s="13"/>
      <c r="S61" s="18">
        <f>MIN(J61:R61)</f>
        <v>5</v>
      </c>
      <c r="T61" s="14">
        <f>ROUNDDOWN(AVERAGE(J61:R61),2)</f>
        <v>5.45</v>
      </c>
      <c r="U61" s="14">
        <f>ROUNDDOWN(MEDIAN(J61:R61),2)</f>
        <v>5.29</v>
      </c>
      <c r="V61" s="15">
        <f>STDEV(J61:R61)/AVERAGE(J61:R61)</f>
        <v>0.10051630036552171</v>
      </c>
      <c r="W61" s="9">
        <f>IF(V61&lt;=25%,T61,U61)</f>
        <v>5.45</v>
      </c>
      <c r="X61" s="9">
        <f t="shared" si="5"/>
        <v>239.8</v>
      </c>
      <c r="Y61" s="81">
        <v>1756.15</v>
      </c>
    </row>
    <row r="62" spans="1:25" ht="78.75" x14ac:dyDescent="0.25">
      <c r="A62" s="90"/>
      <c r="B62" s="10">
        <v>56</v>
      </c>
      <c r="C62" s="11" t="s">
        <v>120</v>
      </c>
      <c r="D62" s="12" t="s">
        <v>24</v>
      </c>
      <c r="E62" s="12">
        <v>33294002</v>
      </c>
      <c r="F62" s="12" t="s">
        <v>121</v>
      </c>
      <c r="G62" s="12">
        <v>33903035</v>
      </c>
      <c r="H62" s="43">
        <v>10</v>
      </c>
      <c r="I62" s="21" t="s">
        <v>122</v>
      </c>
      <c r="J62" s="7">
        <v>8.6300000000000008</v>
      </c>
      <c r="K62" s="7" t="s">
        <v>123</v>
      </c>
      <c r="L62" s="7">
        <v>7.75</v>
      </c>
      <c r="M62" s="7" t="s">
        <v>97</v>
      </c>
      <c r="N62" s="7">
        <v>8.89</v>
      </c>
      <c r="O62" s="13"/>
      <c r="P62" s="13"/>
      <c r="Q62" s="13"/>
      <c r="R62" s="13"/>
      <c r="S62" s="18">
        <f>MIN(J62:R62)</f>
        <v>7.75</v>
      </c>
      <c r="T62" s="14">
        <f>ROUNDDOWN(AVERAGE(J62:R62),2)</f>
        <v>8.42</v>
      </c>
      <c r="U62" s="14">
        <f>ROUNDDOWN(MEDIAN(J62:R62),2)</f>
        <v>8.6300000000000008</v>
      </c>
      <c r="V62" s="15">
        <f>STDEV(J62:R62)/AVERAGE(J62:R62)</f>
        <v>7.0926669420608005E-2</v>
      </c>
      <c r="W62" s="9">
        <f>IF(V62&lt;=25%,T62,U62)</f>
        <v>8.42</v>
      </c>
      <c r="X62" s="9">
        <f t="shared" si="5"/>
        <v>84.2</v>
      </c>
      <c r="Y62" s="85"/>
    </row>
    <row r="63" spans="1:25" ht="31.5" x14ac:dyDescent="0.25">
      <c r="A63" s="90"/>
      <c r="B63" s="10">
        <v>57</v>
      </c>
      <c r="C63" s="33" t="s">
        <v>124</v>
      </c>
      <c r="D63" s="32" t="s">
        <v>25</v>
      </c>
      <c r="E63" s="12">
        <v>122483284</v>
      </c>
      <c r="F63" s="12" t="s">
        <v>20</v>
      </c>
      <c r="G63" s="12">
        <v>33903035</v>
      </c>
      <c r="H63" s="28">
        <v>5</v>
      </c>
      <c r="I63" s="7" t="s">
        <v>22</v>
      </c>
      <c r="J63" s="7">
        <v>87.33</v>
      </c>
      <c r="K63" s="7" t="s">
        <v>125</v>
      </c>
      <c r="L63" s="7">
        <v>79</v>
      </c>
      <c r="M63" s="7" t="s">
        <v>126</v>
      </c>
      <c r="N63" s="7">
        <v>85</v>
      </c>
      <c r="O63" s="13"/>
      <c r="P63" s="13"/>
      <c r="Q63" s="13"/>
      <c r="R63" s="13"/>
      <c r="S63" s="18">
        <f t="shared" ref="S63" si="12">MIN(J63:R63)</f>
        <v>79</v>
      </c>
      <c r="T63" s="14">
        <f t="shared" ref="T63" si="13">ROUNDDOWN(AVERAGE(J63:R63),2)</f>
        <v>83.77</v>
      </c>
      <c r="U63" s="14">
        <f t="shared" ref="U63" si="14">ROUNDDOWN(MEDIAN(J63:R63),2)</f>
        <v>85</v>
      </c>
      <c r="V63" s="15">
        <f t="shared" ref="V63" si="15">STDEV(J63:R63)/AVERAGE(J63:R63)</f>
        <v>5.1298664669248449E-2</v>
      </c>
      <c r="W63" s="9">
        <f t="shared" ref="W63" si="16">IF(V63&lt;=25%,T63,U63)</f>
        <v>83.77</v>
      </c>
      <c r="X63" s="9">
        <f t="shared" si="5"/>
        <v>418.84999999999997</v>
      </c>
      <c r="Y63" s="85"/>
    </row>
    <row r="64" spans="1:25" ht="15.75" x14ac:dyDescent="0.25">
      <c r="A64" s="89"/>
      <c r="B64" s="10">
        <v>58</v>
      </c>
      <c r="C64" s="33" t="s">
        <v>127</v>
      </c>
      <c r="D64" s="32" t="s">
        <v>25</v>
      </c>
      <c r="E64" s="12">
        <v>28703059</v>
      </c>
      <c r="F64" s="12" t="s">
        <v>20</v>
      </c>
      <c r="G64" s="12">
        <v>33903035</v>
      </c>
      <c r="H64" s="28">
        <v>5</v>
      </c>
      <c r="I64" s="7" t="s">
        <v>128</v>
      </c>
      <c r="J64" s="7">
        <v>200</v>
      </c>
      <c r="K64" s="7" t="s">
        <v>129</v>
      </c>
      <c r="L64" s="7">
        <v>180</v>
      </c>
      <c r="M64" s="7" t="s">
        <v>130</v>
      </c>
      <c r="N64" s="7">
        <v>228</v>
      </c>
      <c r="O64" s="13"/>
      <c r="P64" s="13"/>
      <c r="Q64" s="13"/>
      <c r="R64" s="13"/>
      <c r="S64" s="18">
        <f t="shared" ref="S64:S139" si="17">MIN(J64:R64)</f>
        <v>180</v>
      </c>
      <c r="T64" s="14">
        <f t="shared" ref="T64:T139" si="18">ROUNDDOWN(AVERAGE(J64:R64),2)</f>
        <v>202.66</v>
      </c>
      <c r="U64" s="14">
        <f t="shared" ref="U64:U139" si="19">ROUNDDOWN(MEDIAN(J64:R64),2)</f>
        <v>200</v>
      </c>
      <c r="V64" s="15">
        <f t="shared" ref="V64:V139" si="20">STDEV(J64:R64)/AVERAGE(J64:R64)</f>
        <v>0.1189680350001653</v>
      </c>
      <c r="W64" s="9">
        <f t="shared" ref="W64:W139" si="21">IF(V64&lt;=25%,T64,U64)</f>
        <v>202.66</v>
      </c>
      <c r="X64" s="9">
        <f t="shared" si="5"/>
        <v>1013.3</v>
      </c>
      <c r="Y64" s="82"/>
    </row>
    <row r="65" spans="1:25" ht="15.75" customHeight="1" x14ac:dyDescent="0.25">
      <c r="A65" s="83"/>
      <c r="B65" s="83"/>
      <c r="C65" s="83"/>
      <c r="D65" s="83"/>
      <c r="E65" s="83"/>
      <c r="F65" s="83"/>
      <c r="G65" s="83"/>
      <c r="H65" s="83"/>
      <c r="I65" s="83"/>
      <c r="J65" s="83"/>
      <c r="K65" s="83"/>
      <c r="L65" s="83"/>
      <c r="M65" s="83"/>
      <c r="N65" s="83"/>
      <c r="O65" s="83"/>
      <c r="P65" s="83"/>
      <c r="Q65" s="83"/>
      <c r="R65" s="83"/>
      <c r="S65" s="83"/>
      <c r="T65" s="83"/>
      <c r="U65" s="83"/>
      <c r="V65" s="84"/>
      <c r="W65" s="74"/>
      <c r="X65" s="74"/>
      <c r="Y65" s="74"/>
    </row>
    <row r="66" spans="1:25" ht="47.25" x14ac:dyDescent="0.25">
      <c r="A66" s="88">
        <v>5</v>
      </c>
      <c r="B66" s="10">
        <v>59</v>
      </c>
      <c r="C66" s="11" t="s">
        <v>131</v>
      </c>
      <c r="D66" s="12" t="s">
        <v>24</v>
      </c>
      <c r="E66" s="12">
        <v>40452141</v>
      </c>
      <c r="F66" s="12" t="s">
        <v>20</v>
      </c>
      <c r="G66" s="12">
        <v>33903035</v>
      </c>
      <c r="H66" s="27">
        <v>22</v>
      </c>
      <c r="I66" s="21" t="s">
        <v>80</v>
      </c>
      <c r="J66" s="7">
        <v>3.69</v>
      </c>
      <c r="K66" s="7" t="s">
        <v>21</v>
      </c>
      <c r="L66" s="7">
        <v>3.74</v>
      </c>
      <c r="M66" s="7" t="s">
        <v>21</v>
      </c>
      <c r="N66" s="7">
        <v>2.9</v>
      </c>
      <c r="O66" s="13"/>
      <c r="P66" s="13"/>
      <c r="Q66" s="13"/>
      <c r="R66" s="13"/>
      <c r="S66" s="18">
        <f t="shared" si="17"/>
        <v>2.9</v>
      </c>
      <c r="T66" s="14">
        <f t="shared" si="18"/>
        <v>3.44</v>
      </c>
      <c r="U66" s="14">
        <f t="shared" si="19"/>
        <v>3.69</v>
      </c>
      <c r="V66" s="15">
        <f t="shared" si="20"/>
        <v>0.13684534306230495</v>
      </c>
      <c r="W66" s="9">
        <f t="shared" si="21"/>
        <v>3.44</v>
      </c>
      <c r="X66" s="9">
        <f t="shared" si="5"/>
        <v>75.679999999999993</v>
      </c>
      <c r="Y66" s="81">
        <v>2882.65</v>
      </c>
    </row>
    <row r="67" spans="1:25" ht="31.5" x14ac:dyDescent="0.25">
      <c r="A67" s="90"/>
      <c r="B67" s="10">
        <v>60</v>
      </c>
      <c r="C67" s="11" t="s">
        <v>132</v>
      </c>
      <c r="D67" s="12" t="s">
        <v>24</v>
      </c>
      <c r="E67" s="12">
        <v>40452142</v>
      </c>
      <c r="F67" s="12" t="s">
        <v>20</v>
      </c>
      <c r="G67" s="12">
        <v>33903035</v>
      </c>
      <c r="H67" s="27">
        <v>13</v>
      </c>
      <c r="I67" s="21" t="s">
        <v>80</v>
      </c>
      <c r="J67" s="7">
        <v>3.49</v>
      </c>
      <c r="K67" s="7" t="s">
        <v>21</v>
      </c>
      <c r="L67" s="7">
        <v>3.71</v>
      </c>
      <c r="M67" s="7" t="s">
        <v>21</v>
      </c>
      <c r="N67" s="7">
        <v>2.9</v>
      </c>
      <c r="O67" s="13"/>
      <c r="P67" s="13"/>
      <c r="Q67" s="13"/>
      <c r="R67" s="13"/>
      <c r="S67" s="18">
        <f t="shared" si="17"/>
        <v>2.9</v>
      </c>
      <c r="T67" s="14">
        <f t="shared" si="18"/>
        <v>3.36</v>
      </c>
      <c r="U67" s="14">
        <f t="shared" si="19"/>
        <v>3.49</v>
      </c>
      <c r="V67" s="15">
        <f t="shared" si="20"/>
        <v>0.12441018577305583</v>
      </c>
      <c r="W67" s="9">
        <f t="shared" si="21"/>
        <v>3.36</v>
      </c>
      <c r="X67" s="9">
        <f t="shared" si="5"/>
        <v>43.68</v>
      </c>
      <c r="Y67" s="85"/>
    </row>
    <row r="68" spans="1:25" ht="15.75" x14ac:dyDescent="0.25">
      <c r="A68" s="90"/>
      <c r="B68" s="10">
        <v>61</v>
      </c>
      <c r="C68" s="33" t="s">
        <v>133</v>
      </c>
      <c r="D68" s="32" t="s">
        <v>24</v>
      </c>
      <c r="E68" s="12">
        <v>40452145</v>
      </c>
      <c r="F68" s="12" t="s">
        <v>20</v>
      </c>
      <c r="G68" s="12">
        <v>33903035</v>
      </c>
      <c r="H68" s="28">
        <v>100</v>
      </c>
      <c r="I68" s="7" t="s">
        <v>36</v>
      </c>
      <c r="J68" s="7">
        <v>19.899999999999999</v>
      </c>
      <c r="K68" s="7" t="s">
        <v>37</v>
      </c>
      <c r="L68" s="7">
        <v>14.38</v>
      </c>
      <c r="M68" s="7" t="s">
        <v>44</v>
      </c>
      <c r="N68" s="7">
        <v>12.12</v>
      </c>
      <c r="O68" s="13"/>
      <c r="P68" s="13"/>
      <c r="Q68" s="13"/>
      <c r="R68" s="13"/>
      <c r="S68" s="18">
        <f t="shared" si="17"/>
        <v>12.12</v>
      </c>
      <c r="T68" s="14">
        <f t="shared" si="18"/>
        <v>15.46</v>
      </c>
      <c r="U68" s="14">
        <f t="shared" si="19"/>
        <v>14.38</v>
      </c>
      <c r="V68" s="15">
        <f t="shared" si="20"/>
        <v>0.25876396893138459</v>
      </c>
      <c r="W68" s="9">
        <f t="shared" si="21"/>
        <v>14.38</v>
      </c>
      <c r="X68" s="9">
        <f t="shared" si="5"/>
        <v>1438</v>
      </c>
      <c r="Y68" s="85"/>
    </row>
    <row r="69" spans="1:25" ht="15.75" x14ac:dyDescent="0.25">
      <c r="A69" s="90"/>
      <c r="B69" s="10">
        <v>62</v>
      </c>
      <c r="C69" s="33" t="s">
        <v>134</v>
      </c>
      <c r="D69" s="32" t="s">
        <v>24</v>
      </c>
      <c r="E69" s="12">
        <v>40452144</v>
      </c>
      <c r="F69" s="12" t="s">
        <v>20</v>
      </c>
      <c r="G69" s="12">
        <v>33903035</v>
      </c>
      <c r="H69" s="28">
        <v>20</v>
      </c>
      <c r="I69" s="7" t="s">
        <v>36</v>
      </c>
      <c r="J69" s="7">
        <v>15</v>
      </c>
      <c r="K69" s="7" t="s">
        <v>37</v>
      </c>
      <c r="L69" s="7">
        <v>13.12</v>
      </c>
      <c r="M69" s="7" t="s">
        <v>44</v>
      </c>
      <c r="N69" s="7">
        <v>12.1</v>
      </c>
      <c r="O69" s="13"/>
      <c r="P69" s="13"/>
      <c r="Q69" s="13"/>
      <c r="R69" s="13"/>
      <c r="S69" s="18">
        <f t="shared" si="17"/>
        <v>12.1</v>
      </c>
      <c r="T69" s="14">
        <f t="shared" si="18"/>
        <v>13.4</v>
      </c>
      <c r="U69" s="14">
        <f t="shared" si="19"/>
        <v>13.12</v>
      </c>
      <c r="V69" s="15">
        <f t="shared" si="20"/>
        <v>0.10972894297527339</v>
      </c>
      <c r="W69" s="9">
        <f t="shared" si="21"/>
        <v>13.4</v>
      </c>
      <c r="X69" s="9">
        <f t="shared" si="5"/>
        <v>268</v>
      </c>
      <c r="Y69" s="85"/>
    </row>
    <row r="70" spans="1:25" ht="15.75" x14ac:dyDescent="0.25">
      <c r="A70" s="90"/>
      <c r="B70" s="10">
        <v>63</v>
      </c>
      <c r="C70" s="33" t="s">
        <v>135</v>
      </c>
      <c r="D70" s="32" t="s">
        <v>24</v>
      </c>
      <c r="E70" s="12">
        <v>40452144</v>
      </c>
      <c r="F70" s="12" t="s">
        <v>20</v>
      </c>
      <c r="G70" s="12">
        <v>33903035</v>
      </c>
      <c r="H70" s="28">
        <v>20</v>
      </c>
      <c r="I70" s="7" t="s">
        <v>36</v>
      </c>
      <c r="J70" s="7">
        <v>15</v>
      </c>
      <c r="K70" s="7" t="s">
        <v>37</v>
      </c>
      <c r="L70" s="7">
        <v>13.12</v>
      </c>
      <c r="M70" s="7" t="s">
        <v>44</v>
      </c>
      <c r="N70" s="7">
        <v>15.71</v>
      </c>
      <c r="O70" s="13"/>
      <c r="P70" s="13"/>
      <c r="Q70" s="13"/>
      <c r="R70" s="13"/>
      <c r="S70" s="18">
        <f t="shared" si="17"/>
        <v>13.12</v>
      </c>
      <c r="T70" s="14">
        <f t="shared" si="18"/>
        <v>14.61</v>
      </c>
      <c r="U70" s="14">
        <f t="shared" si="19"/>
        <v>15</v>
      </c>
      <c r="V70" s="15">
        <f t="shared" si="20"/>
        <v>9.1603000834373727E-2</v>
      </c>
      <c r="W70" s="9">
        <f t="shared" si="21"/>
        <v>14.61</v>
      </c>
      <c r="X70" s="9">
        <f t="shared" si="5"/>
        <v>292.2</v>
      </c>
      <c r="Y70" s="85"/>
    </row>
    <row r="71" spans="1:25" ht="15.75" x14ac:dyDescent="0.25">
      <c r="A71" s="90"/>
      <c r="B71" s="10">
        <v>64</v>
      </c>
      <c r="C71" s="33" t="s">
        <v>136</v>
      </c>
      <c r="D71" s="32" t="s">
        <v>24</v>
      </c>
      <c r="E71" s="12">
        <v>40452145</v>
      </c>
      <c r="F71" s="12" t="s">
        <v>20</v>
      </c>
      <c r="G71" s="12">
        <v>33903035</v>
      </c>
      <c r="H71" s="28">
        <v>26</v>
      </c>
      <c r="I71" s="7" t="s">
        <v>36</v>
      </c>
      <c r="J71" s="7">
        <v>22.9</v>
      </c>
      <c r="K71" s="7" t="s">
        <v>37</v>
      </c>
      <c r="L71" s="7">
        <v>17.5</v>
      </c>
      <c r="M71" s="7" t="s">
        <v>44</v>
      </c>
      <c r="N71" s="7">
        <v>17.28</v>
      </c>
      <c r="O71" s="13"/>
      <c r="P71" s="13"/>
      <c r="Q71" s="13"/>
      <c r="R71" s="13"/>
      <c r="S71" s="18">
        <f t="shared" si="17"/>
        <v>17.28</v>
      </c>
      <c r="T71" s="14">
        <f t="shared" si="18"/>
        <v>19.22</v>
      </c>
      <c r="U71" s="14">
        <f t="shared" si="19"/>
        <v>17.5</v>
      </c>
      <c r="V71" s="15">
        <f t="shared" si="20"/>
        <v>0.16555658182269542</v>
      </c>
      <c r="W71" s="9">
        <f t="shared" si="21"/>
        <v>19.22</v>
      </c>
      <c r="X71" s="9">
        <f t="shared" si="5"/>
        <v>499.71999999999997</v>
      </c>
      <c r="Y71" s="85"/>
    </row>
    <row r="72" spans="1:25" ht="31.5" x14ac:dyDescent="0.25">
      <c r="A72" s="89"/>
      <c r="B72" s="10">
        <v>65</v>
      </c>
      <c r="C72" s="33" t="s">
        <v>137</v>
      </c>
      <c r="D72" s="12" t="s">
        <v>24</v>
      </c>
      <c r="E72" s="12">
        <v>40452150</v>
      </c>
      <c r="F72" s="12" t="s">
        <v>20</v>
      </c>
      <c r="G72" s="12">
        <v>33903035</v>
      </c>
      <c r="H72" s="28">
        <v>17</v>
      </c>
      <c r="I72" s="7" t="s">
        <v>37</v>
      </c>
      <c r="J72" s="7">
        <v>15.61</v>
      </c>
      <c r="K72" s="7" t="s">
        <v>47</v>
      </c>
      <c r="L72" s="7">
        <v>9.41</v>
      </c>
      <c r="M72" s="7" t="s">
        <v>22</v>
      </c>
      <c r="N72" s="7">
        <v>16.940000000000001</v>
      </c>
      <c r="O72" s="13"/>
      <c r="P72" s="13"/>
      <c r="Q72" s="13"/>
      <c r="R72" s="13"/>
      <c r="S72" s="18">
        <f t="shared" si="17"/>
        <v>9.41</v>
      </c>
      <c r="T72" s="14">
        <f t="shared" si="18"/>
        <v>13.98</v>
      </c>
      <c r="U72" s="14">
        <f t="shared" si="19"/>
        <v>15.61</v>
      </c>
      <c r="V72" s="15">
        <f t="shared" si="20"/>
        <v>0.28733861801643973</v>
      </c>
      <c r="W72" s="9">
        <f t="shared" si="21"/>
        <v>15.61</v>
      </c>
      <c r="X72" s="9">
        <f t="shared" ref="X72:X147" si="22">IF(V72&lt;=25%,T72,U72)*H72</f>
        <v>265.37</v>
      </c>
      <c r="Y72" s="82"/>
    </row>
    <row r="73" spans="1:25" ht="15.75" customHeight="1" x14ac:dyDescent="0.25">
      <c r="A73" s="83"/>
      <c r="B73" s="83"/>
      <c r="C73" s="83"/>
      <c r="D73" s="83"/>
      <c r="E73" s="83"/>
      <c r="F73" s="83"/>
      <c r="G73" s="83"/>
      <c r="H73" s="83"/>
      <c r="I73" s="83"/>
      <c r="J73" s="83"/>
      <c r="K73" s="83"/>
      <c r="L73" s="83"/>
      <c r="M73" s="83"/>
      <c r="N73" s="83"/>
      <c r="O73" s="83"/>
      <c r="P73" s="83"/>
      <c r="Q73" s="83"/>
      <c r="R73" s="83"/>
      <c r="S73" s="83"/>
      <c r="T73" s="83"/>
      <c r="U73" s="83"/>
      <c r="V73" s="84"/>
      <c r="W73" s="74"/>
      <c r="X73" s="74"/>
      <c r="Y73" s="74"/>
    </row>
    <row r="74" spans="1:25" ht="31.5" x14ac:dyDescent="0.25">
      <c r="A74" s="76">
        <v>6</v>
      </c>
      <c r="B74" s="10">
        <v>66</v>
      </c>
      <c r="C74" s="33" t="s">
        <v>138</v>
      </c>
      <c r="D74" s="32" t="s">
        <v>25</v>
      </c>
      <c r="E74" s="12">
        <v>75558002</v>
      </c>
      <c r="F74" s="12" t="s">
        <v>20</v>
      </c>
      <c r="G74" s="12">
        <v>33903035</v>
      </c>
      <c r="H74" s="28">
        <v>3</v>
      </c>
      <c r="I74" s="7" t="s">
        <v>139</v>
      </c>
      <c r="J74" s="7">
        <f>271.49+66.52</f>
        <v>338.01</v>
      </c>
      <c r="K74" s="7" t="s">
        <v>140</v>
      </c>
      <c r="L74" s="7">
        <v>395.49</v>
      </c>
      <c r="M74" s="7" t="s">
        <v>141</v>
      </c>
      <c r="N74" s="7">
        <v>393.84</v>
      </c>
      <c r="O74" s="13"/>
      <c r="P74" s="13"/>
      <c r="Q74" s="13"/>
      <c r="R74" s="13"/>
      <c r="S74" s="18">
        <f t="shared" si="17"/>
        <v>338.01</v>
      </c>
      <c r="T74" s="14">
        <f t="shared" si="18"/>
        <v>375.78</v>
      </c>
      <c r="U74" s="14">
        <f t="shared" si="19"/>
        <v>393.84</v>
      </c>
      <c r="V74" s="15">
        <f t="shared" si="20"/>
        <v>8.7072707023951409E-2</v>
      </c>
      <c r="W74" s="9">
        <f t="shared" si="21"/>
        <v>375.78</v>
      </c>
      <c r="X74" s="9">
        <f t="shared" si="22"/>
        <v>1127.3399999999999</v>
      </c>
      <c r="Y74" s="9">
        <v>1127.3399999999999</v>
      </c>
    </row>
    <row r="75" spans="1:25" ht="18.75" x14ac:dyDescent="0.25">
      <c r="A75" s="83"/>
      <c r="B75" s="83"/>
      <c r="C75" s="83"/>
      <c r="D75" s="83"/>
      <c r="E75" s="83"/>
      <c r="F75" s="83"/>
      <c r="G75" s="83"/>
      <c r="H75" s="83"/>
      <c r="I75" s="83"/>
      <c r="J75" s="83"/>
      <c r="K75" s="83"/>
      <c r="L75" s="83"/>
      <c r="M75" s="83"/>
      <c r="N75" s="83"/>
      <c r="O75" s="83"/>
      <c r="P75" s="83"/>
      <c r="Q75" s="83"/>
      <c r="R75" s="83"/>
      <c r="S75" s="83"/>
      <c r="T75" s="83"/>
      <c r="U75" s="83"/>
      <c r="V75" s="84"/>
      <c r="W75" s="74"/>
      <c r="X75" s="74"/>
      <c r="Y75" s="74"/>
    </row>
    <row r="76" spans="1:25" ht="15.75" x14ac:dyDescent="0.25">
      <c r="A76" s="88">
        <v>7</v>
      </c>
      <c r="B76" s="10">
        <v>67</v>
      </c>
      <c r="C76" s="33" t="s">
        <v>142</v>
      </c>
      <c r="D76" s="32" t="s">
        <v>24</v>
      </c>
      <c r="E76" s="12">
        <v>55204031</v>
      </c>
      <c r="F76" s="12" t="s">
        <v>20</v>
      </c>
      <c r="G76" s="12">
        <v>33903035</v>
      </c>
      <c r="H76" s="28">
        <v>15</v>
      </c>
      <c r="I76" s="7" t="s">
        <v>39</v>
      </c>
      <c r="J76" s="7">
        <v>150</v>
      </c>
      <c r="K76" s="7" t="s">
        <v>37</v>
      </c>
      <c r="L76" s="7">
        <v>115.62</v>
      </c>
      <c r="M76" s="7" t="s">
        <v>46</v>
      </c>
      <c r="N76" s="7">
        <v>126.4</v>
      </c>
      <c r="O76" s="13"/>
      <c r="P76" s="13"/>
      <c r="Q76" s="13"/>
      <c r="R76" s="13"/>
      <c r="S76" s="18">
        <f t="shared" si="17"/>
        <v>115.62</v>
      </c>
      <c r="T76" s="14">
        <f t="shared" si="18"/>
        <v>130.66999999999999</v>
      </c>
      <c r="U76" s="14">
        <f t="shared" si="19"/>
        <v>126.4</v>
      </c>
      <c r="V76" s="15">
        <f t="shared" si="20"/>
        <v>0.13456349184001429</v>
      </c>
      <c r="W76" s="9">
        <f t="shared" si="21"/>
        <v>130.66999999999999</v>
      </c>
      <c r="X76" s="9">
        <f t="shared" si="22"/>
        <v>1960.0499999999997</v>
      </c>
      <c r="Y76" s="81">
        <v>4007.76</v>
      </c>
    </row>
    <row r="77" spans="1:25" ht="15.75" x14ac:dyDescent="0.25">
      <c r="A77" s="90"/>
      <c r="B77" s="10">
        <v>68</v>
      </c>
      <c r="C77" s="33" t="s">
        <v>143</v>
      </c>
      <c r="D77" s="32" t="s">
        <v>24</v>
      </c>
      <c r="E77" s="12">
        <v>55204031</v>
      </c>
      <c r="F77" s="12" t="s">
        <v>20</v>
      </c>
      <c r="G77" s="12">
        <v>33903035</v>
      </c>
      <c r="H77" s="28">
        <v>15</v>
      </c>
      <c r="I77" s="7" t="s">
        <v>39</v>
      </c>
      <c r="J77" s="7">
        <v>148.47999999999999</v>
      </c>
      <c r="K77" s="7" t="s">
        <v>37</v>
      </c>
      <c r="L77" s="7">
        <v>100.6</v>
      </c>
      <c r="M77" s="7" t="s">
        <v>46</v>
      </c>
      <c r="N77" s="7">
        <v>104</v>
      </c>
      <c r="O77" s="13"/>
      <c r="P77" s="13"/>
      <c r="Q77" s="13"/>
      <c r="R77" s="13"/>
      <c r="S77" s="18">
        <f t="shared" si="17"/>
        <v>100.6</v>
      </c>
      <c r="T77" s="14">
        <f t="shared" si="18"/>
        <v>117.69</v>
      </c>
      <c r="U77" s="14">
        <f t="shared" si="19"/>
        <v>104</v>
      </c>
      <c r="V77" s="15">
        <f t="shared" si="20"/>
        <v>0.22699822168862496</v>
      </c>
      <c r="W77" s="9">
        <f t="shared" si="21"/>
        <v>117.69</v>
      </c>
      <c r="X77" s="9">
        <f t="shared" si="22"/>
        <v>1765.35</v>
      </c>
      <c r="Y77" s="85"/>
    </row>
    <row r="78" spans="1:25" ht="47.25" x14ac:dyDescent="0.25">
      <c r="A78" s="89"/>
      <c r="B78" s="10">
        <v>69</v>
      </c>
      <c r="C78" s="11" t="s">
        <v>144</v>
      </c>
      <c r="D78" s="12" t="s">
        <v>24</v>
      </c>
      <c r="E78" s="12">
        <v>55204032</v>
      </c>
      <c r="F78" s="12" t="s">
        <v>20</v>
      </c>
      <c r="G78" s="12">
        <v>33903035</v>
      </c>
      <c r="H78" s="28">
        <v>3</v>
      </c>
      <c r="I78" s="21" t="s">
        <v>52</v>
      </c>
      <c r="J78" s="7">
        <v>98.02</v>
      </c>
      <c r="K78" s="7" t="s">
        <v>36</v>
      </c>
      <c r="L78" s="7">
        <v>97.63</v>
      </c>
      <c r="M78" s="7" t="s">
        <v>50</v>
      </c>
      <c r="N78" s="7">
        <v>86.72</v>
      </c>
      <c r="O78" s="13"/>
      <c r="P78" s="13"/>
      <c r="Q78" s="13"/>
      <c r="R78" s="13"/>
      <c r="S78" s="18">
        <f t="shared" si="17"/>
        <v>86.72</v>
      </c>
      <c r="T78" s="14">
        <f t="shared" si="18"/>
        <v>94.12</v>
      </c>
      <c r="U78" s="14">
        <f t="shared" si="19"/>
        <v>97.63</v>
      </c>
      <c r="V78" s="15">
        <f t="shared" si="20"/>
        <v>6.8149301699590464E-2</v>
      </c>
      <c r="W78" s="9">
        <f t="shared" si="21"/>
        <v>94.12</v>
      </c>
      <c r="X78" s="9">
        <f t="shared" si="22"/>
        <v>282.36</v>
      </c>
      <c r="Y78" s="82"/>
    </row>
    <row r="79" spans="1:25" ht="15.75" customHeight="1" x14ac:dyDescent="0.25">
      <c r="A79" s="83"/>
      <c r="B79" s="83"/>
      <c r="C79" s="83"/>
      <c r="D79" s="83"/>
      <c r="E79" s="83"/>
      <c r="F79" s="83"/>
      <c r="G79" s="83"/>
      <c r="H79" s="83"/>
      <c r="I79" s="83"/>
      <c r="J79" s="83"/>
      <c r="K79" s="83"/>
      <c r="L79" s="83"/>
      <c r="M79" s="83"/>
      <c r="N79" s="83"/>
      <c r="O79" s="83"/>
      <c r="P79" s="83"/>
      <c r="Q79" s="83"/>
      <c r="R79" s="83"/>
      <c r="S79" s="83"/>
      <c r="T79" s="83"/>
      <c r="U79" s="83"/>
      <c r="V79" s="84"/>
      <c r="W79" s="74"/>
      <c r="X79" s="74"/>
      <c r="Y79" s="74"/>
    </row>
    <row r="80" spans="1:25" ht="63" x14ac:dyDescent="0.25">
      <c r="A80" s="88">
        <v>8</v>
      </c>
      <c r="B80" s="10">
        <v>70</v>
      </c>
      <c r="C80" s="11" t="s">
        <v>145</v>
      </c>
      <c r="D80" s="12" t="s">
        <v>24</v>
      </c>
      <c r="E80" s="12">
        <v>40517055</v>
      </c>
      <c r="F80" s="12" t="s">
        <v>20</v>
      </c>
      <c r="G80" s="12">
        <v>33903035</v>
      </c>
      <c r="H80" s="27">
        <v>40</v>
      </c>
      <c r="I80" s="21" t="s">
        <v>52</v>
      </c>
      <c r="J80" s="7">
        <v>16.7</v>
      </c>
      <c r="K80" s="7" t="s">
        <v>46</v>
      </c>
      <c r="L80" s="7">
        <v>14.38</v>
      </c>
      <c r="M80" s="7" t="s">
        <v>141</v>
      </c>
      <c r="N80" s="7">
        <v>11</v>
      </c>
      <c r="O80" s="13"/>
      <c r="P80" s="13"/>
      <c r="Q80" s="13"/>
      <c r="R80" s="13"/>
      <c r="S80" s="18">
        <f t="shared" si="17"/>
        <v>11</v>
      </c>
      <c r="T80" s="14">
        <f t="shared" si="18"/>
        <v>14.02</v>
      </c>
      <c r="U80" s="14">
        <f t="shared" si="19"/>
        <v>14.38</v>
      </c>
      <c r="V80" s="15">
        <f t="shared" si="20"/>
        <v>0.20435217423557261</v>
      </c>
      <c r="W80" s="9">
        <f t="shared" si="21"/>
        <v>14.02</v>
      </c>
      <c r="X80" s="9">
        <f t="shared" si="22"/>
        <v>560.79999999999995</v>
      </c>
      <c r="Y80" s="81">
        <v>1018.36</v>
      </c>
    </row>
    <row r="81" spans="1:25" ht="63" x14ac:dyDescent="0.25">
      <c r="A81" s="90"/>
      <c r="B81" s="10">
        <v>71</v>
      </c>
      <c r="C81" s="11" t="s">
        <v>146</v>
      </c>
      <c r="D81" s="12" t="s">
        <v>24</v>
      </c>
      <c r="E81" s="12">
        <v>40517055</v>
      </c>
      <c r="F81" s="12" t="s">
        <v>20</v>
      </c>
      <c r="G81" s="12">
        <v>33903035</v>
      </c>
      <c r="H81" s="27">
        <v>12</v>
      </c>
      <c r="I81" s="21" t="s">
        <v>52</v>
      </c>
      <c r="J81" s="7">
        <v>12.86</v>
      </c>
      <c r="K81" s="7" t="s">
        <v>46</v>
      </c>
      <c r="L81" s="7">
        <v>8.8000000000000007</v>
      </c>
      <c r="M81" s="7" t="s">
        <v>141</v>
      </c>
      <c r="N81" s="7">
        <v>12.15</v>
      </c>
      <c r="O81" s="13"/>
      <c r="P81" s="13"/>
      <c r="Q81" s="13"/>
      <c r="R81" s="13"/>
      <c r="S81" s="18">
        <f t="shared" si="17"/>
        <v>8.8000000000000007</v>
      </c>
      <c r="T81" s="14">
        <f t="shared" si="18"/>
        <v>11.27</v>
      </c>
      <c r="U81" s="14">
        <f t="shared" si="19"/>
        <v>12.15</v>
      </c>
      <c r="V81" s="15">
        <f t="shared" si="20"/>
        <v>0.19239932379627625</v>
      </c>
      <c r="W81" s="9">
        <f t="shared" si="21"/>
        <v>11.27</v>
      </c>
      <c r="X81" s="9">
        <f t="shared" si="22"/>
        <v>135.24</v>
      </c>
      <c r="Y81" s="85"/>
    </row>
    <row r="82" spans="1:25" ht="63" x14ac:dyDescent="0.25">
      <c r="A82" s="89"/>
      <c r="B82" s="10">
        <v>72</v>
      </c>
      <c r="C82" s="11" t="s">
        <v>147</v>
      </c>
      <c r="D82" s="12" t="s">
        <v>24</v>
      </c>
      <c r="E82" s="12">
        <v>40517055</v>
      </c>
      <c r="F82" s="12" t="s">
        <v>20</v>
      </c>
      <c r="G82" s="12">
        <v>33903035</v>
      </c>
      <c r="H82" s="27">
        <v>24</v>
      </c>
      <c r="I82" s="21" t="s">
        <v>52</v>
      </c>
      <c r="J82" s="7">
        <v>15.42</v>
      </c>
      <c r="K82" s="7" t="s">
        <v>46</v>
      </c>
      <c r="L82" s="7">
        <v>12.02</v>
      </c>
      <c r="M82" s="7" t="s">
        <v>141</v>
      </c>
      <c r="N82" s="7">
        <v>12.87</v>
      </c>
      <c r="O82" s="13"/>
      <c r="P82" s="13"/>
      <c r="Q82" s="13"/>
      <c r="R82" s="13"/>
      <c r="S82" s="18">
        <f t="shared" si="17"/>
        <v>12.02</v>
      </c>
      <c r="T82" s="14">
        <f t="shared" si="18"/>
        <v>13.43</v>
      </c>
      <c r="U82" s="14">
        <f t="shared" si="19"/>
        <v>12.87</v>
      </c>
      <c r="V82" s="15">
        <f t="shared" si="20"/>
        <v>0.13168564372708216</v>
      </c>
      <c r="W82" s="9">
        <f t="shared" si="21"/>
        <v>13.43</v>
      </c>
      <c r="X82" s="9">
        <f t="shared" si="22"/>
        <v>322.32</v>
      </c>
      <c r="Y82" s="82"/>
    </row>
    <row r="83" spans="1:25" ht="15.75" customHeight="1" x14ac:dyDescent="0.25">
      <c r="A83" s="83"/>
      <c r="B83" s="83"/>
      <c r="C83" s="83"/>
      <c r="D83" s="83"/>
      <c r="E83" s="83"/>
      <c r="F83" s="83"/>
      <c r="G83" s="83"/>
      <c r="H83" s="83"/>
      <c r="I83" s="83"/>
      <c r="J83" s="83"/>
      <c r="K83" s="83"/>
      <c r="L83" s="83"/>
      <c r="M83" s="83"/>
      <c r="N83" s="83"/>
      <c r="O83" s="83"/>
      <c r="P83" s="83"/>
      <c r="Q83" s="83"/>
      <c r="R83" s="83"/>
      <c r="S83" s="83"/>
      <c r="T83" s="83"/>
      <c r="U83" s="83"/>
      <c r="V83" s="84"/>
      <c r="W83" s="74"/>
      <c r="X83" s="74"/>
      <c r="Y83" s="74"/>
    </row>
    <row r="84" spans="1:25" ht="31.5" x14ac:dyDescent="0.25">
      <c r="A84" s="88">
        <v>9</v>
      </c>
      <c r="B84" s="10">
        <v>73</v>
      </c>
      <c r="C84" s="11" t="s">
        <v>148</v>
      </c>
      <c r="D84" s="12" t="s">
        <v>25</v>
      </c>
      <c r="E84" s="12">
        <v>122483211</v>
      </c>
      <c r="F84" s="12" t="s">
        <v>20</v>
      </c>
      <c r="G84" s="12">
        <v>33903035</v>
      </c>
      <c r="H84" s="43">
        <v>16</v>
      </c>
      <c r="I84" s="21" t="s">
        <v>52</v>
      </c>
      <c r="J84" s="7">
        <v>7.36</v>
      </c>
      <c r="K84" s="7" t="s">
        <v>36</v>
      </c>
      <c r="L84" s="7">
        <v>4.0999999999999996</v>
      </c>
      <c r="M84" s="7" t="s">
        <v>26</v>
      </c>
      <c r="N84" s="7">
        <v>9.5399999999999991</v>
      </c>
      <c r="O84" s="13"/>
      <c r="P84" s="13"/>
      <c r="Q84" s="13"/>
      <c r="R84" s="13"/>
      <c r="S84" s="18">
        <f t="shared" si="17"/>
        <v>4.0999999999999996</v>
      </c>
      <c r="T84" s="14">
        <f t="shared" si="18"/>
        <v>7</v>
      </c>
      <c r="U84" s="14">
        <f t="shared" si="19"/>
        <v>7.36</v>
      </c>
      <c r="V84" s="15">
        <f t="shared" si="20"/>
        <v>0.39111562046462484</v>
      </c>
      <c r="W84" s="9">
        <f t="shared" si="21"/>
        <v>7.36</v>
      </c>
      <c r="X84" s="9">
        <f t="shared" si="22"/>
        <v>117.76</v>
      </c>
      <c r="Y84" s="81">
        <v>628.29999999999995</v>
      </c>
    </row>
    <row r="85" spans="1:25" ht="31.5" x14ac:dyDescent="0.25">
      <c r="A85" s="90"/>
      <c r="B85" s="10">
        <v>74</v>
      </c>
      <c r="C85" s="11" t="s">
        <v>149</v>
      </c>
      <c r="D85" s="12" t="s">
        <v>25</v>
      </c>
      <c r="E85" s="12">
        <v>122483211</v>
      </c>
      <c r="F85" s="12" t="s">
        <v>20</v>
      </c>
      <c r="G85" s="12">
        <v>33903035</v>
      </c>
      <c r="H85" s="43">
        <v>16</v>
      </c>
      <c r="I85" s="21" t="s">
        <v>52</v>
      </c>
      <c r="J85" s="7">
        <v>7.15</v>
      </c>
      <c r="K85" s="7" t="s">
        <v>36</v>
      </c>
      <c r="L85" s="7">
        <v>4.0999999999999996</v>
      </c>
      <c r="M85" s="7" t="s">
        <v>26</v>
      </c>
      <c r="N85" s="7">
        <v>9.2100000000000009</v>
      </c>
      <c r="O85" s="13"/>
      <c r="P85" s="13"/>
      <c r="Q85" s="13"/>
      <c r="R85" s="13"/>
      <c r="S85" s="18">
        <f t="shared" si="17"/>
        <v>4.0999999999999996</v>
      </c>
      <c r="T85" s="14">
        <f t="shared" si="18"/>
        <v>6.82</v>
      </c>
      <c r="U85" s="14">
        <f t="shared" si="19"/>
        <v>7.15</v>
      </c>
      <c r="V85" s="15">
        <f t="shared" si="20"/>
        <v>0.37696974817248774</v>
      </c>
      <c r="W85" s="9">
        <f t="shared" si="21"/>
        <v>7.15</v>
      </c>
      <c r="X85" s="9">
        <f t="shared" si="22"/>
        <v>114.4</v>
      </c>
      <c r="Y85" s="85"/>
    </row>
    <row r="86" spans="1:25" ht="31.5" x14ac:dyDescent="0.25">
      <c r="A86" s="90"/>
      <c r="B86" s="10">
        <v>75</v>
      </c>
      <c r="C86" s="11" t="s">
        <v>150</v>
      </c>
      <c r="D86" s="12" t="s">
        <v>25</v>
      </c>
      <c r="E86" s="12">
        <v>122483211</v>
      </c>
      <c r="F86" s="12" t="s">
        <v>20</v>
      </c>
      <c r="G86" s="12">
        <v>33903035</v>
      </c>
      <c r="H86" s="43">
        <v>15</v>
      </c>
      <c r="I86" s="21" t="s">
        <v>52</v>
      </c>
      <c r="J86" s="7">
        <v>10.46</v>
      </c>
      <c r="K86" s="7" t="s">
        <v>36</v>
      </c>
      <c r="L86" s="7">
        <v>4.76</v>
      </c>
      <c r="M86" s="7" t="s">
        <v>26</v>
      </c>
      <c r="N86" s="7">
        <v>12.09</v>
      </c>
      <c r="O86" s="13"/>
      <c r="P86" s="13"/>
      <c r="Q86" s="13"/>
      <c r="R86" s="13"/>
      <c r="S86" s="18">
        <f t="shared" si="17"/>
        <v>4.76</v>
      </c>
      <c r="T86" s="14">
        <f t="shared" si="18"/>
        <v>9.1</v>
      </c>
      <c r="U86" s="14">
        <f t="shared" si="19"/>
        <v>10.46</v>
      </c>
      <c r="V86" s="15">
        <f t="shared" si="20"/>
        <v>0.42278122314986238</v>
      </c>
      <c r="W86" s="9">
        <f t="shared" si="21"/>
        <v>10.46</v>
      </c>
      <c r="X86" s="9">
        <f t="shared" si="22"/>
        <v>156.9</v>
      </c>
      <c r="Y86" s="85"/>
    </row>
    <row r="87" spans="1:25" ht="31.5" x14ac:dyDescent="0.25">
      <c r="A87" s="90"/>
      <c r="B87" s="10">
        <v>76</v>
      </c>
      <c r="C87" s="11" t="s">
        <v>151</v>
      </c>
      <c r="D87" s="12" t="s">
        <v>25</v>
      </c>
      <c r="E87" s="12">
        <v>122483211</v>
      </c>
      <c r="F87" s="12" t="s">
        <v>20</v>
      </c>
      <c r="G87" s="12">
        <v>33903035</v>
      </c>
      <c r="H87" s="43">
        <v>10</v>
      </c>
      <c r="I87" s="21" t="s">
        <v>52</v>
      </c>
      <c r="J87" s="7">
        <v>16.87</v>
      </c>
      <c r="K87" s="7" t="s">
        <v>36</v>
      </c>
      <c r="L87" s="7">
        <v>9.8699999999999992</v>
      </c>
      <c r="M87" s="7" t="s">
        <v>100</v>
      </c>
      <c r="N87" s="7">
        <v>16</v>
      </c>
      <c r="O87" s="13"/>
      <c r="P87" s="13"/>
      <c r="Q87" s="13"/>
      <c r="R87" s="13"/>
      <c r="S87" s="18">
        <f t="shared" si="17"/>
        <v>9.8699999999999992</v>
      </c>
      <c r="T87" s="14">
        <f t="shared" si="18"/>
        <v>14.24</v>
      </c>
      <c r="U87" s="14">
        <f t="shared" si="19"/>
        <v>16</v>
      </c>
      <c r="V87" s="15">
        <f t="shared" si="20"/>
        <v>0.26779489288396652</v>
      </c>
      <c r="W87" s="9">
        <f t="shared" si="21"/>
        <v>16</v>
      </c>
      <c r="X87" s="9">
        <f t="shared" si="22"/>
        <v>160</v>
      </c>
      <c r="Y87" s="85"/>
    </row>
    <row r="88" spans="1:25" ht="47.25" x14ac:dyDescent="0.25">
      <c r="A88" s="90"/>
      <c r="B88" s="51">
        <v>77</v>
      </c>
      <c r="C88" s="33" t="s">
        <v>152</v>
      </c>
      <c r="D88" s="19" t="s">
        <v>153</v>
      </c>
      <c r="E88" s="12">
        <v>55590038</v>
      </c>
      <c r="F88" s="12" t="s">
        <v>20</v>
      </c>
      <c r="G88" s="12">
        <v>33903022</v>
      </c>
      <c r="H88" s="28">
        <v>14</v>
      </c>
      <c r="I88" s="7" t="s">
        <v>52</v>
      </c>
      <c r="J88" s="7">
        <v>5.66</v>
      </c>
      <c r="K88" s="7" t="s">
        <v>37</v>
      </c>
      <c r="L88" s="7">
        <v>7.04</v>
      </c>
      <c r="M88" s="7" t="s">
        <v>36</v>
      </c>
      <c r="N88" s="7">
        <v>4.0999999999999996</v>
      </c>
      <c r="O88" s="13"/>
      <c r="P88" s="13"/>
      <c r="Q88" s="13"/>
      <c r="R88" s="13"/>
      <c r="S88" s="18">
        <f t="shared" si="17"/>
        <v>4.0999999999999996</v>
      </c>
      <c r="T88" s="14">
        <f t="shared" si="18"/>
        <v>5.6</v>
      </c>
      <c r="U88" s="14">
        <f t="shared" si="19"/>
        <v>5.66</v>
      </c>
      <c r="V88" s="15">
        <f t="shared" si="20"/>
        <v>0.26266394297424239</v>
      </c>
      <c r="W88" s="9">
        <f t="shared" si="21"/>
        <v>5.66</v>
      </c>
      <c r="X88" s="9">
        <f t="shared" si="22"/>
        <v>79.240000000000009</v>
      </c>
      <c r="Y88" s="82"/>
    </row>
    <row r="89" spans="1:25" ht="15.75" customHeight="1" x14ac:dyDescent="0.25">
      <c r="A89" s="114"/>
      <c r="B89" s="114"/>
      <c r="C89" s="114"/>
      <c r="D89" s="114"/>
      <c r="E89" s="114"/>
      <c r="F89" s="114"/>
      <c r="G89" s="114"/>
      <c r="H89" s="114"/>
      <c r="I89" s="114"/>
      <c r="J89" s="114"/>
      <c r="K89" s="114"/>
      <c r="L89" s="114"/>
      <c r="M89" s="114"/>
      <c r="N89" s="114"/>
      <c r="O89" s="114"/>
      <c r="P89" s="114"/>
      <c r="Q89" s="114"/>
      <c r="R89" s="114"/>
      <c r="S89" s="114"/>
      <c r="T89" s="114"/>
      <c r="U89" s="114"/>
      <c r="V89" s="115"/>
      <c r="W89" s="74"/>
      <c r="X89" s="74"/>
      <c r="Y89" s="74"/>
    </row>
    <row r="90" spans="1:25" ht="220.5" x14ac:dyDescent="0.25">
      <c r="A90" s="77">
        <v>10</v>
      </c>
      <c r="B90" s="10">
        <v>78</v>
      </c>
      <c r="C90" s="11" t="s">
        <v>158</v>
      </c>
      <c r="D90" s="12" t="s">
        <v>157</v>
      </c>
      <c r="E90" s="12">
        <v>30686007</v>
      </c>
      <c r="F90" s="5" t="s">
        <v>20</v>
      </c>
      <c r="G90" s="5">
        <v>33903036</v>
      </c>
      <c r="H90" s="16" t="s">
        <v>156</v>
      </c>
      <c r="I90" s="7" t="s">
        <v>155</v>
      </c>
      <c r="J90" s="8">
        <v>136.9</v>
      </c>
      <c r="K90" s="7" t="s">
        <v>154</v>
      </c>
      <c r="L90" s="8">
        <v>175</v>
      </c>
      <c r="M90" s="7" t="s">
        <v>154</v>
      </c>
      <c r="N90" s="8">
        <v>138</v>
      </c>
      <c r="O90" s="13"/>
      <c r="P90" s="13"/>
      <c r="Q90" s="13"/>
      <c r="R90" s="13"/>
      <c r="S90" s="18">
        <f t="shared" si="17"/>
        <v>136.9</v>
      </c>
      <c r="T90" s="14">
        <f t="shared" si="18"/>
        <v>149.96</v>
      </c>
      <c r="U90" s="14">
        <f t="shared" si="19"/>
        <v>138</v>
      </c>
      <c r="V90" s="15">
        <f t="shared" si="20"/>
        <v>0.14460865606983075</v>
      </c>
      <c r="W90" s="9">
        <f t="shared" si="21"/>
        <v>149.96</v>
      </c>
      <c r="X90" s="9">
        <f t="shared" si="22"/>
        <v>449.88</v>
      </c>
      <c r="Y90" s="9">
        <v>449.88</v>
      </c>
    </row>
    <row r="91" spans="1:25" ht="15.75" customHeight="1" x14ac:dyDescent="0.25">
      <c r="A91" s="83"/>
      <c r="B91" s="83"/>
      <c r="C91" s="83"/>
      <c r="D91" s="83"/>
      <c r="E91" s="83"/>
      <c r="F91" s="83"/>
      <c r="G91" s="83"/>
      <c r="H91" s="83"/>
      <c r="I91" s="83"/>
      <c r="J91" s="83"/>
      <c r="K91" s="83"/>
      <c r="L91" s="83"/>
      <c r="M91" s="83"/>
      <c r="N91" s="83"/>
      <c r="O91" s="83"/>
      <c r="P91" s="83"/>
      <c r="Q91" s="83"/>
      <c r="R91" s="83"/>
      <c r="S91" s="83"/>
      <c r="T91" s="83"/>
      <c r="U91" s="83"/>
      <c r="V91" s="84"/>
      <c r="W91" s="74"/>
      <c r="X91" s="74"/>
      <c r="Y91" s="74"/>
    </row>
    <row r="92" spans="1:25" ht="31.5" x14ac:dyDescent="0.25">
      <c r="A92" s="88">
        <v>11</v>
      </c>
      <c r="B92" s="10">
        <v>79</v>
      </c>
      <c r="C92" s="11" t="s">
        <v>159</v>
      </c>
      <c r="D92" s="12" t="s">
        <v>25</v>
      </c>
      <c r="E92" s="12">
        <v>118630013</v>
      </c>
      <c r="F92" s="12" t="s">
        <v>20</v>
      </c>
      <c r="G92" s="12">
        <v>33903036</v>
      </c>
      <c r="H92" s="43">
        <v>16</v>
      </c>
      <c r="I92" s="21" t="s">
        <v>21</v>
      </c>
      <c r="J92" s="7">
        <v>8</v>
      </c>
      <c r="K92" s="7" t="s">
        <v>36</v>
      </c>
      <c r="L92" s="7">
        <v>16.45</v>
      </c>
      <c r="M92" s="7" t="s">
        <v>51</v>
      </c>
      <c r="N92" s="7">
        <v>15.8</v>
      </c>
      <c r="O92" s="13"/>
      <c r="P92" s="13"/>
      <c r="Q92" s="13"/>
      <c r="R92" s="13"/>
      <c r="S92" s="18">
        <f t="shared" si="17"/>
        <v>8</v>
      </c>
      <c r="T92" s="14">
        <f t="shared" si="18"/>
        <v>13.41</v>
      </c>
      <c r="U92" s="14">
        <f t="shared" si="19"/>
        <v>15.8</v>
      </c>
      <c r="V92" s="15">
        <f t="shared" si="20"/>
        <v>0.35047571103694275</v>
      </c>
      <c r="W92" s="9">
        <f t="shared" si="21"/>
        <v>15.8</v>
      </c>
      <c r="X92" s="9">
        <f t="shared" si="22"/>
        <v>252.8</v>
      </c>
      <c r="Y92" s="81">
        <v>4986.7700000000004</v>
      </c>
    </row>
    <row r="93" spans="1:25" ht="15.75" x14ac:dyDescent="0.25">
      <c r="A93" s="90"/>
      <c r="B93" s="10">
        <v>80</v>
      </c>
      <c r="C93" s="33" t="s">
        <v>160</v>
      </c>
      <c r="D93" s="12" t="s">
        <v>24</v>
      </c>
      <c r="E93" s="12">
        <v>39330062</v>
      </c>
      <c r="F93" s="12" t="s">
        <v>20</v>
      </c>
      <c r="G93" s="12">
        <v>33903035</v>
      </c>
      <c r="H93" s="28">
        <v>23</v>
      </c>
      <c r="I93" s="7" t="s">
        <v>22</v>
      </c>
      <c r="J93" s="7">
        <v>17.809999999999999</v>
      </c>
      <c r="K93" s="7" t="s">
        <v>36</v>
      </c>
      <c r="L93" s="7">
        <v>20.47</v>
      </c>
      <c r="M93" s="7" t="s">
        <v>161</v>
      </c>
      <c r="N93" s="7">
        <v>25.48</v>
      </c>
      <c r="O93" s="13"/>
      <c r="P93" s="13"/>
      <c r="Q93" s="13"/>
      <c r="R93" s="13"/>
      <c r="S93" s="18">
        <f t="shared" si="17"/>
        <v>17.809999999999999</v>
      </c>
      <c r="T93" s="14">
        <f t="shared" si="18"/>
        <v>21.25</v>
      </c>
      <c r="U93" s="14">
        <f t="shared" si="19"/>
        <v>20.47</v>
      </c>
      <c r="V93" s="15">
        <f t="shared" si="20"/>
        <v>0.18324367525966231</v>
      </c>
      <c r="W93" s="9">
        <f t="shared" si="21"/>
        <v>21.25</v>
      </c>
      <c r="X93" s="9">
        <f t="shared" si="22"/>
        <v>488.75</v>
      </c>
      <c r="Y93" s="85"/>
    </row>
    <row r="94" spans="1:25" ht="47.25" x14ac:dyDescent="0.25">
      <c r="A94" s="90"/>
      <c r="B94" s="10">
        <v>81</v>
      </c>
      <c r="C94" s="33" t="s">
        <v>162</v>
      </c>
      <c r="D94" s="12" t="s">
        <v>25</v>
      </c>
      <c r="E94" s="12">
        <v>118630013</v>
      </c>
      <c r="F94" s="12" t="s">
        <v>20</v>
      </c>
      <c r="G94" s="12">
        <v>33903036</v>
      </c>
      <c r="H94" s="28">
        <v>7</v>
      </c>
      <c r="I94" s="7" t="s">
        <v>52</v>
      </c>
      <c r="J94" s="7">
        <v>51.3</v>
      </c>
      <c r="K94" s="7" t="s">
        <v>36</v>
      </c>
      <c r="L94" s="7">
        <v>48.39</v>
      </c>
      <c r="M94" s="7" t="s">
        <v>40</v>
      </c>
      <c r="N94" s="7">
        <v>47</v>
      </c>
      <c r="O94" s="13"/>
      <c r="P94" s="13"/>
      <c r="Q94" s="13"/>
      <c r="R94" s="13"/>
      <c r="S94" s="18">
        <f t="shared" si="17"/>
        <v>47</v>
      </c>
      <c r="T94" s="14">
        <f t="shared" si="18"/>
        <v>48.89</v>
      </c>
      <c r="U94" s="14">
        <f t="shared" si="19"/>
        <v>48.39</v>
      </c>
      <c r="V94" s="15">
        <f t="shared" si="20"/>
        <v>4.4876646420380632E-2</v>
      </c>
      <c r="W94" s="9">
        <f t="shared" si="21"/>
        <v>48.89</v>
      </c>
      <c r="X94" s="9">
        <f t="shared" si="22"/>
        <v>342.23</v>
      </c>
      <c r="Y94" s="85"/>
    </row>
    <row r="95" spans="1:25" ht="47.25" x14ac:dyDescent="0.25">
      <c r="A95" s="90"/>
      <c r="B95" s="10">
        <v>82</v>
      </c>
      <c r="C95" s="33" t="s">
        <v>163</v>
      </c>
      <c r="D95" s="12" t="s">
        <v>25</v>
      </c>
      <c r="E95" s="12">
        <v>504220747</v>
      </c>
      <c r="F95" s="12" t="s">
        <v>20</v>
      </c>
      <c r="G95" s="12">
        <v>33903035</v>
      </c>
      <c r="H95" s="28">
        <v>4</v>
      </c>
      <c r="I95" s="7" t="s">
        <v>22</v>
      </c>
      <c r="J95" s="7">
        <v>264.58999999999997</v>
      </c>
      <c r="K95" s="7" t="s">
        <v>22</v>
      </c>
      <c r="L95" s="7">
        <v>249</v>
      </c>
      <c r="M95" s="7" t="s">
        <v>22</v>
      </c>
      <c r="N95" s="7">
        <v>278.8</v>
      </c>
      <c r="O95" s="36"/>
      <c r="P95" s="13"/>
      <c r="Q95" s="13"/>
      <c r="R95" s="13"/>
      <c r="S95" s="18">
        <f t="shared" si="17"/>
        <v>249</v>
      </c>
      <c r="T95" s="14">
        <f t="shared" si="18"/>
        <v>264.13</v>
      </c>
      <c r="U95" s="14">
        <f t="shared" si="19"/>
        <v>264.58999999999997</v>
      </c>
      <c r="V95" s="15">
        <f t="shared" si="20"/>
        <v>5.6431774323192289E-2</v>
      </c>
      <c r="W95" s="9">
        <f t="shared" si="21"/>
        <v>264.13</v>
      </c>
      <c r="X95" s="9">
        <f t="shared" si="22"/>
        <v>1056.52</v>
      </c>
      <c r="Y95" s="85"/>
    </row>
    <row r="96" spans="1:25" ht="31.5" x14ac:dyDescent="0.25">
      <c r="A96" s="90"/>
      <c r="B96" s="10">
        <v>83</v>
      </c>
      <c r="C96" s="33" t="s">
        <v>164</v>
      </c>
      <c r="D96" s="12" t="s">
        <v>165</v>
      </c>
      <c r="E96" s="12">
        <v>117463008</v>
      </c>
      <c r="F96" s="12" t="s">
        <v>20</v>
      </c>
      <c r="G96" s="12">
        <v>33903036</v>
      </c>
      <c r="H96" s="28">
        <v>5</v>
      </c>
      <c r="I96" s="7" t="s">
        <v>21</v>
      </c>
      <c r="J96" s="7">
        <v>18.989999999999998</v>
      </c>
      <c r="K96" s="7" t="s">
        <v>37</v>
      </c>
      <c r="L96" s="7">
        <v>17.46</v>
      </c>
      <c r="M96" s="7" t="s">
        <v>46</v>
      </c>
      <c r="N96" s="7">
        <v>15.52</v>
      </c>
      <c r="O96" s="13"/>
      <c r="P96" s="13"/>
      <c r="Q96" s="13"/>
      <c r="R96" s="13"/>
      <c r="S96" s="18">
        <f t="shared" si="17"/>
        <v>15.52</v>
      </c>
      <c r="T96" s="14">
        <f t="shared" si="18"/>
        <v>17.32</v>
      </c>
      <c r="U96" s="14">
        <f t="shared" si="19"/>
        <v>17.46</v>
      </c>
      <c r="V96" s="15">
        <f t="shared" si="20"/>
        <v>0.10038670182542456</v>
      </c>
      <c r="W96" s="9">
        <f t="shared" si="21"/>
        <v>17.32</v>
      </c>
      <c r="X96" s="9">
        <f t="shared" si="22"/>
        <v>86.6</v>
      </c>
      <c r="Y96" s="85"/>
    </row>
    <row r="97" spans="1:25" ht="31.5" x14ac:dyDescent="0.25">
      <c r="A97" s="90"/>
      <c r="B97" s="10">
        <v>84</v>
      </c>
      <c r="C97" s="33" t="s">
        <v>166</v>
      </c>
      <c r="D97" s="12" t="s">
        <v>25</v>
      </c>
      <c r="E97" s="12">
        <v>118630013</v>
      </c>
      <c r="F97" s="12" t="s">
        <v>20</v>
      </c>
      <c r="G97" s="12">
        <v>33903036</v>
      </c>
      <c r="H97" s="28">
        <v>11</v>
      </c>
      <c r="I97" s="7" t="s">
        <v>36</v>
      </c>
      <c r="J97" s="7">
        <v>35.479999999999997</v>
      </c>
      <c r="K97" s="7" t="s">
        <v>52</v>
      </c>
      <c r="L97" s="7">
        <v>37.619999999999997</v>
      </c>
      <c r="M97" s="7" t="s">
        <v>46</v>
      </c>
      <c r="N97" s="7">
        <v>35.200000000000003</v>
      </c>
      <c r="O97" s="13"/>
      <c r="P97" s="13"/>
      <c r="Q97" s="13"/>
      <c r="R97" s="13"/>
      <c r="S97" s="18">
        <f t="shared" si="17"/>
        <v>35.200000000000003</v>
      </c>
      <c r="T97" s="14">
        <f t="shared" si="18"/>
        <v>36.1</v>
      </c>
      <c r="U97" s="14">
        <f t="shared" si="19"/>
        <v>35.479999999999997</v>
      </c>
      <c r="V97" s="15">
        <f t="shared" si="20"/>
        <v>3.6669874223541031E-2</v>
      </c>
      <c r="W97" s="9">
        <f t="shared" si="21"/>
        <v>36.1</v>
      </c>
      <c r="X97" s="9">
        <f t="shared" si="22"/>
        <v>397.1</v>
      </c>
      <c r="Y97" s="85"/>
    </row>
    <row r="98" spans="1:25" ht="63" x14ac:dyDescent="0.25">
      <c r="A98" s="90"/>
      <c r="B98" s="10">
        <v>85</v>
      </c>
      <c r="C98" s="11" t="s">
        <v>167</v>
      </c>
      <c r="D98" s="12" t="s">
        <v>24</v>
      </c>
      <c r="E98" s="12">
        <v>55387176</v>
      </c>
      <c r="F98" s="12" t="s">
        <v>20</v>
      </c>
      <c r="G98" s="12">
        <v>33903035</v>
      </c>
      <c r="H98" s="43">
        <v>15</v>
      </c>
      <c r="I98" s="21" t="s">
        <v>36</v>
      </c>
      <c r="J98" s="7">
        <v>8.99</v>
      </c>
      <c r="K98" s="7" t="s">
        <v>52</v>
      </c>
      <c r="L98" s="7">
        <v>9.07</v>
      </c>
      <c r="M98" s="7" t="s">
        <v>73</v>
      </c>
      <c r="N98" s="7">
        <v>8.83</v>
      </c>
      <c r="O98" s="13"/>
      <c r="P98" s="13"/>
      <c r="Q98" s="13"/>
      <c r="R98" s="13"/>
      <c r="S98" s="18">
        <f t="shared" si="17"/>
        <v>8.83</v>
      </c>
      <c r="T98" s="14">
        <f t="shared" si="18"/>
        <v>8.9600000000000009</v>
      </c>
      <c r="U98" s="14">
        <f t="shared" si="19"/>
        <v>8.99</v>
      </c>
      <c r="V98" s="15">
        <f t="shared" si="20"/>
        <v>1.3633546135978711E-2</v>
      </c>
      <c r="W98" s="9">
        <f t="shared" si="21"/>
        <v>8.9600000000000009</v>
      </c>
      <c r="X98" s="9">
        <f t="shared" si="22"/>
        <v>134.4</v>
      </c>
      <c r="Y98" s="85"/>
    </row>
    <row r="99" spans="1:25" ht="31.5" x14ac:dyDescent="0.25">
      <c r="A99" s="90"/>
      <c r="B99" s="10">
        <v>86</v>
      </c>
      <c r="C99" s="11" t="s">
        <v>595</v>
      </c>
      <c r="D99" s="12" t="s">
        <v>25</v>
      </c>
      <c r="E99" s="12">
        <v>122483190</v>
      </c>
      <c r="F99" s="12" t="s">
        <v>20</v>
      </c>
      <c r="G99" s="12">
        <v>33903035</v>
      </c>
      <c r="H99" s="28">
        <v>13</v>
      </c>
      <c r="I99" s="21" t="s">
        <v>52</v>
      </c>
      <c r="J99" s="7">
        <v>30.6</v>
      </c>
      <c r="K99" s="7" t="s">
        <v>37</v>
      </c>
      <c r="L99" s="7">
        <v>30.54</v>
      </c>
      <c r="M99" s="7" t="s">
        <v>457</v>
      </c>
      <c r="N99" s="7">
        <v>39.229999999999997</v>
      </c>
      <c r="O99" s="13"/>
      <c r="P99" s="13"/>
      <c r="Q99" s="13"/>
      <c r="R99" s="13"/>
      <c r="S99" s="18">
        <f t="shared" si="17"/>
        <v>30.54</v>
      </c>
      <c r="T99" s="14">
        <f t="shared" si="18"/>
        <v>33.450000000000003</v>
      </c>
      <c r="U99" s="14">
        <f t="shared" si="19"/>
        <v>30.6</v>
      </c>
      <c r="V99" s="15">
        <f t="shared" si="20"/>
        <v>0.14944535218727314</v>
      </c>
      <c r="W99" s="9">
        <f t="shared" si="21"/>
        <v>33.450000000000003</v>
      </c>
      <c r="X99" s="9">
        <f t="shared" si="22"/>
        <v>434.85</v>
      </c>
      <c r="Y99" s="85"/>
    </row>
    <row r="100" spans="1:25" ht="47.25" x14ac:dyDescent="0.25">
      <c r="A100" s="90"/>
      <c r="B100" s="10">
        <v>87</v>
      </c>
      <c r="C100" s="11" t="s">
        <v>168</v>
      </c>
      <c r="D100" s="12" t="s">
        <v>25</v>
      </c>
      <c r="E100" s="12">
        <v>107980007</v>
      </c>
      <c r="F100" s="12" t="s">
        <v>20</v>
      </c>
      <c r="G100" s="12">
        <v>33903035</v>
      </c>
      <c r="H100" s="43">
        <v>4</v>
      </c>
      <c r="I100" s="21" t="s">
        <v>52</v>
      </c>
      <c r="J100" s="7">
        <v>64.599999999999994</v>
      </c>
      <c r="K100" s="7" t="s">
        <v>37</v>
      </c>
      <c r="L100" s="7">
        <v>55.99</v>
      </c>
      <c r="M100" s="7" t="s">
        <v>36</v>
      </c>
      <c r="N100" s="7">
        <v>53.23</v>
      </c>
      <c r="O100" s="13"/>
      <c r="P100" s="13"/>
      <c r="Q100" s="13"/>
      <c r="R100" s="13"/>
      <c r="S100" s="18">
        <f t="shared" si="17"/>
        <v>53.23</v>
      </c>
      <c r="T100" s="14">
        <f t="shared" si="18"/>
        <v>57.94</v>
      </c>
      <c r="U100" s="14">
        <f t="shared" si="19"/>
        <v>55.99</v>
      </c>
      <c r="V100" s="15">
        <f t="shared" si="20"/>
        <v>0.10235627791781489</v>
      </c>
      <c r="W100" s="9">
        <f t="shared" si="21"/>
        <v>57.94</v>
      </c>
      <c r="X100" s="9">
        <f t="shared" si="22"/>
        <v>231.76</v>
      </c>
      <c r="Y100" s="85"/>
    </row>
    <row r="101" spans="1:25" ht="47.25" x14ac:dyDescent="0.25">
      <c r="A101" s="90"/>
      <c r="B101" s="10">
        <v>88</v>
      </c>
      <c r="C101" s="11" t="s">
        <v>169</v>
      </c>
      <c r="D101" s="12" t="s">
        <v>25</v>
      </c>
      <c r="E101" s="12">
        <v>122483038</v>
      </c>
      <c r="F101" s="12" t="s">
        <v>121</v>
      </c>
      <c r="G101" s="12">
        <v>33903035</v>
      </c>
      <c r="H101" s="43">
        <v>4</v>
      </c>
      <c r="I101" s="21" t="s">
        <v>36</v>
      </c>
      <c r="J101" s="7">
        <v>41.16</v>
      </c>
      <c r="K101" s="7" t="s">
        <v>170</v>
      </c>
      <c r="L101" s="7">
        <v>37.18</v>
      </c>
      <c r="M101" s="7" t="s">
        <v>30</v>
      </c>
      <c r="N101" s="7">
        <v>27.63</v>
      </c>
      <c r="O101" s="13"/>
      <c r="P101" s="13"/>
      <c r="Q101" s="13"/>
      <c r="R101" s="13"/>
      <c r="S101" s="18">
        <f t="shared" si="17"/>
        <v>27.63</v>
      </c>
      <c r="T101" s="14">
        <f t="shared" si="18"/>
        <v>35.32</v>
      </c>
      <c r="U101" s="14">
        <f t="shared" si="19"/>
        <v>37.18</v>
      </c>
      <c r="V101" s="15">
        <f t="shared" si="20"/>
        <v>0.19685180619487327</v>
      </c>
      <c r="W101" s="9">
        <f t="shared" si="21"/>
        <v>35.32</v>
      </c>
      <c r="X101" s="9">
        <f t="shared" si="22"/>
        <v>141.28</v>
      </c>
      <c r="Y101" s="85"/>
    </row>
    <row r="102" spans="1:25" ht="78.75" x14ac:dyDescent="0.25">
      <c r="A102" s="90"/>
      <c r="B102" s="10">
        <v>89</v>
      </c>
      <c r="C102" s="11" t="s">
        <v>171</v>
      </c>
      <c r="D102" s="12" t="s">
        <v>24</v>
      </c>
      <c r="E102" s="12">
        <v>55417026</v>
      </c>
      <c r="F102" s="12" t="s">
        <v>121</v>
      </c>
      <c r="G102" s="12">
        <v>33903035</v>
      </c>
      <c r="H102" s="43">
        <v>2</v>
      </c>
      <c r="I102" s="21" t="s">
        <v>172</v>
      </c>
      <c r="J102" s="7">
        <v>280.04000000000002</v>
      </c>
      <c r="K102" s="7" t="s">
        <v>170</v>
      </c>
      <c r="L102" s="7">
        <v>322.83</v>
      </c>
      <c r="M102" s="7" t="s">
        <v>30</v>
      </c>
      <c r="N102" s="7">
        <v>244.17</v>
      </c>
      <c r="O102" s="13"/>
      <c r="P102" s="13"/>
      <c r="Q102" s="13"/>
      <c r="R102" s="13"/>
      <c r="S102" s="18">
        <f t="shared" si="17"/>
        <v>244.17</v>
      </c>
      <c r="T102" s="14">
        <f t="shared" si="18"/>
        <v>282.33999999999997</v>
      </c>
      <c r="U102" s="14">
        <f t="shared" si="19"/>
        <v>280.04000000000002</v>
      </c>
      <c r="V102" s="15">
        <f t="shared" si="20"/>
        <v>0.13947640751694157</v>
      </c>
      <c r="W102" s="9">
        <f t="shared" si="21"/>
        <v>282.33999999999997</v>
      </c>
      <c r="X102" s="9">
        <f t="shared" si="22"/>
        <v>564.67999999999995</v>
      </c>
      <c r="Y102" s="85"/>
    </row>
    <row r="103" spans="1:25" ht="78.75" x14ac:dyDescent="0.25">
      <c r="A103" s="90"/>
      <c r="B103" s="10">
        <v>90</v>
      </c>
      <c r="C103" s="11" t="s">
        <v>173</v>
      </c>
      <c r="D103" s="12" t="s">
        <v>24</v>
      </c>
      <c r="E103" s="12">
        <v>55417026</v>
      </c>
      <c r="F103" s="12" t="s">
        <v>121</v>
      </c>
      <c r="G103" s="12">
        <v>33903035</v>
      </c>
      <c r="H103" s="43">
        <v>2</v>
      </c>
      <c r="I103" s="21" t="s">
        <v>21</v>
      </c>
      <c r="J103" s="7">
        <v>17.97</v>
      </c>
      <c r="K103" s="21" t="s">
        <v>21</v>
      </c>
      <c r="L103" s="7">
        <v>19.14</v>
      </c>
      <c r="M103" s="21" t="s">
        <v>21</v>
      </c>
      <c r="N103" s="7">
        <v>17.27</v>
      </c>
      <c r="O103" s="13"/>
      <c r="P103" s="13"/>
      <c r="Q103" s="13"/>
      <c r="R103" s="13"/>
      <c r="S103" s="18">
        <f t="shared" si="17"/>
        <v>17.27</v>
      </c>
      <c r="T103" s="14">
        <f t="shared" si="18"/>
        <v>18.12</v>
      </c>
      <c r="U103" s="14">
        <f t="shared" si="19"/>
        <v>17.97</v>
      </c>
      <c r="V103" s="15">
        <f t="shared" si="20"/>
        <v>5.2121703543529962E-2</v>
      </c>
      <c r="W103" s="9">
        <f t="shared" si="21"/>
        <v>18.12</v>
      </c>
      <c r="X103" s="9">
        <f t="shared" si="22"/>
        <v>36.24</v>
      </c>
      <c r="Y103" s="85"/>
    </row>
    <row r="104" spans="1:25" ht="47.25" x14ac:dyDescent="0.25">
      <c r="A104" s="90"/>
      <c r="B104" s="10">
        <v>91</v>
      </c>
      <c r="C104" s="33" t="s">
        <v>578</v>
      </c>
      <c r="D104" s="32" t="s">
        <v>24</v>
      </c>
      <c r="E104" s="12">
        <v>55441014</v>
      </c>
      <c r="F104" s="12" t="s">
        <v>121</v>
      </c>
      <c r="G104" s="12">
        <v>33903035</v>
      </c>
      <c r="H104" s="28">
        <v>14</v>
      </c>
      <c r="I104" s="7" t="s">
        <v>48</v>
      </c>
      <c r="J104" s="7">
        <v>43.38</v>
      </c>
      <c r="K104" s="7" t="s">
        <v>30</v>
      </c>
      <c r="L104" s="7">
        <v>48.03</v>
      </c>
      <c r="M104" s="7" t="s">
        <v>36</v>
      </c>
      <c r="N104" s="7">
        <v>51.99</v>
      </c>
      <c r="O104" s="13"/>
      <c r="P104" s="13"/>
      <c r="Q104" s="13"/>
      <c r="R104" s="13"/>
      <c r="S104" s="18">
        <f t="shared" si="17"/>
        <v>43.38</v>
      </c>
      <c r="T104" s="14">
        <f t="shared" si="18"/>
        <v>47.8</v>
      </c>
      <c r="U104" s="14">
        <f t="shared" si="19"/>
        <v>48.03</v>
      </c>
      <c r="V104" s="15">
        <f t="shared" si="20"/>
        <v>9.0159111932960972E-2</v>
      </c>
      <c r="W104" s="9">
        <f t="shared" si="21"/>
        <v>47.8</v>
      </c>
      <c r="X104" s="9">
        <f t="shared" si="22"/>
        <v>669.19999999999993</v>
      </c>
      <c r="Y104" s="85"/>
    </row>
    <row r="105" spans="1:25" ht="47.25" x14ac:dyDescent="0.25">
      <c r="A105" s="89"/>
      <c r="B105" s="10">
        <v>92</v>
      </c>
      <c r="C105" s="11" t="s">
        <v>174</v>
      </c>
      <c r="D105" s="12" t="s">
        <v>25</v>
      </c>
      <c r="E105" s="12">
        <v>47660023</v>
      </c>
      <c r="F105" s="12" t="s">
        <v>20</v>
      </c>
      <c r="G105" s="12">
        <v>33903035</v>
      </c>
      <c r="H105" s="43">
        <v>4</v>
      </c>
      <c r="I105" s="21" t="s">
        <v>21</v>
      </c>
      <c r="J105" s="7">
        <v>37.590000000000003</v>
      </c>
      <c r="K105" s="21" t="s">
        <v>21</v>
      </c>
      <c r="L105" s="7">
        <v>40.200000000000003</v>
      </c>
      <c r="M105" s="21" t="s">
        <v>21</v>
      </c>
      <c r="N105" s="7">
        <v>35</v>
      </c>
      <c r="O105" s="13"/>
      <c r="P105" s="13"/>
      <c r="Q105" s="13"/>
      <c r="R105" s="13"/>
      <c r="S105" s="18">
        <f t="shared" si="17"/>
        <v>35</v>
      </c>
      <c r="T105" s="14">
        <f t="shared" si="18"/>
        <v>37.590000000000003</v>
      </c>
      <c r="U105" s="14">
        <f t="shared" si="19"/>
        <v>37.590000000000003</v>
      </c>
      <c r="V105" s="15">
        <f t="shared" si="20"/>
        <v>6.9155237439006353E-2</v>
      </c>
      <c r="W105" s="9">
        <f t="shared" si="21"/>
        <v>37.590000000000003</v>
      </c>
      <c r="X105" s="9">
        <f t="shared" si="22"/>
        <v>150.36000000000001</v>
      </c>
      <c r="Y105" s="82"/>
    </row>
    <row r="106" spans="1:25" ht="15.75" customHeight="1" x14ac:dyDescent="0.25">
      <c r="A106" s="83"/>
      <c r="B106" s="83"/>
      <c r="C106" s="83"/>
      <c r="D106" s="83"/>
      <c r="E106" s="83"/>
      <c r="F106" s="83"/>
      <c r="G106" s="83"/>
      <c r="H106" s="83"/>
      <c r="I106" s="83"/>
      <c r="J106" s="83"/>
      <c r="K106" s="83"/>
      <c r="L106" s="83"/>
      <c r="M106" s="83"/>
      <c r="N106" s="83"/>
      <c r="O106" s="83"/>
      <c r="P106" s="83"/>
      <c r="Q106" s="83"/>
      <c r="R106" s="83"/>
      <c r="S106" s="83"/>
      <c r="T106" s="83"/>
      <c r="U106" s="83"/>
      <c r="V106" s="84"/>
      <c r="W106" s="74"/>
      <c r="X106" s="74"/>
      <c r="Y106" s="74"/>
    </row>
    <row r="107" spans="1:25" ht="47.25" x14ac:dyDescent="0.25">
      <c r="A107" s="88">
        <v>12</v>
      </c>
      <c r="B107" s="10">
        <v>93</v>
      </c>
      <c r="C107" s="11" t="s">
        <v>175</v>
      </c>
      <c r="D107" s="12" t="s">
        <v>25</v>
      </c>
      <c r="E107" s="12">
        <v>122483084</v>
      </c>
      <c r="F107" s="12" t="s">
        <v>20</v>
      </c>
      <c r="G107" s="12">
        <v>33903035</v>
      </c>
      <c r="H107" s="43">
        <v>14</v>
      </c>
      <c r="I107" s="21" t="s">
        <v>176</v>
      </c>
      <c r="J107" s="7">
        <v>5.69</v>
      </c>
      <c r="K107" s="7" t="s">
        <v>46</v>
      </c>
      <c r="L107" s="7">
        <v>5.3</v>
      </c>
      <c r="M107" s="7" t="s">
        <v>26</v>
      </c>
      <c r="N107" s="7">
        <v>6.32</v>
      </c>
      <c r="O107" s="13"/>
      <c r="P107" s="13"/>
      <c r="Q107" s="13"/>
      <c r="R107" s="13"/>
      <c r="S107" s="18">
        <f t="shared" si="17"/>
        <v>5.3</v>
      </c>
      <c r="T107" s="14">
        <f t="shared" si="18"/>
        <v>5.77</v>
      </c>
      <c r="U107" s="14">
        <f t="shared" si="19"/>
        <v>5.69</v>
      </c>
      <c r="V107" s="15">
        <f t="shared" si="20"/>
        <v>8.9200064003173485E-2</v>
      </c>
      <c r="W107" s="9">
        <f t="shared" si="21"/>
        <v>5.77</v>
      </c>
      <c r="X107" s="9">
        <f t="shared" si="22"/>
        <v>80.78</v>
      </c>
      <c r="Y107" s="81">
        <v>1443.47</v>
      </c>
    </row>
    <row r="108" spans="1:25" ht="47.25" x14ac:dyDescent="0.25">
      <c r="A108" s="90"/>
      <c r="B108" s="10">
        <v>94</v>
      </c>
      <c r="C108" s="11" t="s">
        <v>177</v>
      </c>
      <c r="D108" s="12" t="s">
        <v>25</v>
      </c>
      <c r="E108" s="12">
        <v>122483084</v>
      </c>
      <c r="F108" s="12" t="s">
        <v>20</v>
      </c>
      <c r="G108" s="12">
        <v>33903035</v>
      </c>
      <c r="H108" s="43">
        <v>29</v>
      </c>
      <c r="I108" s="21" t="s">
        <v>21</v>
      </c>
      <c r="J108" s="7">
        <v>7.61</v>
      </c>
      <c r="K108" s="21" t="s">
        <v>21</v>
      </c>
      <c r="L108" s="7">
        <v>10.56</v>
      </c>
      <c r="M108" s="21" t="s">
        <v>21</v>
      </c>
      <c r="N108" s="7">
        <v>6.42</v>
      </c>
      <c r="O108" s="13"/>
      <c r="P108" s="13"/>
      <c r="Q108" s="13"/>
      <c r="R108" s="13"/>
      <c r="S108" s="18">
        <f t="shared" si="17"/>
        <v>6.42</v>
      </c>
      <c r="T108" s="14">
        <f t="shared" si="18"/>
        <v>8.19</v>
      </c>
      <c r="U108" s="14">
        <f t="shared" si="19"/>
        <v>7.61</v>
      </c>
      <c r="V108" s="15">
        <f t="shared" si="20"/>
        <v>0.26003732371038035</v>
      </c>
      <c r="W108" s="9">
        <f t="shared" si="21"/>
        <v>7.61</v>
      </c>
      <c r="X108" s="9">
        <f t="shared" si="22"/>
        <v>220.69</v>
      </c>
      <c r="Y108" s="85"/>
    </row>
    <row r="109" spans="1:25" ht="47.25" x14ac:dyDescent="0.25">
      <c r="A109" s="90"/>
      <c r="B109" s="10">
        <v>95</v>
      </c>
      <c r="C109" s="11" t="s">
        <v>178</v>
      </c>
      <c r="D109" s="12" t="s">
        <v>25</v>
      </c>
      <c r="E109" s="12">
        <v>122483084</v>
      </c>
      <c r="F109" s="12" t="s">
        <v>20</v>
      </c>
      <c r="G109" s="12">
        <v>33903035</v>
      </c>
      <c r="H109" s="43">
        <v>10</v>
      </c>
      <c r="I109" s="21" t="s">
        <v>21</v>
      </c>
      <c r="J109" s="7">
        <v>13.75</v>
      </c>
      <c r="K109" s="21" t="s">
        <v>21</v>
      </c>
      <c r="L109" s="7">
        <v>12</v>
      </c>
      <c r="M109" s="21" t="s">
        <v>21</v>
      </c>
      <c r="N109" s="7">
        <v>12.03</v>
      </c>
      <c r="O109" s="13"/>
      <c r="P109" s="13"/>
      <c r="Q109" s="13"/>
      <c r="R109" s="13"/>
      <c r="S109" s="18">
        <f t="shared" si="17"/>
        <v>12</v>
      </c>
      <c r="T109" s="14">
        <f t="shared" si="18"/>
        <v>12.59</v>
      </c>
      <c r="U109" s="14">
        <f t="shared" si="19"/>
        <v>12.03</v>
      </c>
      <c r="V109" s="15">
        <f t="shared" si="20"/>
        <v>7.9551219125363157E-2</v>
      </c>
      <c r="W109" s="9">
        <f t="shared" si="21"/>
        <v>12.59</v>
      </c>
      <c r="X109" s="9">
        <f t="shared" si="22"/>
        <v>125.9</v>
      </c>
      <c r="Y109" s="85"/>
    </row>
    <row r="110" spans="1:25" ht="31.5" x14ac:dyDescent="0.25">
      <c r="A110" s="90"/>
      <c r="B110" s="10">
        <v>96</v>
      </c>
      <c r="C110" s="11" t="s">
        <v>179</v>
      </c>
      <c r="D110" s="12" t="s">
        <v>25</v>
      </c>
      <c r="E110" s="12">
        <v>28703038</v>
      </c>
      <c r="F110" s="12" t="s">
        <v>20</v>
      </c>
      <c r="G110" s="12">
        <v>33903035</v>
      </c>
      <c r="H110" s="43">
        <v>7</v>
      </c>
      <c r="I110" s="21" t="s">
        <v>21</v>
      </c>
      <c r="J110" s="7">
        <v>62.25</v>
      </c>
      <c r="K110" s="7" t="s">
        <v>37</v>
      </c>
      <c r="L110" s="7">
        <v>73.209999999999994</v>
      </c>
      <c r="M110" s="7" t="s">
        <v>172</v>
      </c>
      <c r="N110" s="7">
        <v>70.650000000000006</v>
      </c>
      <c r="O110" s="13"/>
      <c r="P110" s="13"/>
      <c r="Q110" s="13"/>
      <c r="R110" s="13"/>
      <c r="S110" s="18">
        <f t="shared" si="17"/>
        <v>62.25</v>
      </c>
      <c r="T110" s="14">
        <f t="shared" si="18"/>
        <v>68.7</v>
      </c>
      <c r="U110" s="14">
        <f t="shared" si="19"/>
        <v>70.650000000000006</v>
      </c>
      <c r="V110" s="15">
        <f t="shared" si="20"/>
        <v>8.3452389932553175E-2</v>
      </c>
      <c r="W110" s="9">
        <f t="shared" si="21"/>
        <v>68.7</v>
      </c>
      <c r="X110" s="9">
        <f t="shared" si="22"/>
        <v>480.90000000000003</v>
      </c>
      <c r="Y110" s="85"/>
    </row>
    <row r="111" spans="1:25" ht="47.25" x14ac:dyDescent="0.25">
      <c r="A111" s="89"/>
      <c r="B111" s="10">
        <v>97</v>
      </c>
      <c r="C111" s="33" t="s">
        <v>180</v>
      </c>
      <c r="D111" s="12" t="s">
        <v>25</v>
      </c>
      <c r="E111" s="12">
        <v>77216002</v>
      </c>
      <c r="F111" s="12" t="s">
        <v>20</v>
      </c>
      <c r="G111" s="12">
        <v>33903035</v>
      </c>
      <c r="H111" s="28">
        <f>19+5</f>
        <v>24</v>
      </c>
      <c r="I111" s="7" t="s">
        <v>36</v>
      </c>
      <c r="J111" s="7">
        <v>22.3</v>
      </c>
      <c r="K111" s="7" t="s">
        <v>48</v>
      </c>
      <c r="L111" s="7">
        <v>17.940000000000001</v>
      </c>
      <c r="M111" s="7" t="s">
        <v>21</v>
      </c>
      <c r="N111" s="7">
        <v>31.5</v>
      </c>
      <c r="O111" s="13"/>
      <c r="P111" s="13"/>
      <c r="Q111" s="13"/>
      <c r="R111" s="13"/>
      <c r="S111" s="18">
        <f t="shared" si="17"/>
        <v>17.940000000000001</v>
      </c>
      <c r="T111" s="14">
        <f t="shared" si="18"/>
        <v>23.91</v>
      </c>
      <c r="U111" s="14">
        <f t="shared" si="19"/>
        <v>22.3</v>
      </c>
      <c r="V111" s="15">
        <f t="shared" si="20"/>
        <v>0.28948142634415747</v>
      </c>
      <c r="W111" s="9">
        <f t="shared" si="21"/>
        <v>22.3</v>
      </c>
      <c r="X111" s="9">
        <f t="shared" si="22"/>
        <v>535.20000000000005</v>
      </c>
      <c r="Y111" s="82"/>
    </row>
    <row r="112" spans="1:25" ht="15.75" customHeight="1" x14ac:dyDescent="0.25">
      <c r="A112" s="83">
        <v>98</v>
      </c>
      <c r="B112" s="83"/>
      <c r="C112" s="83"/>
      <c r="D112" s="83"/>
      <c r="E112" s="83"/>
      <c r="F112" s="83"/>
      <c r="G112" s="83"/>
      <c r="H112" s="83"/>
      <c r="I112" s="83"/>
      <c r="J112" s="83"/>
      <c r="K112" s="83"/>
      <c r="L112" s="83"/>
      <c r="M112" s="83"/>
      <c r="N112" s="83"/>
      <c r="O112" s="83"/>
      <c r="P112" s="83"/>
      <c r="Q112" s="83"/>
      <c r="R112" s="83"/>
      <c r="S112" s="83"/>
      <c r="T112" s="83"/>
      <c r="U112" s="83"/>
      <c r="V112" s="84"/>
      <c r="W112" s="74"/>
      <c r="X112" s="74"/>
      <c r="Y112" s="74"/>
    </row>
    <row r="113" spans="1:25" ht="47.25" x14ac:dyDescent="0.25">
      <c r="A113" s="88">
        <v>13</v>
      </c>
      <c r="B113" s="10">
        <v>98</v>
      </c>
      <c r="C113" s="33" t="s">
        <v>181</v>
      </c>
      <c r="D113" s="32" t="s">
        <v>25</v>
      </c>
      <c r="E113" s="12">
        <v>34746001</v>
      </c>
      <c r="F113" s="12" t="s">
        <v>121</v>
      </c>
      <c r="G113" s="12">
        <v>33903036</v>
      </c>
      <c r="H113" s="28">
        <v>5</v>
      </c>
      <c r="I113" s="7" t="s">
        <v>37</v>
      </c>
      <c r="J113" s="7">
        <v>739.41</v>
      </c>
      <c r="K113" s="7" t="s">
        <v>60</v>
      </c>
      <c r="L113" s="7">
        <v>675</v>
      </c>
      <c r="M113" s="7" t="s">
        <v>46</v>
      </c>
      <c r="N113" s="7">
        <v>724.87</v>
      </c>
      <c r="O113" s="13"/>
      <c r="P113" s="13"/>
      <c r="Q113" s="13"/>
      <c r="R113" s="13"/>
      <c r="S113" s="18">
        <f t="shared" si="17"/>
        <v>675</v>
      </c>
      <c r="T113" s="14">
        <f t="shared" si="18"/>
        <v>713.09</v>
      </c>
      <c r="U113" s="14">
        <f t="shared" si="19"/>
        <v>724.87</v>
      </c>
      <c r="V113" s="15">
        <f t="shared" si="20"/>
        <v>4.7372967658334812E-2</v>
      </c>
      <c r="W113" s="9">
        <f t="shared" si="21"/>
        <v>713.09</v>
      </c>
      <c r="X113" s="9">
        <f t="shared" si="22"/>
        <v>3565.4500000000003</v>
      </c>
      <c r="Y113" s="81">
        <v>5751.35</v>
      </c>
    </row>
    <row r="114" spans="1:25" ht="47.25" x14ac:dyDescent="0.25">
      <c r="A114" s="89"/>
      <c r="B114" s="10">
        <v>98</v>
      </c>
      <c r="C114" s="33" t="s">
        <v>182</v>
      </c>
      <c r="D114" s="32" t="s">
        <v>25</v>
      </c>
      <c r="E114" s="12">
        <v>34746001</v>
      </c>
      <c r="F114" s="12" t="s">
        <v>121</v>
      </c>
      <c r="G114" s="12">
        <v>33903036</v>
      </c>
      <c r="H114" s="28">
        <v>5</v>
      </c>
      <c r="I114" s="7" t="s">
        <v>37</v>
      </c>
      <c r="J114" s="7">
        <v>455.14</v>
      </c>
      <c r="K114" s="7" t="s">
        <v>172</v>
      </c>
      <c r="L114" s="7">
        <v>415.01</v>
      </c>
      <c r="M114" s="7" t="s">
        <v>50</v>
      </c>
      <c r="N114" s="7">
        <v>441.41</v>
      </c>
      <c r="O114" s="13"/>
      <c r="P114" s="13"/>
      <c r="Q114" s="13"/>
      <c r="R114" s="13"/>
      <c r="S114" s="18">
        <f t="shared" si="17"/>
        <v>415.01</v>
      </c>
      <c r="T114" s="14">
        <f t="shared" si="18"/>
        <v>437.18</v>
      </c>
      <c r="U114" s="14">
        <f t="shared" si="19"/>
        <v>441.41</v>
      </c>
      <c r="V114" s="15">
        <f t="shared" si="20"/>
        <v>4.6651989537896253E-2</v>
      </c>
      <c r="W114" s="9">
        <f t="shared" si="21"/>
        <v>437.18</v>
      </c>
      <c r="X114" s="9">
        <f t="shared" si="22"/>
        <v>2185.9</v>
      </c>
      <c r="Y114" s="82"/>
    </row>
    <row r="115" spans="1:25" ht="15.75" customHeight="1" x14ac:dyDescent="0.25">
      <c r="A115" s="79"/>
      <c r="B115" s="79"/>
      <c r="C115" s="79"/>
      <c r="D115" s="79"/>
      <c r="E115" s="79"/>
      <c r="F115" s="79"/>
      <c r="G115" s="79"/>
      <c r="H115" s="79"/>
      <c r="I115" s="79"/>
      <c r="J115" s="79"/>
      <c r="K115" s="79"/>
      <c r="L115" s="79"/>
      <c r="M115" s="79"/>
      <c r="N115" s="79"/>
      <c r="O115" s="79"/>
      <c r="P115" s="79"/>
      <c r="Q115" s="79"/>
      <c r="R115" s="79"/>
      <c r="S115" s="79"/>
      <c r="T115" s="79"/>
      <c r="U115" s="79"/>
      <c r="V115" s="80"/>
      <c r="W115" s="74"/>
      <c r="X115" s="74"/>
      <c r="Y115" s="74"/>
    </row>
    <row r="116" spans="1:25" ht="47.25" x14ac:dyDescent="0.25">
      <c r="A116" s="88">
        <v>14</v>
      </c>
      <c r="B116" s="10">
        <v>100</v>
      </c>
      <c r="C116" s="11" t="s">
        <v>192</v>
      </c>
      <c r="D116" s="12" t="s">
        <v>186</v>
      </c>
      <c r="E116" s="12">
        <v>272026</v>
      </c>
      <c r="F116" s="12" t="s">
        <v>191</v>
      </c>
      <c r="G116" s="12">
        <v>33903009</v>
      </c>
      <c r="H116" s="54" t="s">
        <v>190</v>
      </c>
      <c r="I116" s="8" t="s">
        <v>189</v>
      </c>
      <c r="J116" s="8">
        <f>137.47</f>
        <v>137.47</v>
      </c>
      <c r="K116" s="8" t="s">
        <v>183</v>
      </c>
      <c r="L116" s="8">
        <v>183.8</v>
      </c>
      <c r="M116" s="21" t="s">
        <v>188</v>
      </c>
      <c r="N116" s="8">
        <f>176.99</f>
        <v>176.99</v>
      </c>
      <c r="O116" s="13"/>
      <c r="P116" s="13"/>
      <c r="Q116" s="13"/>
      <c r="R116" s="13"/>
      <c r="S116" s="18">
        <f t="shared" si="17"/>
        <v>137.47</v>
      </c>
      <c r="T116" s="14">
        <f t="shared" si="18"/>
        <v>166.08</v>
      </c>
      <c r="U116" s="14">
        <f t="shared" si="19"/>
        <v>176.99</v>
      </c>
      <c r="V116" s="15">
        <f t="shared" si="20"/>
        <v>0.15061762821853628</v>
      </c>
      <c r="W116" s="9">
        <f t="shared" si="21"/>
        <v>166.08</v>
      </c>
      <c r="X116" s="9">
        <f t="shared" si="22"/>
        <v>1992.96</v>
      </c>
      <c r="Y116" s="81">
        <v>6014.66</v>
      </c>
    </row>
    <row r="117" spans="1:25" ht="47.25" x14ac:dyDescent="0.25">
      <c r="A117" s="90"/>
      <c r="B117" s="10">
        <v>101</v>
      </c>
      <c r="C117" s="11" t="s">
        <v>187</v>
      </c>
      <c r="D117" s="12" t="s">
        <v>186</v>
      </c>
      <c r="E117" s="12">
        <v>272004</v>
      </c>
      <c r="F117" s="12" t="s">
        <v>121</v>
      </c>
      <c r="G117" s="12">
        <v>33903009</v>
      </c>
      <c r="H117" s="54" t="s">
        <v>185</v>
      </c>
      <c r="I117" s="8" t="s">
        <v>184</v>
      </c>
      <c r="J117" s="8">
        <f>148.7</f>
        <v>148.69999999999999</v>
      </c>
      <c r="K117" s="8" t="s">
        <v>183</v>
      </c>
      <c r="L117" s="8">
        <v>139.99</v>
      </c>
      <c r="M117" s="7" t="s">
        <v>22</v>
      </c>
      <c r="N117" s="8">
        <f>1.71*100</f>
        <v>171</v>
      </c>
      <c r="O117" s="13"/>
      <c r="P117" s="13"/>
      <c r="Q117" s="13"/>
      <c r="R117" s="13"/>
      <c r="S117" s="18">
        <f t="shared" si="17"/>
        <v>139.99</v>
      </c>
      <c r="T117" s="14">
        <f t="shared" si="18"/>
        <v>153.22999999999999</v>
      </c>
      <c r="U117" s="14">
        <f t="shared" si="19"/>
        <v>148.69999999999999</v>
      </c>
      <c r="V117" s="15">
        <f t="shared" si="20"/>
        <v>0.10437652124736578</v>
      </c>
      <c r="W117" s="9">
        <f t="shared" si="21"/>
        <v>153.22999999999999</v>
      </c>
      <c r="X117" s="9">
        <f t="shared" si="22"/>
        <v>1225.8399999999999</v>
      </c>
      <c r="Y117" s="85"/>
    </row>
    <row r="118" spans="1:25" ht="31.5" x14ac:dyDescent="0.25">
      <c r="A118" s="90"/>
      <c r="B118" s="10">
        <v>102</v>
      </c>
      <c r="C118" s="11" t="s">
        <v>206</v>
      </c>
      <c r="D118" s="12" t="s">
        <v>186</v>
      </c>
      <c r="E118" s="12">
        <v>29580008</v>
      </c>
      <c r="F118" s="12" t="s">
        <v>121</v>
      </c>
      <c r="G118" s="5">
        <v>33903036</v>
      </c>
      <c r="H118" s="6" t="s">
        <v>205</v>
      </c>
      <c r="I118" s="7" t="s">
        <v>154</v>
      </c>
      <c r="J118" s="8">
        <f>3.99*50</f>
        <v>199.5</v>
      </c>
      <c r="K118" s="7" t="s">
        <v>154</v>
      </c>
      <c r="L118" s="8">
        <f>3.75*50</f>
        <v>187.5</v>
      </c>
      <c r="M118" s="7" t="s">
        <v>154</v>
      </c>
      <c r="N118" s="7">
        <f>3.49*50</f>
        <v>174.5</v>
      </c>
      <c r="O118" s="13"/>
      <c r="P118" s="13"/>
      <c r="Q118" s="13"/>
      <c r="R118" s="13"/>
      <c r="S118" s="18">
        <f t="shared" si="17"/>
        <v>174.5</v>
      </c>
      <c r="T118" s="14">
        <f t="shared" si="18"/>
        <v>187.16</v>
      </c>
      <c r="U118" s="14">
        <f t="shared" si="19"/>
        <v>187.5</v>
      </c>
      <c r="V118" s="15">
        <f t="shared" si="20"/>
        <v>6.6803203325061636E-2</v>
      </c>
      <c r="W118" s="9">
        <f t="shared" si="21"/>
        <v>187.16</v>
      </c>
      <c r="X118" s="9">
        <f t="shared" si="22"/>
        <v>935.8</v>
      </c>
      <c r="Y118" s="85"/>
    </row>
    <row r="119" spans="1:25" ht="31.5" x14ac:dyDescent="0.25">
      <c r="A119" s="90"/>
      <c r="B119" s="10">
        <v>103</v>
      </c>
      <c r="C119" s="11" t="s">
        <v>204</v>
      </c>
      <c r="D119" s="12" t="s">
        <v>186</v>
      </c>
      <c r="E119" s="12">
        <v>29580002</v>
      </c>
      <c r="F119" s="12" t="s">
        <v>121</v>
      </c>
      <c r="G119" s="5">
        <v>33903036</v>
      </c>
      <c r="H119" s="6" t="s">
        <v>203</v>
      </c>
      <c r="I119" s="7" t="s">
        <v>154</v>
      </c>
      <c r="J119" s="8">
        <f>4.34*50</f>
        <v>217</v>
      </c>
      <c r="K119" s="7" t="s">
        <v>154</v>
      </c>
      <c r="L119" s="8">
        <f>4.6*50</f>
        <v>229.99999999999997</v>
      </c>
      <c r="M119" s="7" t="s">
        <v>154</v>
      </c>
      <c r="N119" s="7">
        <f>4.38*50</f>
        <v>219</v>
      </c>
      <c r="O119" s="13"/>
      <c r="P119" s="13"/>
      <c r="Q119" s="13"/>
      <c r="R119" s="13"/>
      <c r="S119" s="18">
        <f t="shared" si="17"/>
        <v>217</v>
      </c>
      <c r="T119" s="14">
        <f t="shared" si="18"/>
        <v>222</v>
      </c>
      <c r="U119" s="14">
        <f t="shared" si="19"/>
        <v>219</v>
      </c>
      <c r="V119" s="15">
        <f t="shared" si="20"/>
        <v>3.1531531531531459E-2</v>
      </c>
      <c r="W119" s="9">
        <f t="shared" si="21"/>
        <v>222</v>
      </c>
      <c r="X119" s="9">
        <f t="shared" si="22"/>
        <v>666</v>
      </c>
      <c r="Y119" s="85"/>
    </row>
    <row r="120" spans="1:25" ht="31.5" x14ac:dyDescent="0.25">
      <c r="A120" s="90"/>
      <c r="B120" s="10">
        <v>104</v>
      </c>
      <c r="C120" s="11" t="s">
        <v>202</v>
      </c>
      <c r="D120" s="12" t="s">
        <v>186</v>
      </c>
      <c r="E120" s="12">
        <v>29580005</v>
      </c>
      <c r="F120" s="12" t="s">
        <v>121</v>
      </c>
      <c r="G120" s="5">
        <v>33903036</v>
      </c>
      <c r="H120" s="6" t="s">
        <v>201</v>
      </c>
      <c r="I120" s="7" t="s">
        <v>154</v>
      </c>
      <c r="J120" s="8">
        <f>5.78*24</f>
        <v>138.72</v>
      </c>
      <c r="K120" s="7" t="s">
        <v>154</v>
      </c>
      <c r="L120" s="8">
        <f>5.69*24</f>
        <v>136.56</v>
      </c>
      <c r="M120" s="7" t="s">
        <v>154</v>
      </c>
      <c r="N120" s="7">
        <f>4.97*24</f>
        <v>119.28</v>
      </c>
      <c r="O120" s="13"/>
      <c r="P120" s="13"/>
      <c r="Q120" s="13"/>
      <c r="R120" s="13"/>
      <c r="S120" s="18">
        <f t="shared" si="17"/>
        <v>119.28</v>
      </c>
      <c r="T120" s="14">
        <f t="shared" si="18"/>
        <v>131.52000000000001</v>
      </c>
      <c r="U120" s="14">
        <f t="shared" si="19"/>
        <v>136.56</v>
      </c>
      <c r="V120" s="15">
        <f t="shared" si="20"/>
        <v>8.1014499563588013E-2</v>
      </c>
      <c r="W120" s="9">
        <f t="shared" si="21"/>
        <v>131.52000000000001</v>
      </c>
      <c r="X120" s="9">
        <f t="shared" si="22"/>
        <v>526.08000000000004</v>
      </c>
      <c r="Y120" s="85"/>
    </row>
    <row r="121" spans="1:25" ht="31.5" x14ac:dyDescent="0.25">
      <c r="A121" s="90"/>
      <c r="B121" s="10">
        <v>105</v>
      </c>
      <c r="C121" s="11" t="s">
        <v>200</v>
      </c>
      <c r="D121" s="12" t="s">
        <v>186</v>
      </c>
      <c r="E121" s="12">
        <v>29580007</v>
      </c>
      <c r="F121" s="12" t="s">
        <v>121</v>
      </c>
      <c r="G121" s="5">
        <v>33903036</v>
      </c>
      <c r="H121" s="6">
        <v>2</v>
      </c>
      <c r="I121" s="7" t="s">
        <v>154</v>
      </c>
      <c r="J121" s="8">
        <f>8.3*12</f>
        <v>99.600000000000009</v>
      </c>
      <c r="K121" s="7" t="s">
        <v>154</v>
      </c>
      <c r="L121" s="8">
        <f>10.41*12</f>
        <v>124.92</v>
      </c>
      <c r="M121" s="7" t="s">
        <v>154</v>
      </c>
      <c r="N121" s="7">
        <f>11.57*12</f>
        <v>138.84</v>
      </c>
      <c r="O121" s="13"/>
      <c r="P121" s="13"/>
      <c r="Q121" s="13"/>
      <c r="R121" s="13"/>
      <c r="S121" s="18">
        <f t="shared" si="17"/>
        <v>99.600000000000009</v>
      </c>
      <c r="T121" s="14">
        <f t="shared" si="18"/>
        <v>121.12</v>
      </c>
      <c r="U121" s="14">
        <f t="shared" si="19"/>
        <v>124.92</v>
      </c>
      <c r="V121" s="15">
        <f t="shared" si="20"/>
        <v>0.16425098680073302</v>
      </c>
      <c r="W121" s="9">
        <f t="shared" si="21"/>
        <v>121.12</v>
      </c>
      <c r="X121" s="9">
        <f t="shared" si="22"/>
        <v>242.24</v>
      </c>
      <c r="Y121" s="85"/>
    </row>
    <row r="122" spans="1:25" ht="47.25" x14ac:dyDescent="0.25">
      <c r="A122" s="90"/>
      <c r="B122" s="10">
        <v>106</v>
      </c>
      <c r="C122" s="24" t="s">
        <v>199</v>
      </c>
      <c r="D122" s="12" t="s">
        <v>186</v>
      </c>
      <c r="E122" s="12">
        <v>29580007</v>
      </c>
      <c r="F122" s="12" t="s">
        <v>121</v>
      </c>
      <c r="G122" s="5">
        <v>33903036</v>
      </c>
      <c r="H122" s="6" t="s">
        <v>198</v>
      </c>
      <c r="I122" s="7" t="s">
        <v>154</v>
      </c>
      <c r="J122" s="8">
        <f>0.43*100</f>
        <v>43</v>
      </c>
      <c r="K122" s="7" t="s">
        <v>154</v>
      </c>
      <c r="L122" s="8">
        <f>0.49*100</f>
        <v>49</v>
      </c>
      <c r="M122" s="7" t="s">
        <v>154</v>
      </c>
      <c r="N122" s="7">
        <f>0.53*100</f>
        <v>53</v>
      </c>
      <c r="O122" s="13"/>
      <c r="P122" s="13"/>
      <c r="Q122" s="13"/>
      <c r="R122" s="13"/>
      <c r="S122" s="18">
        <f t="shared" si="17"/>
        <v>43</v>
      </c>
      <c r="T122" s="14">
        <f t="shared" si="18"/>
        <v>48.33</v>
      </c>
      <c r="U122" s="14">
        <f t="shared" si="19"/>
        <v>49</v>
      </c>
      <c r="V122" s="15">
        <f t="shared" si="20"/>
        <v>0.10413564738304483</v>
      </c>
      <c r="W122" s="9">
        <f t="shared" si="21"/>
        <v>48.33</v>
      </c>
      <c r="X122" s="9">
        <f t="shared" si="22"/>
        <v>289.98</v>
      </c>
      <c r="Y122" s="85"/>
    </row>
    <row r="123" spans="1:25" ht="47.25" x14ac:dyDescent="0.25">
      <c r="A123" s="89"/>
      <c r="B123" s="10">
        <v>107</v>
      </c>
      <c r="C123" s="24" t="s">
        <v>197</v>
      </c>
      <c r="D123" s="12" t="s">
        <v>186</v>
      </c>
      <c r="E123" s="12">
        <v>29580007</v>
      </c>
      <c r="F123" s="12" t="s">
        <v>121</v>
      </c>
      <c r="G123" s="5">
        <v>33903036</v>
      </c>
      <c r="H123" s="6" t="s">
        <v>196</v>
      </c>
      <c r="I123" s="7" t="s">
        <v>195</v>
      </c>
      <c r="J123" s="8">
        <f>5.99*12</f>
        <v>71.88</v>
      </c>
      <c r="K123" s="7" t="s">
        <v>194</v>
      </c>
      <c r="L123" s="8">
        <f>5.49*12</f>
        <v>65.88</v>
      </c>
      <c r="M123" s="7" t="s">
        <v>193</v>
      </c>
      <c r="N123" s="7">
        <f>5.49*12</f>
        <v>65.88</v>
      </c>
      <c r="O123" s="13"/>
      <c r="P123" s="13"/>
      <c r="Q123" s="13"/>
      <c r="R123" s="13"/>
      <c r="S123" s="18">
        <f t="shared" si="17"/>
        <v>65.88</v>
      </c>
      <c r="T123" s="14">
        <f t="shared" si="18"/>
        <v>67.88</v>
      </c>
      <c r="U123" s="14">
        <f t="shared" si="19"/>
        <v>65.88</v>
      </c>
      <c r="V123" s="15">
        <f t="shared" si="20"/>
        <v>5.1032728567144296E-2</v>
      </c>
      <c r="W123" s="9">
        <f t="shared" si="21"/>
        <v>67.88</v>
      </c>
      <c r="X123" s="9">
        <f t="shared" si="22"/>
        <v>135.76</v>
      </c>
      <c r="Y123" s="82"/>
    </row>
    <row r="124" spans="1:25" ht="15.75" customHeight="1" x14ac:dyDescent="0.25">
      <c r="A124" s="83"/>
      <c r="B124" s="83"/>
      <c r="C124" s="83"/>
      <c r="D124" s="83"/>
      <c r="E124" s="83"/>
      <c r="F124" s="83"/>
      <c r="G124" s="83"/>
      <c r="H124" s="83"/>
      <c r="I124" s="83"/>
      <c r="J124" s="83"/>
      <c r="K124" s="83"/>
      <c r="L124" s="83"/>
      <c r="M124" s="83"/>
      <c r="N124" s="83"/>
      <c r="O124" s="83"/>
      <c r="P124" s="83"/>
      <c r="Q124" s="83"/>
      <c r="R124" s="83"/>
      <c r="S124" s="83"/>
      <c r="T124" s="83"/>
      <c r="U124" s="83"/>
      <c r="V124" s="84"/>
      <c r="W124" s="74"/>
      <c r="X124" s="74"/>
      <c r="Y124" s="74"/>
    </row>
    <row r="125" spans="1:25" ht="78.75" x14ac:dyDescent="0.25">
      <c r="A125" s="88">
        <v>15</v>
      </c>
      <c r="B125" s="10">
        <v>108</v>
      </c>
      <c r="C125" s="11" t="s">
        <v>215</v>
      </c>
      <c r="D125" s="5" t="s">
        <v>214</v>
      </c>
      <c r="E125" s="5">
        <v>9520095</v>
      </c>
      <c r="F125" s="5" t="s">
        <v>213</v>
      </c>
      <c r="G125" s="5">
        <v>33903036</v>
      </c>
      <c r="H125" s="6" t="s">
        <v>205</v>
      </c>
      <c r="I125" s="7" t="s">
        <v>212</v>
      </c>
      <c r="J125" s="8">
        <f>565.97+17.09</f>
        <v>583.06000000000006</v>
      </c>
      <c r="K125" s="7" t="s">
        <v>154</v>
      </c>
      <c r="L125" s="8">
        <v>525.02</v>
      </c>
      <c r="M125" s="7" t="s">
        <v>154</v>
      </c>
      <c r="N125" s="7">
        <v>520</v>
      </c>
      <c r="O125" s="58"/>
      <c r="P125" s="58"/>
      <c r="Q125" s="58"/>
      <c r="R125" s="58"/>
      <c r="S125" s="56">
        <f t="shared" si="17"/>
        <v>520</v>
      </c>
      <c r="T125" s="56">
        <f t="shared" si="18"/>
        <v>542.69000000000005</v>
      </c>
      <c r="U125" s="56">
        <f t="shared" si="19"/>
        <v>525.02</v>
      </c>
      <c r="V125" s="55">
        <f t="shared" si="20"/>
        <v>6.4582608509723249E-2</v>
      </c>
      <c r="W125" s="9">
        <f t="shared" si="21"/>
        <v>542.69000000000005</v>
      </c>
      <c r="X125" s="9">
        <f t="shared" si="22"/>
        <v>2713.4500000000003</v>
      </c>
      <c r="Y125" s="81">
        <v>10062.950000000001</v>
      </c>
    </row>
    <row r="126" spans="1:25" ht="31.5" x14ac:dyDescent="0.25">
      <c r="A126" s="90"/>
      <c r="B126" s="10">
        <v>109</v>
      </c>
      <c r="C126" s="11" t="s">
        <v>211</v>
      </c>
      <c r="D126" s="5" t="s">
        <v>210</v>
      </c>
      <c r="E126" s="5">
        <v>9563019</v>
      </c>
      <c r="F126" s="5" t="s">
        <v>20</v>
      </c>
      <c r="G126" s="5">
        <v>33903036</v>
      </c>
      <c r="H126" s="6" t="s">
        <v>209</v>
      </c>
      <c r="I126" s="61" t="s">
        <v>184</v>
      </c>
      <c r="J126" s="59">
        <f>17.89</f>
        <v>17.89</v>
      </c>
      <c r="K126" s="60" t="s">
        <v>208</v>
      </c>
      <c r="L126" s="59">
        <f>15.62</f>
        <v>15.62</v>
      </c>
      <c r="M126" s="7" t="s">
        <v>207</v>
      </c>
      <c r="N126" s="7">
        <v>12.49</v>
      </c>
      <c r="O126" s="58"/>
      <c r="P126" s="58"/>
      <c r="Q126" s="57"/>
      <c r="R126" s="57"/>
      <c r="S126" s="56">
        <f t="shared" si="17"/>
        <v>12.49</v>
      </c>
      <c r="T126" s="56">
        <f t="shared" si="18"/>
        <v>15.33</v>
      </c>
      <c r="U126" s="56">
        <f t="shared" si="19"/>
        <v>15.62</v>
      </c>
      <c r="V126" s="55">
        <f t="shared" si="20"/>
        <v>0.17682975375978024</v>
      </c>
      <c r="W126" s="9">
        <f t="shared" si="21"/>
        <v>15.33</v>
      </c>
      <c r="X126" s="9">
        <f t="shared" si="22"/>
        <v>61.32</v>
      </c>
      <c r="Y126" s="85"/>
    </row>
    <row r="127" spans="1:25" ht="25.5" x14ac:dyDescent="0.25">
      <c r="A127" s="90"/>
      <c r="B127" s="10">
        <v>110</v>
      </c>
      <c r="C127" s="11" t="s">
        <v>218</v>
      </c>
      <c r="D127" s="5" t="s">
        <v>217</v>
      </c>
      <c r="E127" s="12">
        <v>9679010</v>
      </c>
      <c r="F127" s="5" t="s">
        <v>213</v>
      </c>
      <c r="G127" s="5">
        <v>33903036</v>
      </c>
      <c r="H127" s="62" t="s">
        <v>216</v>
      </c>
      <c r="I127" s="8" t="s">
        <v>141</v>
      </c>
      <c r="J127" s="8">
        <v>116</v>
      </c>
      <c r="K127" s="7" t="s">
        <v>22</v>
      </c>
      <c r="L127" s="8">
        <v>114.15</v>
      </c>
      <c r="M127" s="8" t="s">
        <v>141</v>
      </c>
      <c r="N127" s="8">
        <v>89.99</v>
      </c>
      <c r="O127" s="13"/>
      <c r="P127" s="13"/>
      <c r="Q127" s="13"/>
      <c r="R127" s="13"/>
      <c r="S127" s="56">
        <f t="shared" si="17"/>
        <v>89.99</v>
      </c>
      <c r="T127" s="56">
        <f t="shared" si="18"/>
        <v>106.71</v>
      </c>
      <c r="U127" s="56">
        <f t="shared" si="19"/>
        <v>114.15</v>
      </c>
      <c r="V127" s="55">
        <f t="shared" si="20"/>
        <v>0.13599369705920625</v>
      </c>
      <c r="W127" s="9">
        <f t="shared" si="21"/>
        <v>106.71</v>
      </c>
      <c r="X127" s="9">
        <f t="shared" si="22"/>
        <v>1067.0999999999999</v>
      </c>
      <c r="Y127" s="85"/>
    </row>
    <row r="128" spans="1:25" ht="78.75" x14ac:dyDescent="0.25">
      <c r="A128" s="90"/>
      <c r="B128" s="10">
        <v>111</v>
      </c>
      <c r="C128" s="11" t="s">
        <v>235</v>
      </c>
      <c r="D128" s="12" t="s">
        <v>214</v>
      </c>
      <c r="E128" s="12">
        <v>9520200</v>
      </c>
      <c r="F128" s="5" t="s">
        <v>20</v>
      </c>
      <c r="G128" s="5">
        <v>33903036</v>
      </c>
      <c r="H128" s="62">
        <v>2</v>
      </c>
      <c r="I128" s="8" t="s">
        <v>234</v>
      </c>
      <c r="J128" s="8">
        <v>639.99</v>
      </c>
      <c r="K128" s="8" t="s">
        <v>228</v>
      </c>
      <c r="L128" s="8">
        <v>699</v>
      </c>
      <c r="M128" s="8" t="s">
        <v>233</v>
      </c>
      <c r="N128" s="8">
        <v>550</v>
      </c>
      <c r="O128" s="13"/>
      <c r="P128" s="13"/>
      <c r="Q128" s="13"/>
      <c r="R128" s="13"/>
      <c r="S128" s="18">
        <f t="shared" si="17"/>
        <v>550</v>
      </c>
      <c r="T128" s="14">
        <f t="shared" si="18"/>
        <v>629.66</v>
      </c>
      <c r="U128" s="14">
        <f t="shared" si="19"/>
        <v>639.99</v>
      </c>
      <c r="V128" s="15">
        <f t="shared" si="20"/>
        <v>0.1191666320964985</v>
      </c>
      <c r="W128" s="9">
        <f t="shared" si="21"/>
        <v>629.66</v>
      </c>
      <c r="X128" s="9">
        <f t="shared" si="22"/>
        <v>1259.32</v>
      </c>
      <c r="Y128" s="85"/>
    </row>
    <row r="129" spans="1:25" ht="78.75" x14ac:dyDescent="0.25">
      <c r="A129" s="90"/>
      <c r="B129" s="10">
        <v>112</v>
      </c>
      <c r="C129" s="11" t="s">
        <v>232</v>
      </c>
      <c r="D129" s="12" t="s">
        <v>214</v>
      </c>
      <c r="E129" s="12">
        <v>9520208</v>
      </c>
      <c r="F129" s="12" t="s">
        <v>121</v>
      </c>
      <c r="G129" s="5">
        <v>33903036</v>
      </c>
      <c r="H129" s="62">
        <v>10</v>
      </c>
      <c r="I129" s="8" t="s">
        <v>231</v>
      </c>
      <c r="J129" s="8">
        <f>147.25+12.78</f>
        <v>160.03</v>
      </c>
      <c r="K129" s="21" t="s">
        <v>228</v>
      </c>
      <c r="L129" s="8">
        <f>119.9+15.99</f>
        <v>135.89000000000001</v>
      </c>
      <c r="M129" s="21" t="s">
        <v>226</v>
      </c>
      <c r="N129" s="8">
        <v>150</v>
      </c>
      <c r="O129" s="13"/>
      <c r="P129" s="13"/>
      <c r="Q129" s="13"/>
      <c r="R129" s="13"/>
      <c r="S129" s="18">
        <f t="shared" si="17"/>
        <v>135.89000000000001</v>
      </c>
      <c r="T129" s="14">
        <f t="shared" si="18"/>
        <v>148.63999999999999</v>
      </c>
      <c r="U129" s="14">
        <f t="shared" si="19"/>
        <v>150</v>
      </c>
      <c r="V129" s="15">
        <f t="shared" si="20"/>
        <v>8.158859420322942E-2</v>
      </c>
      <c r="W129" s="9">
        <f t="shared" si="21"/>
        <v>148.63999999999999</v>
      </c>
      <c r="X129" s="9">
        <f t="shared" si="22"/>
        <v>1486.3999999999999</v>
      </c>
      <c r="Y129" s="85"/>
    </row>
    <row r="130" spans="1:25" ht="78.75" x14ac:dyDescent="0.25">
      <c r="A130" s="90"/>
      <c r="B130" s="10">
        <v>113</v>
      </c>
      <c r="C130" s="11" t="s">
        <v>230</v>
      </c>
      <c r="D130" s="12" t="s">
        <v>214</v>
      </c>
      <c r="E130" s="12">
        <v>9520208</v>
      </c>
      <c r="F130" s="12" t="s">
        <v>121</v>
      </c>
      <c r="G130" s="5">
        <v>33903036</v>
      </c>
      <c r="H130" s="62" t="s">
        <v>229</v>
      </c>
      <c r="I130" s="8" t="s">
        <v>220</v>
      </c>
      <c r="J130" s="8">
        <f>127.5+29.18</f>
        <v>156.68</v>
      </c>
      <c r="K130" s="8" t="s">
        <v>228</v>
      </c>
      <c r="L130" s="8">
        <f>142.9+30.99</f>
        <v>173.89000000000001</v>
      </c>
      <c r="M130" s="8" t="s">
        <v>227</v>
      </c>
      <c r="N130" s="8">
        <f>151.5+22.83</f>
        <v>174.32999999999998</v>
      </c>
      <c r="O130" s="21" t="s">
        <v>226</v>
      </c>
      <c r="P130" s="8">
        <v>150</v>
      </c>
      <c r="Q130" s="13"/>
      <c r="R130" s="13"/>
      <c r="S130" s="18">
        <f t="shared" si="17"/>
        <v>150</v>
      </c>
      <c r="T130" s="14">
        <f t="shared" si="18"/>
        <v>163.72</v>
      </c>
      <c r="U130" s="14">
        <f t="shared" si="19"/>
        <v>165.28</v>
      </c>
      <c r="V130" s="15">
        <f t="shared" si="20"/>
        <v>7.5120254389962157E-2</v>
      </c>
      <c r="W130" s="9">
        <f t="shared" si="21"/>
        <v>163.72</v>
      </c>
      <c r="X130" s="9">
        <f t="shared" si="22"/>
        <v>327.44</v>
      </c>
      <c r="Y130" s="85"/>
    </row>
    <row r="131" spans="1:25" ht="78.75" x14ac:dyDescent="0.25">
      <c r="A131" s="90"/>
      <c r="B131" s="10">
        <v>114</v>
      </c>
      <c r="C131" s="11" t="s">
        <v>225</v>
      </c>
      <c r="D131" s="12" t="s">
        <v>214</v>
      </c>
      <c r="E131" s="12">
        <v>9520208</v>
      </c>
      <c r="F131" s="12" t="s">
        <v>121</v>
      </c>
      <c r="G131" s="5">
        <v>33903036</v>
      </c>
      <c r="H131" s="62">
        <v>2</v>
      </c>
      <c r="I131" s="8" t="s">
        <v>220</v>
      </c>
      <c r="J131" s="8">
        <f>238</f>
        <v>238</v>
      </c>
      <c r="K131" s="8" t="s">
        <v>224</v>
      </c>
      <c r="L131" s="8">
        <v>247.5</v>
      </c>
      <c r="M131" s="8" t="s">
        <v>219</v>
      </c>
      <c r="N131" s="8">
        <f>256.5</f>
        <v>256.5</v>
      </c>
      <c r="O131" s="13"/>
      <c r="P131" s="13"/>
      <c r="Q131" s="13"/>
      <c r="R131" s="13"/>
      <c r="S131" s="18">
        <f t="shared" si="17"/>
        <v>238</v>
      </c>
      <c r="T131" s="14">
        <f t="shared" si="18"/>
        <v>247.33</v>
      </c>
      <c r="U131" s="14">
        <f t="shared" si="19"/>
        <v>247.5</v>
      </c>
      <c r="V131" s="15">
        <f t="shared" si="20"/>
        <v>3.7403474626355571E-2</v>
      </c>
      <c r="W131" s="9">
        <f t="shared" si="21"/>
        <v>247.33</v>
      </c>
      <c r="X131" s="9">
        <f t="shared" si="22"/>
        <v>494.66</v>
      </c>
      <c r="Y131" s="85"/>
    </row>
    <row r="132" spans="1:25" ht="31.5" x14ac:dyDescent="0.25">
      <c r="A132" s="90"/>
      <c r="B132" s="10">
        <v>115</v>
      </c>
      <c r="C132" s="11" t="s">
        <v>223</v>
      </c>
      <c r="D132" s="12" t="s">
        <v>222</v>
      </c>
      <c r="E132" s="12">
        <v>9792130</v>
      </c>
      <c r="F132" s="5" t="s">
        <v>20</v>
      </c>
      <c r="G132" s="5">
        <v>33903036</v>
      </c>
      <c r="H132" s="62" t="s">
        <v>216</v>
      </c>
      <c r="I132" s="8" t="s">
        <v>221</v>
      </c>
      <c r="J132" s="8">
        <v>162.09</v>
      </c>
      <c r="K132" s="8" t="s">
        <v>220</v>
      </c>
      <c r="L132" s="8">
        <v>120.22</v>
      </c>
      <c r="M132" s="8" t="s">
        <v>219</v>
      </c>
      <c r="N132" s="8">
        <v>122.51</v>
      </c>
      <c r="O132" s="13"/>
      <c r="P132" s="13"/>
      <c r="Q132" s="13"/>
      <c r="R132" s="13"/>
      <c r="S132" s="18">
        <f t="shared" si="17"/>
        <v>120.22</v>
      </c>
      <c r="T132" s="14">
        <f t="shared" si="18"/>
        <v>134.94</v>
      </c>
      <c r="U132" s="14">
        <f t="shared" si="19"/>
        <v>122.51</v>
      </c>
      <c r="V132" s="15">
        <f t="shared" si="20"/>
        <v>0.17445125549920548</v>
      </c>
      <c r="W132" s="9">
        <f t="shared" si="21"/>
        <v>134.94</v>
      </c>
      <c r="X132" s="9">
        <f t="shared" si="22"/>
        <v>1349.4</v>
      </c>
      <c r="Y132" s="85"/>
    </row>
    <row r="133" spans="1:25" ht="31.5" x14ac:dyDescent="0.25">
      <c r="A133" s="90"/>
      <c r="B133" s="10">
        <v>116</v>
      </c>
      <c r="C133" s="11" t="s">
        <v>245</v>
      </c>
      <c r="D133" s="12" t="s">
        <v>210</v>
      </c>
      <c r="E133" s="12">
        <v>9563001</v>
      </c>
      <c r="F133" s="12" t="s">
        <v>243</v>
      </c>
      <c r="G133" s="5">
        <v>33903036</v>
      </c>
      <c r="H133" s="6" t="s">
        <v>229</v>
      </c>
      <c r="I133" s="7" t="s">
        <v>184</v>
      </c>
      <c r="J133" s="8">
        <f>17.22</f>
        <v>17.22</v>
      </c>
      <c r="K133" s="21" t="s">
        <v>207</v>
      </c>
      <c r="L133" s="7">
        <f>19.52</f>
        <v>19.52</v>
      </c>
      <c r="M133" s="21" t="s">
        <v>242</v>
      </c>
      <c r="N133" s="8">
        <f>13.97</f>
        <v>13.97</v>
      </c>
      <c r="O133" s="13"/>
      <c r="P133" s="13"/>
      <c r="Q133" s="13"/>
      <c r="R133" s="13"/>
      <c r="S133" s="18">
        <f t="shared" si="17"/>
        <v>13.97</v>
      </c>
      <c r="T133" s="14">
        <f t="shared" si="18"/>
        <v>16.899999999999999</v>
      </c>
      <c r="U133" s="14">
        <f t="shared" si="19"/>
        <v>17.22</v>
      </c>
      <c r="V133" s="15">
        <f t="shared" si="20"/>
        <v>0.16496853431148611</v>
      </c>
      <c r="W133" s="9">
        <f t="shared" si="21"/>
        <v>16.899999999999999</v>
      </c>
      <c r="X133" s="9">
        <f t="shared" si="22"/>
        <v>33.799999999999997</v>
      </c>
      <c r="Y133" s="85"/>
    </row>
    <row r="134" spans="1:25" ht="31.5" x14ac:dyDescent="0.25">
      <c r="A134" s="90"/>
      <c r="B134" s="10">
        <v>117</v>
      </c>
      <c r="C134" s="11" t="s">
        <v>244</v>
      </c>
      <c r="D134" s="12" t="s">
        <v>210</v>
      </c>
      <c r="E134" s="12">
        <v>9563002</v>
      </c>
      <c r="F134" s="12" t="s">
        <v>243</v>
      </c>
      <c r="G134" s="5">
        <v>33903036</v>
      </c>
      <c r="H134" s="6" t="s">
        <v>229</v>
      </c>
      <c r="I134" s="21" t="s">
        <v>208</v>
      </c>
      <c r="J134" s="8">
        <f>17.46</f>
        <v>17.46</v>
      </c>
      <c r="K134" s="21" t="s">
        <v>240</v>
      </c>
      <c r="L134" s="8">
        <f>16.69</f>
        <v>16.690000000000001</v>
      </c>
      <c r="M134" s="21" t="s">
        <v>242</v>
      </c>
      <c r="N134" s="8">
        <f>16.66</f>
        <v>16.66</v>
      </c>
      <c r="O134" s="13"/>
      <c r="P134" s="13"/>
      <c r="Q134" s="13"/>
      <c r="R134" s="13"/>
      <c r="S134" s="18">
        <f t="shared" si="17"/>
        <v>16.66</v>
      </c>
      <c r="T134" s="14">
        <f t="shared" si="18"/>
        <v>16.93</v>
      </c>
      <c r="U134" s="14">
        <f t="shared" si="19"/>
        <v>16.690000000000001</v>
      </c>
      <c r="V134" s="15">
        <f t="shared" si="20"/>
        <v>2.6774342681643699E-2</v>
      </c>
      <c r="W134" s="9">
        <f t="shared" si="21"/>
        <v>16.93</v>
      </c>
      <c r="X134" s="9">
        <f t="shared" si="22"/>
        <v>33.86</v>
      </c>
      <c r="Y134" s="85"/>
    </row>
    <row r="135" spans="1:25" ht="31.5" x14ac:dyDescent="0.25">
      <c r="A135" s="90"/>
      <c r="B135" s="10">
        <v>118</v>
      </c>
      <c r="C135" s="24" t="s">
        <v>241</v>
      </c>
      <c r="D135" s="12" t="s">
        <v>210</v>
      </c>
      <c r="E135" s="12">
        <v>9563015</v>
      </c>
      <c r="F135" s="12" t="s">
        <v>20</v>
      </c>
      <c r="G135" s="5">
        <v>33903036</v>
      </c>
      <c r="H135" s="6" t="s">
        <v>201</v>
      </c>
      <c r="I135" s="21" t="s">
        <v>208</v>
      </c>
      <c r="J135" s="8">
        <f>15.62</f>
        <v>15.62</v>
      </c>
      <c r="K135" s="21" t="s">
        <v>207</v>
      </c>
      <c r="L135" s="8">
        <f>12.47</f>
        <v>12.47</v>
      </c>
      <c r="M135" s="21" t="s">
        <v>240</v>
      </c>
      <c r="N135" s="7">
        <f>20.22</f>
        <v>20.22</v>
      </c>
      <c r="O135" s="13"/>
      <c r="P135" s="13"/>
      <c r="Q135" s="13"/>
      <c r="R135" s="13"/>
      <c r="S135" s="18">
        <f t="shared" si="17"/>
        <v>12.47</v>
      </c>
      <c r="T135" s="14">
        <f t="shared" si="18"/>
        <v>16.100000000000001</v>
      </c>
      <c r="U135" s="14">
        <f t="shared" si="19"/>
        <v>15.62</v>
      </c>
      <c r="V135" s="15">
        <f t="shared" si="20"/>
        <v>0.24203324117776778</v>
      </c>
      <c r="W135" s="9">
        <f t="shared" si="21"/>
        <v>16.100000000000001</v>
      </c>
      <c r="X135" s="9">
        <f t="shared" si="22"/>
        <v>64.400000000000006</v>
      </c>
      <c r="Y135" s="85"/>
    </row>
    <row r="136" spans="1:25" ht="31.5" x14ac:dyDescent="0.25">
      <c r="A136" s="90"/>
      <c r="B136" s="10">
        <v>119</v>
      </c>
      <c r="C136" s="11" t="s">
        <v>239</v>
      </c>
      <c r="D136" s="12" t="s">
        <v>210</v>
      </c>
      <c r="E136" s="12">
        <v>57819001</v>
      </c>
      <c r="F136" s="12" t="s">
        <v>20</v>
      </c>
      <c r="G136" s="5">
        <v>33903036</v>
      </c>
      <c r="H136" s="6" t="s">
        <v>201</v>
      </c>
      <c r="I136" s="7" t="s">
        <v>238</v>
      </c>
      <c r="J136" s="8">
        <v>65</v>
      </c>
      <c r="K136" s="21" t="s">
        <v>237</v>
      </c>
      <c r="L136" s="8">
        <v>59.79</v>
      </c>
      <c r="M136" s="7" t="s">
        <v>236</v>
      </c>
      <c r="N136" s="7">
        <f>55.29</f>
        <v>55.29</v>
      </c>
      <c r="O136" s="13"/>
      <c r="P136" s="13"/>
      <c r="Q136" s="13"/>
      <c r="R136" s="13"/>
      <c r="S136" s="18">
        <f t="shared" si="17"/>
        <v>55.29</v>
      </c>
      <c r="T136" s="14">
        <f t="shared" si="18"/>
        <v>60.02</v>
      </c>
      <c r="U136" s="14">
        <f t="shared" si="19"/>
        <v>59.79</v>
      </c>
      <c r="V136" s="15">
        <f t="shared" si="20"/>
        <v>8.0952760496119533E-2</v>
      </c>
      <c r="W136" s="9">
        <f t="shared" si="21"/>
        <v>60.02</v>
      </c>
      <c r="X136" s="9">
        <f t="shared" si="22"/>
        <v>240.08</v>
      </c>
      <c r="Y136" s="85"/>
    </row>
    <row r="137" spans="1:25" ht="78.75" x14ac:dyDescent="0.25">
      <c r="A137" s="89"/>
      <c r="B137" s="10">
        <v>120</v>
      </c>
      <c r="C137" s="11" t="s">
        <v>248</v>
      </c>
      <c r="D137" s="12" t="s">
        <v>214</v>
      </c>
      <c r="E137" s="12">
        <v>9520175</v>
      </c>
      <c r="F137" s="12" t="s">
        <v>121</v>
      </c>
      <c r="G137" s="5">
        <v>33903036</v>
      </c>
      <c r="H137" s="6" t="s">
        <v>201</v>
      </c>
      <c r="I137" s="7" t="s">
        <v>247</v>
      </c>
      <c r="J137" s="8">
        <v>262.89999999999998</v>
      </c>
      <c r="K137" s="7" t="s">
        <v>246</v>
      </c>
      <c r="L137" s="8">
        <v>235.9</v>
      </c>
      <c r="M137" s="7" t="s">
        <v>154</v>
      </c>
      <c r="N137" s="7">
        <v>200</v>
      </c>
      <c r="O137" s="13"/>
      <c r="P137" s="13"/>
      <c r="Q137" s="13"/>
      <c r="R137" s="13"/>
      <c r="S137" s="18">
        <f t="shared" si="17"/>
        <v>200</v>
      </c>
      <c r="T137" s="14">
        <f t="shared" si="18"/>
        <v>232.93</v>
      </c>
      <c r="U137" s="14">
        <f t="shared" si="19"/>
        <v>235.9</v>
      </c>
      <c r="V137" s="15">
        <f t="shared" si="20"/>
        <v>0.13546694564059777</v>
      </c>
      <c r="W137" s="9">
        <f t="shared" si="21"/>
        <v>232.93</v>
      </c>
      <c r="X137" s="9">
        <f t="shared" si="22"/>
        <v>931.72</v>
      </c>
      <c r="Y137" s="82"/>
    </row>
    <row r="138" spans="1:25" ht="15.75" customHeight="1" x14ac:dyDescent="0.25">
      <c r="A138" s="83"/>
      <c r="B138" s="83"/>
      <c r="C138" s="83"/>
      <c r="D138" s="83"/>
      <c r="E138" s="83"/>
      <c r="F138" s="83"/>
      <c r="G138" s="83"/>
      <c r="H138" s="83"/>
      <c r="I138" s="83"/>
      <c r="J138" s="83"/>
      <c r="K138" s="83"/>
      <c r="L138" s="83"/>
      <c r="M138" s="83"/>
      <c r="N138" s="83"/>
      <c r="O138" s="83"/>
      <c r="P138" s="83"/>
      <c r="Q138" s="83"/>
      <c r="R138" s="83"/>
      <c r="S138" s="83"/>
      <c r="T138" s="83"/>
      <c r="U138" s="83"/>
      <c r="V138" s="84"/>
      <c r="W138" s="74"/>
      <c r="X138" s="74"/>
      <c r="Y138" s="74"/>
    </row>
    <row r="139" spans="1:25" ht="110.25" x14ac:dyDescent="0.25">
      <c r="A139" s="88">
        <v>16</v>
      </c>
      <c r="B139" s="10">
        <v>121</v>
      </c>
      <c r="C139" s="11" t="s">
        <v>253</v>
      </c>
      <c r="D139" s="12" t="s">
        <v>165</v>
      </c>
      <c r="E139" s="12">
        <v>78794096</v>
      </c>
      <c r="F139" s="12" t="s">
        <v>20</v>
      </c>
      <c r="G139" s="5">
        <v>33903036</v>
      </c>
      <c r="H139" s="65">
        <v>30</v>
      </c>
      <c r="I139" s="64" t="s">
        <v>184</v>
      </c>
      <c r="J139" s="59">
        <f>27.7</f>
        <v>27.7</v>
      </c>
      <c r="K139" s="64" t="s">
        <v>252</v>
      </c>
      <c r="L139" s="59">
        <f>40.9</f>
        <v>40.9</v>
      </c>
      <c r="M139" s="63" t="s">
        <v>251</v>
      </c>
      <c r="N139" s="63">
        <f>43.9</f>
        <v>43.9</v>
      </c>
      <c r="O139" s="21" t="s">
        <v>250</v>
      </c>
      <c r="P139" s="8">
        <v>35.78</v>
      </c>
      <c r="Q139" s="21" t="s">
        <v>249</v>
      </c>
      <c r="R139" s="8">
        <f>35</f>
        <v>35</v>
      </c>
      <c r="S139" s="18">
        <f t="shared" si="17"/>
        <v>27.7</v>
      </c>
      <c r="T139" s="14">
        <f t="shared" si="18"/>
        <v>36.65</v>
      </c>
      <c r="U139" s="14">
        <f t="shared" si="19"/>
        <v>35.78</v>
      </c>
      <c r="V139" s="15">
        <f t="shared" si="20"/>
        <v>0.16938563726188618</v>
      </c>
      <c r="W139" s="9">
        <f t="shared" si="21"/>
        <v>36.65</v>
      </c>
      <c r="X139" s="9">
        <f t="shared" si="22"/>
        <v>1099.5</v>
      </c>
      <c r="Y139" s="91">
        <v>2652.4</v>
      </c>
    </row>
    <row r="140" spans="1:25" ht="47.25" x14ac:dyDescent="0.25">
      <c r="A140" s="90"/>
      <c r="B140" s="10">
        <v>122</v>
      </c>
      <c r="C140" s="11" t="s">
        <v>258</v>
      </c>
      <c r="D140" s="12" t="s">
        <v>254</v>
      </c>
      <c r="E140" s="12">
        <v>9504059</v>
      </c>
      <c r="F140" s="12" t="s">
        <v>20</v>
      </c>
      <c r="G140" s="5">
        <v>33903036</v>
      </c>
      <c r="H140" s="65" t="s">
        <v>257</v>
      </c>
      <c r="I140" s="63" t="s">
        <v>256</v>
      </c>
      <c r="J140" s="63">
        <f>4.8</f>
        <v>4.8</v>
      </c>
      <c r="K140" s="21" t="s">
        <v>184</v>
      </c>
      <c r="L140" s="8">
        <f>5.7</f>
        <v>5.7</v>
      </c>
      <c r="M140" s="21" t="s">
        <v>249</v>
      </c>
      <c r="N140" s="8">
        <f>5.5</f>
        <v>5.5</v>
      </c>
      <c r="O140" s="13"/>
      <c r="P140" s="13"/>
      <c r="Q140" s="13"/>
      <c r="R140" s="13"/>
      <c r="S140" s="18">
        <f t="shared" ref="S140:S211" si="23">MIN(J140:R140)</f>
        <v>4.8</v>
      </c>
      <c r="T140" s="14">
        <f t="shared" ref="T140:T211" si="24">ROUNDDOWN(AVERAGE(J140:R140),2)</f>
        <v>5.33</v>
      </c>
      <c r="U140" s="14">
        <f t="shared" ref="U140:U211" si="25">ROUNDDOWN(MEDIAN(J140:R140),2)</f>
        <v>5.5</v>
      </c>
      <c r="V140" s="15">
        <f t="shared" ref="V140:V211" si="26">STDEV(J140:R140)/AVERAGE(J140:R140)</f>
        <v>8.8609042992236445E-2</v>
      </c>
      <c r="W140" s="9">
        <f t="shared" ref="W140:W211" si="27">IF(V140&lt;=25%,T140,U140)</f>
        <v>5.33</v>
      </c>
      <c r="X140" s="9">
        <f t="shared" si="22"/>
        <v>106.6</v>
      </c>
      <c r="Y140" s="118"/>
    </row>
    <row r="141" spans="1:25" ht="47.25" x14ac:dyDescent="0.25">
      <c r="A141" s="90"/>
      <c r="B141" s="10">
        <v>123</v>
      </c>
      <c r="C141" s="11" t="s">
        <v>255</v>
      </c>
      <c r="D141" s="12" t="s">
        <v>254</v>
      </c>
      <c r="E141" s="12">
        <v>9504058</v>
      </c>
      <c r="F141" s="12" t="s">
        <v>121</v>
      </c>
      <c r="G141" s="5">
        <v>33903036</v>
      </c>
      <c r="H141" s="65" t="s">
        <v>229</v>
      </c>
      <c r="I141" s="21" t="s">
        <v>184</v>
      </c>
      <c r="J141" s="8">
        <f>5.02*100</f>
        <v>501.99999999999994</v>
      </c>
      <c r="K141" s="63" t="s">
        <v>154</v>
      </c>
      <c r="L141" s="8">
        <f>4.25*100</f>
        <v>425</v>
      </c>
      <c r="M141" s="63" t="s">
        <v>154</v>
      </c>
      <c r="N141" s="63">
        <f>5.23*100</f>
        <v>523</v>
      </c>
      <c r="O141" s="13"/>
      <c r="P141" s="13"/>
      <c r="Q141" s="13"/>
      <c r="R141" s="13"/>
      <c r="S141" s="18">
        <f t="shared" si="23"/>
        <v>425</v>
      </c>
      <c r="T141" s="14">
        <f t="shared" si="24"/>
        <v>483.33</v>
      </c>
      <c r="U141" s="14">
        <f t="shared" si="25"/>
        <v>502</v>
      </c>
      <c r="V141" s="15">
        <f t="shared" si="26"/>
        <v>0.10675407635342885</v>
      </c>
      <c r="W141" s="9">
        <f t="shared" si="27"/>
        <v>483.33</v>
      </c>
      <c r="X141" s="9">
        <f t="shared" si="22"/>
        <v>966.66</v>
      </c>
      <c r="Y141" s="118"/>
    </row>
    <row r="142" spans="1:25" ht="15.75" x14ac:dyDescent="0.25">
      <c r="A142" s="90"/>
      <c r="B142" s="10">
        <v>124</v>
      </c>
      <c r="C142" s="11" t="s">
        <v>267</v>
      </c>
      <c r="D142" s="12" t="s">
        <v>24</v>
      </c>
      <c r="E142" s="12">
        <v>55387175</v>
      </c>
      <c r="F142" s="12" t="s">
        <v>261</v>
      </c>
      <c r="G142" s="5">
        <v>33903035</v>
      </c>
      <c r="H142" s="6" t="s">
        <v>266</v>
      </c>
      <c r="I142" s="7" t="s">
        <v>265</v>
      </c>
      <c r="J142" s="8">
        <v>196.65</v>
      </c>
      <c r="K142" s="7" t="s">
        <v>264</v>
      </c>
      <c r="L142" s="8">
        <v>179.46</v>
      </c>
      <c r="M142" s="17" t="s">
        <v>263</v>
      </c>
      <c r="N142" s="8">
        <v>174.17</v>
      </c>
      <c r="O142" s="13"/>
      <c r="P142" s="13"/>
      <c r="Q142" s="13"/>
      <c r="R142" s="13"/>
      <c r="S142" s="18">
        <f t="shared" si="23"/>
        <v>174.17</v>
      </c>
      <c r="T142" s="14">
        <f t="shared" si="24"/>
        <v>183.42</v>
      </c>
      <c r="U142" s="14">
        <f t="shared" si="25"/>
        <v>179.46</v>
      </c>
      <c r="V142" s="15">
        <f t="shared" si="26"/>
        <v>6.4075910962662005E-2</v>
      </c>
      <c r="W142" s="9">
        <f t="shared" si="27"/>
        <v>183.42</v>
      </c>
      <c r="X142" s="9">
        <f t="shared" si="22"/>
        <v>366.84</v>
      </c>
      <c r="Y142" s="118"/>
    </row>
    <row r="143" spans="1:25" ht="38.25" x14ac:dyDescent="0.25">
      <c r="A143" s="89"/>
      <c r="B143" s="10">
        <v>125</v>
      </c>
      <c r="C143" s="11" t="s">
        <v>262</v>
      </c>
      <c r="D143" s="12" t="s">
        <v>24</v>
      </c>
      <c r="E143" s="12">
        <v>55387175</v>
      </c>
      <c r="F143" s="12" t="s">
        <v>261</v>
      </c>
      <c r="G143" s="5">
        <v>33903035</v>
      </c>
      <c r="H143" s="6" t="s">
        <v>260</v>
      </c>
      <c r="I143" s="17" t="s">
        <v>184</v>
      </c>
      <c r="J143" s="8">
        <v>11.28</v>
      </c>
      <c r="K143" s="17" t="s">
        <v>238</v>
      </c>
      <c r="L143" s="8">
        <v>14</v>
      </c>
      <c r="M143" s="17" t="s">
        <v>259</v>
      </c>
      <c r="N143" s="8">
        <v>8.1999999999999993</v>
      </c>
      <c r="O143" s="13"/>
      <c r="P143" s="13"/>
      <c r="Q143" s="13"/>
      <c r="R143" s="13"/>
      <c r="S143" s="18">
        <f t="shared" si="23"/>
        <v>8.1999999999999993</v>
      </c>
      <c r="T143" s="14">
        <f t="shared" si="24"/>
        <v>11.16</v>
      </c>
      <c r="U143" s="14">
        <f t="shared" si="25"/>
        <v>11.28</v>
      </c>
      <c r="V143" s="15">
        <f t="shared" si="26"/>
        <v>0.26002342934933359</v>
      </c>
      <c r="W143" s="9">
        <f t="shared" si="27"/>
        <v>11.28</v>
      </c>
      <c r="X143" s="9">
        <f t="shared" si="22"/>
        <v>112.8</v>
      </c>
      <c r="Y143" s="92"/>
    </row>
    <row r="144" spans="1:25" ht="15.75" customHeight="1" x14ac:dyDescent="0.25">
      <c r="A144" s="83"/>
      <c r="B144" s="83"/>
      <c r="C144" s="83"/>
      <c r="D144" s="83"/>
      <c r="E144" s="83"/>
      <c r="F144" s="83"/>
      <c r="G144" s="83"/>
      <c r="H144" s="83"/>
      <c r="I144" s="83"/>
      <c r="J144" s="83"/>
      <c r="K144" s="83"/>
      <c r="L144" s="83"/>
      <c r="M144" s="83"/>
      <c r="N144" s="83"/>
      <c r="O144" s="83"/>
      <c r="P144" s="83"/>
      <c r="Q144" s="83"/>
      <c r="R144" s="83"/>
      <c r="S144" s="83"/>
      <c r="T144" s="83"/>
      <c r="U144" s="83"/>
      <c r="V144" s="84"/>
      <c r="W144" s="74"/>
      <c r="X144" s="74"/>
      <c r="Y144" s="74"/>
    </row>
    <row r="145" spans="1:25" ht="47.25" x14ac:dyDescent="0.25">
      <c r="A145" s="88">
        <v>17</v>
      </c>
      <c r="B145" s="10">
        <v>126</v>
      </c>
      <c r="C145" s="11" t="s">
        <v>277</v>
      </c>
      <c r="D145" s="12" t="s">
        <v>270</v>
      </c>
      <c r="E145" s="12">
        <v>9652144</v>
      </c>
      <c r="F145" s="5" t="s">
        <v>20</v>
      </c>
      <c r="G145" s="5">
        <v>33903036</v>
      </c>
      <c r="H145" s="6" t="s">
        <v>269</v>
      </c>
      <c r="I145" s="7" t="s">
        <v>221</v>
      </c>
      <c r="J145" s="8">
        <v>48.55</v>
      </c>
      <c r="K145" s="7" t="s">
        <v>22</v>
      </c>
      <c r="L145" s="8">
        <v>50.29</v>
      </c>
      <c r="M145" s="8" t="s">
        <v>141</v>
      </c>
      <c r="N145" s="7">
        <v>48.86</v>
      </c>
      <c r="O145" s="13"/>
      <c r="P145" s="13"/>
      <c r="Q145" s="13"/>
      <c r="R145" s="13"/>
      <c r="S145" s="56">
        <f t="shared" si="23"/>
        <v>48.55</v>
      </c>
      <c r="T145" s="56">
        <f t="shared" si="24"/>
        <v>49.23</v>
      </c>
      <c r="U145" s="56">
        <f t="shared" si="25"/>
        <v>48.86</v>
      </c>
      <c r="V145" s="55">
        <f t="shared" si="26"/>
        <v>1.8851746703282497E-2</v>
      </c>
      <c r="W145" s="9">
        <f t="shared" si="27"/>
        <v>49.23</v>
      </c>
      <c r="X145" s="9">
        <f t="shared" si="22"/>
        <v>984.59999999999991</v>
      </c>
      <c r="Y145" s="81">
        <v>14292.84</v>
      </c>
    </row>
    <row r="146" spans="1:25" ht="78.75" x14ac:dyDescent="0.25">
      <c r="A146" s="90"/>
      <c r="B146" s="10">
        <v>127</v>
      </c>
      <c r="C146" s="11" t="s">
        <v>276</v>
      </c>
      <c r="D146" s="12" t="s">
        <v>270</v>
      </c>
      <c r="E146" s="12">
        <v>9652013</v>
      </c>
      <c r="F146" s="5" t="s">
        <v>121</v>
      </c>
      <c r="G146" s="5">
        <v>33903036</v>
      </c>
      <c r="H146" s="6" t="s">
        <v>266</v>
      </c>
      <c r="I146" s="7" t="s">
        <v>226</v>
      </c>
      <c r="J146" s="8">
        <v>48.55</v>
      </c>
      <c r="K146" s="7" t="s">
        <v>250</v>
      </c>
      <c r="L146" s="8">
        <v>270</v>
      </c>
      <c r="M146" s="7" t="s">
        <v>275</v>
      </c>
      <c r="N146" s="7">
        <v>250.39</v>
      </c>
      <c r="O146" s="13"/>
      <c r="P146" s="13"/>
      <c r="Q146" s="13"/>
      <c r="R146" s="13"/>
      <c r="S146" s="56">
        <f t="shared" si="23"/>
        <v>48.55</v>
      </c>
      <c r="T146" s="56">
        <f t="shared" si="24"/>
        <v>189.64</v>
      </c>
      <c r="U146" s="56">
        <f t="shared" si="25"/>
        <v>250.39</v>
      </c>
      <c r="V146" s="55">
        <f t="shared" si="26"/>
        <v>0.64639180692913967</v>
      </c>
      <c r="W146" s="9">
        <f t="shared" si="27"/>
        <v>250.39</v>
      </c>
      <c r="X146" s="9">
        <f t="shared" si="22"/>
        <v>500.78</v>
      </c>
      <c r="Y146" s="85"/>
    </row>
    <row r="147" spans="1:25" ht="78.75" x14ac:dyDescent="0.25">
      <c r="A147" s="90"/>
      <c r="B147" s="10">
        <v>128</v>
      </c>
      <c r="C147" s="11" t="s">
        <v>274</v>
      </c>
      <c r="D147" s="12" t="s">
        <v>270</v>
      </c>
      <c r="E147" s="12">
        <v>9652015</v>
      </c>
      <c r="F147" s="5" t="s">
        <v>121</v>
      </c>
      <c r="G147" s="5">
        <v>33903036</v>
      </c>
      <c r="H147" s="6" t="s">
        <v>229</v>
      </c>
      <c r="I147" s="7" t="s">
        <v>22</v>
      </c>
      <c r="J147" s="8">
        <v>151.5</v>
      </c>
      <c r="K147" s="7" t="s">
        <v>22</v>
      </c>
      <c r="L147" s="8">
        <v>166.5</v>
      </c>
      <c r="M147" s="7" t="s">
        <v>22</v>
      </c>
      <c r="N147" s="7">
        <v>133.5</v>
      </c>
      <c r="O147" s="13"/>
      <c r="P147" s="13"/>
      <c r="Q147" s="13"/>
      <c r="R147" s="13"/>
      <c r="S147" s="56">
        <f t="shared" si="23"/>
        <v>133.5</v>
      </c>
      <c r="T147" s="56">
        <f t="shared" si="24"/>
        <v>150.5</v>
      </c>
      <c r="U147" s="56">
        <f t="shared" si="25"/>
        <v>151.5</v>
      </c>
      <c r="V147" s="55">
        <f t="shared" si="26"/>
        <v>0.1097854594143409</v>
      </c>
      <c r="W147" s="9">
        <f t="shared" si="27"/>
        <v>150.5</v>
      </c>
      <c r="X147" s="9">
        <f t="shared" si="22"/>
        <v>301</v>
      </c>
      <c r="Y147" s="85"/>
    </row>
    <row r="148" spans="1:25" ht="78.75" x14ac:dyDescent="0.25">
      <c r="A148" s="90"/>
      <c r="B148" s="10">
        <v>129</v>
      </c>
      <c r="C148" s="11" t="s">
        <v>273</v>
      </c>
      <c r="D148" s="12" t="s">
        <v>270</v>
      </c>
      <c r="E148" s="12">
        <v>9652029</v>
      </c>
      <c r="F148" s="5" t="s">
        <v>121</v>
      </c>
      <c r="G148" s="5">
        <v>33903036</v>
      </c>
      <c r="H148" s="6" t="s">
        <v>269</v>
      </c>
      <c r="I148" s="7" t="s">
        <v>22</v>
      </c>
      <c r="J148" s="8">
        <f>4.2*50</f>
        <v>210</v>
      </c>
      <c r="K148" s="7" t="s">
        <v>272</v>
      </c>
      <c r="L148" s="8">
        <f>4.84*50</f>
        <v>242</v>
      </c>
      <c r="M148" s="7" t="s">
        <v>141</v>
      </c>
      <c r="N148" s="7">
        <f>40.3*5</f>
        <v>201.5</v>
      </c>
      <c r="O148" s="13"/>
      <c r="P148" s="13"/>
      <c r="Q148" s="13"/>
      <c r="R148" s="13"/>
      <c r="S148" s="56">
        <f t="shared" si="23"/>
        <v>201.5</v>
      </c>
      <c r="T148" s="14">
        <f t="shared" si="24"/>
        <v>217.83</v>
      </c>
      <c r="U148" s="14">
        <f t="shared" si="25"/>
        <v>210</v>
      </c>
      <c r="V148" s="15">
        <f t="shared" si="26"/>
        <v>9.8038749665030872E-2</v>
      </c>
      <c r="W148" s="9">
        <f t="shared" si="27"/>
        <v>217.83</v>
      </c>
      <c r="X148" s="9">
        <f t="shared" ref="X148:X220" si="28">IF(V148&lt;=25%,T148,U148)*H148</f>
        <v>4356.6000000000004</v>
      </c>
      <c r="Y148" s="85"/>
    </row>
    <row r="149" spans="1:25" ht="78.75" x14ac:dyDescent="0.25">
      <c r="A149" s="90"/>
      <c r="B149" s="10">
        <v>130</v>
      </c>
      <c r="C149" s="11" t="s">
        <v>271</v>
      </c>
      <c r="D149" s="12" t="s">
        <v>270</v>
      </c>
      <c r="E149" s="12">
        <v>9652028</v>
      </c>
      <c r="F149" s="5" t="s">
        <v>121</v>
      </c>
      <c r="G149" s="5">
        <v>33903036</v>
      </c>
      <c r="H149" s="16" t="s">
        <v>269</v>
      </c>
      <c r="I149" s="17" t="s">
        <v>22</v>
      </c>
      <c r="J149" s="8">
        <f>4.45*50</f>
        <v>222.5</v>
      </c>
      <c r="K149" s="17" t="s">
        <v>154</v>
      </c>
      <c r="L149" s="8">
        <f>4.16*50</f>
        <v>208</v>
      </c>
      <c r="M149" s="17" t="s">
        <v>268</v>
      </c>
      <c r="N149" s="7">
        <f>7.55*50</f>
        <v>377.5</v>
      </c>
      <c r="O149" s="13"/>
      <c r="P149" s="13"/>
      <c r="Q149" s="13"/>
      <c r="R149" s="13"/>
      <c r="S149" s="18">
        <f t="shared" si="23"/>
        <v>208</v>
      </c>
      <c r="T149" s="14">
        <f t="shared" si="24"/>
        <v>269.33</v>
      </c>
      <c r="U149" s="14">
        <f t="shared" si="25"/>
        <v>222.5</v>
      </c>
      <c r="V149" s="15">
        <f t="shared" si="26"/>
        <v>0.34884363798326018</v>
      </c>
      <c r="W149" s="9">
        <f t="shared" si="27"/>
        <v>222.5</v>
      </c>
      <c r="X149" s="9">
        <f t="shared" si="28"/>
        <v>4450</v>
      </c>
      <c r="Y149" s="85"/>
    </row>
    <row r="150" spans="1:25" ht="63" x14ac:dyDescent="0.25">
      <c r="A150" s="90"/>
      <c r="B150" s="10">
        <v>131</v>
      </c>
      <c r="C150" s="11" t="s">
        <v>287</v>
      </c>
      <c r="D150" s="12" t="s">
        <v>270</v>
      </c>
      <c r="E150" s="12">
        <v>9652163</v>
      </c>
      <c r="F150" s="12" t="s">
        <v>20</v>
      </c>
      <c r="G150" s="5">
        <v>33903036</v>
      </c>
      <c r="H150" s="6" t="s">
        <v>286</v>
      </c>
      <c r="I150" s="7" t="s">
        <v>250</v>
      </c>
      <c r="J150" s="8">
        <v>24</v>
      </c>
      <c r="K150" s="7" t="s">
        <v>285</v>
      </c>
      <c r="L150" s="7">
        <f>25.9</f>
        <v>25.9</v>
      </c>
      <c r="M150" s="21" t="s">
        <v>284</v>
      </c>
      <c r="N150" s="8">
        <f>27</f>
        <v>27</v>
      </c>
      <c r="O150" s="13"/>
      <c r="P150" s="13"/>
      <c r="Q150" s="13"/>
      <c r="R150" s="13"/>
      <c r="S150" s="18">
        <f t="shared" si="23"/>
        <v>24</v>
      </c>
      <c r="T150" s="14">
        <f t="shared" si="24"/>
        <v>25.63</v>
      </c>
      <c r="U150" s="14">
        <f t="shared" si="25"/>
        <v>25.9</v>
      </c>
      <c r="V150" s="15">
        <f t="shared" si="26"/>
        <v>5.9207034787163632E-2</v>
      </c>
      <c r="W150" s="9">
        <f t="shared" si="27"/>
        <v>25.63</v>
      </c>
      <c r="X150" s="9">
        <f t="shared" si="28"/>
        <v>2563</v>
      </c>
      <c r="Y150" s="85"/>
    </row>
    <row r="151" spans="1:25" ht="63" x14ac:dyDescent="0.25">
      <c r="A151" s="90"/>
      <c r="B151" s="10">
        <v>132</v>
      </c>
      <c r="C151" s="11" t="s">
        <v>283</v>
      </c>
      <c r="D151" s="12" t="s">
        <v>270</v>
      </c>
      <c r="E151" s="12">
        <v>9652163</v>
      </c>
      <c r="F151" s="12" t="s">
        <v>20</v>
      </c>
      <c r="G151" s="5">
        <v>33903036</v>
      </c>
      <c r="H151" s="6" t="s">
        <v>269</v>
      </c>
      <c r="I151" s="7" t="s">
        <v>250</v>
      </c>
      <c r="J151" s="8">
        <v>24</v>
      </c>
      <c r="K151" s="17" t="s">
        <v>282</v>
      </c>
      <c r="L151" s="7">
        <v>30.35</v>
      </c>
      <c r="M151" s="17" t="s">
        <v>282</v>
      </c>
      <c r="N151" s="8">
        <v>28.05</v>
      </c>
      <c r="O151" s="13"/>
      <c r="P151" s="13"/>
      <c r="Q151" s="13"/>
      <c r="R151" s="13"/>
      <c r="S151" s="18">
        <f t="shared" si="23"/>
        <v>24</v>
      </c>
      <c r="T151" s="14">
        <f t="shared" si="24"/>
        <v>27.46</v>
      </c>
      <c r="U151" s="14">
        <f t="shared" si="25"/>
        <v>28.05</v>
      </c>
      <c r="V151" s="15">
        <f t="shared" si="26"/>
        <v>0.11704875316868146</v>
      </c>
      <c r="W151" s="9">
        <f t="shared" si="27"/>
        <v>27.46</v>
      </c>
      <c r="X151" s="9">
        <f t="shared" si="28"/>
        <v>549.20000000000005</v>
      </c>
      <c r="Y151" s="85"/>
    </row>
    <row r="152" spans="1:25" ht="63" x14ac:dyDescent="0.25">
      <c r="A152" s="90"/>
      <c r="B152" s="10">
        <v>133</v>
      </c>
      <c r="C152" s="11" t="s">
        <v>281</v>
      </c>
      <c r="D152" s="12" t="s">
        <v>270</v>
      </c>
      <c r="E152" s="12">
        <v>9652004</v>
      </c>
      <c r="F152" s="12" t="s">
        <v>121</v>
      </c>
      <c r="G152" s="5">
        <v>33903036</v>
      </c>
      <c r="H152" s="6" t="s">
        <v>266</v>
      </c>
      <c r="I152" s="21" t="s">
        <v>21</v>
      </c>
      <c r="J152" s="8">
        <f>0.78*100</f>
        <v>78</v>
      </c>
      <c r="K152" s="21" t="s">
        <v>21</v>
      </c>
      <c r="L152" s="26">
        <f>0.95*100</f>
        <v>95</v>
      </c>
      <c r="M152" s="21" t="s">
        <v>21</v>
      </c>
      <c r="N152" s="7">
        <f>0.82*100</f>
        <v>82</v>
      </c>
      <c r="O152" s="13"/>
      <c r="P152" s="13"/>
      <c r="Q152" s="13"/>
      <c r="R152" s="13"/>
      <c r="S152" s="18">
        <f t="shared" si="23"/>
        <v>78</v>
      </c>
      <c r="T152" s="14">
        <f t="shared" si="24"/>
        <v>85</v>
      </c>
      <c r="U152" s="14">
        <f t="shared" si="25"/>
        <v>82</v>
      </c>
      <c r="V152" s="15">
        <f t="shared" si="26"/>
        <v>0.10456699314488928</v>
      </c>
      <c r="W152" s="9">
        <f t="shared" si="27"/>
        <v>85</v>
      </c>
      <c r="X152" s="9">
        <f t="shared" si="28"/>
        <v>170</v>
      </c>
      <c r="Y152" s="85"/>
    </row>
    <row r="153" spans="1:25" ht="63" x14ac:dyDescent="0.25">
      <c r="A153" s="90"/>
      <c r="B153" s="10">
        <v>134</v>
      </c>
      <c r="C153" s="11" t="s">
        <v>280</v>
      </c>
      <c r="D153" s="12" t="s">
        <v>270</v>
      </c>
      <c r="E153" s="12">
        <v>9652005</v>
      </c>
      <c r="F153" s="12" t="s">
        <v>121</v>
      </c>
      <c r="G153" s="5">
        <v>33903036</v>
      </c>
      <c r="H153" s="6" t="s">
        <v>266</v>
      </c>
      <c r="I153" s="21" t="s">
        <v>21</v>
      </c>
      <c r="J153" s="8">
        <f>0.98*100</f>
        <v>98</v>
      </c>
      <c r="K153" s="21" t="s">
        <v>21</v>
      </c>
      <c r="L153" s="8">
        <f>0.96*100</f>
        <v>96</v>
      </c>
      <c r="M153" s="21" t="s">
        <v>21</v>
      </c>
      <c r="N153" s="7">
        <f>0.94*100</f>
        <v>94</v>
      </c>
      <c r="O153" s="13"/>
      <c r="P153" s="13"/>
      <c r="Q153" s="13"/>
      <c r="R153" s="13"/>
      <c r="S153" s="18">
        <f t="shared" si="23"/>
        <v>94</v>
      </c>
      <c r="T153" s="14">
        <f t="shared" si="24"/>
        <v>96</v>
      </c>
      <c r="U153" s="14">
        <f t="shared" si="25"/>
        <v>96</v>
      </c>
      <c r="V153" s="15">
        <f t="shared" si="26"/>
        <v>2.0833333333333332E-2</v>
      </c>
      <c r="W153" s="9">
        <f t="shared" si="27"/>
        <v>96</v>
      </c>
      <c r="X153" s="9">
        <f t="shared" si="28"/>
        <v>192</v>
      </c>
      <c r="Y153" s="85"/>
    </row>
    <row r="154" spans="1:25" ht="47.25" x14ac:dyDescent="0.25">
      <c r="A154" s="90"/>
      <c r="B154" s="10">
        <v>135</v>
      </c>
      <c r="C154" s="11" t="s">
        <v>279</v>
      </c>
      <c r="D154" s="12" t="s">
        <v>270</v>
      </c>
      <c r="E154" s="12">
        <v>9652045</v>
      </c>
      <c r="F154" s="12" t="s">
        <v>121</v>
      </c>
      <c r="G154" s="5">
        <v>33903036</v>
      </c>
      <c r="H154" s="6">
        <v>2</v>
      </c>
      <c r="I154" s="7" t="s">
        <v>141</v>
      </c>
      <c r="J154" s="7">
        <f>1.23*50</f>
        <v>61.5</v>
      </c>
      <c r="K154" s="7" t="s">
        <v>141</v>
      </c>
      <c r="L154" s="7">
        <f>1.16*50</f>
        <v>57.999999999999993</v>
      </c>
      <c r="M154" s="7" t="s">
        <v>141</v>
      </c>
      <c r="N154" s="8">
        <f>1.08*50</f>
        <v>54</v>
      </c>
      <c r="O154" s="13"/>
      <c r="P154" s="13"/>
      <c r="Q154" s="13"/>
      <c r="R154" s="13"/>
      <c r="S154" s="18">
        <f t="shared" si="23"/>
        <v>54</v>
      </c>
      <c r="T154" s="14">
        <f t="shared" si="24"/>
        <v>57.83</v>
      </c>
      <c r="U154" s="14">
        <f t="shared" si="25"/>
        <v>58</v>
      </c>
      <c r="V154" s="15">
        <f t="shared" si="26"/>
        <v>6.4889511522753324E-2</v>
      </c>
      <c r="W154" s="9">
        <f t="shared" si="27"/>
        <v>57.83</v>
      </c>
      <c r="X154" s="9">
        <f t="shared" si="28"/>
        <v>115.66</v>
      </c>
      <c r="Y154" s="85"/>
    </row>
    <row r="155" spans="1:25" ht="47.25" x14ac:dyDescent="0.25">
      <c r="A155" s="89"/>
      <c r="B155" s="10">
        <v>136</v>
      </c>
      <c r="C155" s="11" t="s">
        <v>278</v>
      </c>
      <c r="D155" s="12" t="s">
        <v>270</v>
      </c>
      <c r="E155" s="12">
        <v>9652047</v>
      </c>
      <c r="F155" s="12" t="s">
        <v>121</v>
      </c>
      <c r="G155" s="5">
        <v>33903036</v>
      </c>
      <c r="H155" s="6">
        <v>2</v>
      </c>
      <c r="I155" s="7" t="s">
        <v>141</v>
      </c>
      <c r="J155" s="7">
        <f>1*50</f>
        <v>50</v>
      </c>
      <c r="K155" s="7" t="s">
        <v>141</v>
      </c>
      <c r="L155" s="8">
        <f>1.18*50</f>
        <v>59</v>
      </c>
      <c r="M155" s="7" t="s">
        <v>141</v>
      </c>
      <c r="N155" s="8">
        <f>1.12*50</f>
        <v>56.000000000000007</v>
      </c>
      <c r="O155" s="13"/>
      <c r="P155" s="13"/>
      <c r="Q155" s="13"/>
      <c r="R155" s="13"/>
      <c r="S155" s="18">
        <f t="shared" si="23"/>
        <v>50</v>
      </c>
      <c r="T155" s="14">
        <f t="shared" si="24"/>
        <v>55</v>
      </c>
      <c r="U155" s="14">
        <f t="shared" si="25"/>
        <v>56</v>
      </c>
      <c r="V155" s="15">
        <f t="shared" si="26"/>
        <v>8.3319558090106188E-2</v>
      </c>
      <c r="W155" s="9">
        <f t="shared" si="27"/>
        <v>55</v>
      </c>
      <c r="X155" s="9">
        <f t="shared" si="28"/>
        <v>110</v>
      </c>
      <c r="Y155" s="82"/>
    </row>
    <row r="156" spans="1:25" ht="15.75" customHeight="1" x14ac:dyDescent="0.25">
      <c r="A156" s="116"/>
      <c r="B156" s="116"/>
      <c r="C156" s="116"/>
      <c r="D156" s="116"/>
      <c r="E156" s="116"/>
      <c r="F156" s="116"/>
      <c r="G156" s="116"/>
      <c r="H156" s="116"/>
      <c r="I156" s="116"/>
      <c r="J156" s="116"/>
      <c r="K156" s="116"/>
      <c r="L156" s="116"/>
      <c r="M156" s="116"/>
      <c r="N156" s="116"/>
      <c r="O156" s="116"/>
      <c r="P156" s="116"/>
      <c r="Q156" s="116"/>
      <c r="R156" s="116"/>
      <c r="S156" s="116"/>
      <c r="T156" s="116"/>
      <c r="U156" s="116"/>
      <c r="V156" s="117"/>
      <c r="W156" s="74"/>
      <c r="X156" s="74"/>
      <c r="Y156" s="74"/>
    </row>
    <row r="157" spans="1:25" ht="63" x14ac:dyDescent="0.25">
      <c r="A157" s="90">
        <v>18</v>
      </c>
      <c r="B157" s="10">
        <v>137</v>
      </c>
      <c r="C157" s="11" t="s">
        <v>293</v>
      </c>
      <c r="D157" s="5" t="s">
        <v>290</v>
      </c>
      <c r="E157" s="5">
        <v>9610047</v>
      </c>
      <c r="F157" s="5" t="s">
        <v>121</v>
      </c>
      <c r="G157" s="5">
        <v>33903036</v>
      </c>
      <c r="H157" s="6">
        <v>4</v>
      </c>
      <c r="I157" s="61" t="s">
        <v>226</v>
      </c>
      <c r="J157" s="59">
        <v>139</v>
      </c>
      <c r="K157" s="7" t="s">
        <v>21</v>
      </c>
      <c r="L157" s="8">
        <v>124</v>
      </c>
      <c r="M157" s="7" t="s">
        <v>292</v>
      </c>
      <c r="N157" s="7">
        <v>169</v>
      </c>
      <c r="O157" s="58"/>
      <c r="P157" s="58"/>
      <c r="Q157" s="58"/>
      <c r="R157" s="58"/>
      <c r="S157" s="56">
        <f t="shared" si="23"/>
        <v>124</v>
      </c>
      <c r="T157" s="56">
        <f t="shared" si="24"/>
        <v>144</v>
      </c>
      <c r="U157" s="56">
        <f t="shared" si="25"/>
        <v>139</v>
      </c>
      <c r="V157" s="55">
        <f t="shared" si="26"/>
        <v>0.15911721163041109</v>
      </c>
      <c r="W157" s="9">
        <f t="shared" si="27"/>
        <v>144</v>
      </c>
      <c r="X157" s="9">
        <f t="shared" si="28"/>
        <v>576</v>
      </c>
      <c r="Y157" s="81">
        <v>4852.78</v>
      </c>
    </row>
    <row r="158" spans="1:25" ht="63" x14ac:dyDescent="0.25">
      <c r="A158" s="90"/>
      <c r="B158" s="10">
        <v>138</v>
      </c>
      <c r="C158" s="24" t="s">
        <v>291</v>
      </c>
      <c r="D158" s="5" t="s">
        <v>290</v>
      </c>
      <c r="E158" s="5">
        <v>9610017</v>
      </c>
      <c r="F158" s="5" t="s">
        <v>20</v>
      </c>
      <c r="G158" s="5">
        <v>33903036</v>
      </c>
      <c r="H158" s="6">
        <v>4</v>
      </c>
      <c r="I158" s="7" t="s">
        <v>22</v>
      </c>
      <c r="J158" s="8">
        <f>4.73*100</f>
        <v>473.00000000000006</v>
      </c>
      <c r="K158" s="7" t="s">
        <v>22</v>
      </c>
      <c r="L158" s="8">
        <f>3.29*100</f>
        <v>329</v>
      </c>
      <c r="M158" s="7" t="s">
        <v>22</v>
      </c>
      <c r="N158" s="7">
        <f>4.76*100</f>
        <v>476</v>
      </c>
      <c r="O158" s="66"/>
      <c r="P158" s="66"/>
      <c r="Q158" s="67"/>
      <c r="R158" s="67"/>
      <c r="S158" s="56">
        <f t="shared" si="23"/>
        <v>329</v>
      </c>
      <c r="T158" s="56">
        <f t="shared" si="24"/>
        <v>426</v>
      </c>
      <c r="U158" s="56">
        <f t="shared" si="25"/>
        <v>473</v>
      </c>
      <c r="V158" s="55">
        <f t="shared" si="26"/>
        <v>0.19722501231262882</v>
      </c>
      <c r="W158" s="9">
        <f t="shared" si="27"/>
        <v>426</v>
      </c>
      <c r="X158" s="9">
        <f t="shared" si="28"/>
        <v>1704</v>
      </c>
      <c r="Y158" s="85"/>
    </row>
    <row r="159" spans="1:25" ht="63" x14ac:dyDescent="0.25">
      <c r="A159" s="90"/>
      <c r="B159" s="10">
        <v>139</v>
      </c>
      <c r="C159" s="11" t="s">
        <v>289</v>
      </c>
      <c r="D159" s="5" t="s">
        <v>288</v>
      </c>
      <c r="E159" s="5">
        <v>9679033</v>
      </c>
      <c r="F159" s="5" t="s">
        <v>213</v>
      </c>
      <c r="G159" s="5">
        <v>33903036</v>
      </c>
      <c r="H159" s="6">
        <v>10</v>
      </c>
      <c r="I159" s="7" t="s">
        <v>184</v>
      </c>
      <c r="J159" s="8">
        <v>22.95</v>
      </c>
      <c r="K159" s="7" t="s">
        <v>22</v>
      </c>
      <c r="L159" s="8">
        <v>18.32</v>
      </c>
      <c r="M159" s="7" t="s">
        <v>22</v>
      </c>
      <c r="N159" s="7">
        <v>17</v>
      </c>
      <c r="O159" s="66"/>
      <c r="P159" s="66"/>
      <c r="Q159" s="66"/>
      <c r="R159" s="66"/>
      <c r="S159" s="56">
        <f t="shared" si="23"/>
        <v>17</v>
      </c>
      <c r="T159" s="56">
        <f t="shared" si="24"/>
        <v>19.420000000000002</v>
      </c>
      <c r="U159" s="56">
        <f t="shared" si="25"/>
        <v>18.32</v>
      </c>
      <c r="V159" s="55">
        <f t="shared" si="26"/>
        <v>0.16087255794151095</v>
      </c>
      <c r="W159" s="9">
        <f t="shared" si="27"/>
        <v>19.420000000000002</v>
      </c>
      <c r="X159" s="9">
        <f t="shared" si="28"/>
        <v>194.20000000000002</v>
      </c>
      <c r="Y159" s="85"/>
    </row>
    <row r="160" spans="1:25" ht="63" x14ac:dyDescent="0.25">
      <c r="A160" s="90"/>
      <c r="B160" s="10">
        <v>140</v>
      </c>
      <c r="C160" s="11" t="s">
        <v>302</v>
      </c>
      <c r="D160" s="12" t="s">
        <v>290</v>
      </c>
      <c r="E160" s="12">
        <v>9610036</v>
      </c>
      <c r="F160" s="12" t="s">
        <v>121</v>
      </c>
      <c r="G160" s="5">
        <v>33903036</v>
      </c>
      <c r="H160" s="6" t="s">
        <v>201</v>
      </c>
      <c r="I160" s="7" t="s">
        <v>226</v>
      </c>
      <c r="J160" s="8">
        <v>139</v>
      </c>
      <c r="K160" s="7" t="s">
        <v>250</v>
      </c>
      <c r="L160" s="8">
        <v>140</v>
      </c>
      <c r="M160" s="7" t="s">
        <v>301</v>
      </c>
      <c r="N160" s="7">
        <f>149</f>
        <v>149</v>
      </c>
      <c r="O160" s="13"/>
      <c r="P160" s="13"/>
      <c r="Q160" s="13"/>
      <c r="R160" s="13"/>
      <c r="S160" s="18">
        <f t="shared" si="23"/>
        <v>139</v>
      </c>
      <c r="T160" s="14">
        <f t="shared" si="24"/>
        <v>142.66</v>
      </c>
      <c r="U160" s="14">
        <f t="shared" si="25"/>
        <v>140</v>
      </c>
      <c r="V160" s="15">
        <f t="shared" si="26"/>
        <v>3.8604466452939967E-2</v>
      </c>
      <c r="W160" s="9">
        <f t="shared" si="27"/>
        <v>142.66</v>
      </c>
      <c r="X160" s="9">
        <f t="shared" si="28"/>
        <v>570.64</v>
      </c>
      <c r="Y160" s="85"/>
    </row>
    <row r="161" spans="1:25" ht="63" x14ac:dyDescent="0.25">
      <c r="A161" s="90"/>
      <c r="B161" s="10">
        <v>141</v>
      </c>
      <c r="C161" s="11" t="s">
        <v>300</v>
      </c>
      <c r="D161" s="12" t="s">
        <v>210</v>
      </c>
      <c r="E161" s="12">
        <v>118338001</v>
      </c>
      <c r="F161" s="12" t="s">
        <v>121</v>
      </c>
      <c r="G161" s="5">
        <v>33903036</v>
      </c>
      <c r="H161" s="6" t="s">
        <v>299</v>
      </c>
      <c r="I161" s="17" t="s">
        <v>250</v>
      </c>
      <c r="J161" s="8">
        <v>140</v>
      </c>
      <c r="K161" s="17" t="s">
        <v>23</v>
      </c>
      <c r="L161" s="8">
        <v>159</v>
      </c>
      <c r="M161" s="17" t="s">
        <v>298</v>
      </c>
      <c r="N161" s="7">
        <f>2.01*100</f>
        <v>200.99999999999997</v>
      </c>
      <c r="O161" s="13"/>
      <c r="P161" s="13"/>
      <c r="Q161" s="13"/>
      <c r="R161" s="13"/>
      <c r="S161" s="18">
        <f t="shared" si="23"/>
        <v>140</v>
      </c>
      <c r="T161" s="14">
        <f t="shared" si="24"/>
        <v>166.66</v>
      </c>
      <c r="U161" s="14">
        <f t="shared" si="25"/>
        <v>159</v>
      </c>
      <c r="V161" s="15">
        <f t="shared" si="26"/>
        <v>0.18728587773775104</v>
      </c>
      <c r="W161" s="9">
        <f t="shared" si="27"/>
        <v>166.66</v>
      </c>
      <c r="X161" s="9">
        <f t="shared" si="28"/>
        <v>833.3</v>
      </c>
      <c r="Y161" s="85"/>
    </row>
    <row r="162" spans="1:25" ht="31.5" x14ac:dyDescent="0.25">
      <c r="A162" s="90"/>
      <c r="B162" s="10">
        <v>142</v>
      </c>
      <c r="C162" s="11" t="s">
        <v>297</v>
      </c>
      <c r="D162" s="12" t="s">
        <v>290</v>
      </c>
      <c r="E162" s="12">
        <v>9610010</v>
      </c>
      <c r="F162" s="12" t="s">
        <v>20</v>
      </c>
      <c r="G162" s="5">
        <v>33903036</v>
      </c>
      <c r="H162" s="6" t="s">
        <v>286</v>
      </c>
      <c r="I162" s="21" t="s">
        <v>208</v>
      </c>
      <c r="J162" s="8">
        <f>6</f>
        <v>6</v>
      </c>
      <c r="K162" s="21" t="s">
        <v>195</v>
      </c>
      <c r="L162" s="7">
        <f>9.9</f>
        <v>9.9</v>
      </c>
      <c r="M162" s="21" t="s">
        <v>296</v>
      </c>
      <c r="N162" s="8">
        <v>8.6199999999999992</v>
      </c>
      <c r="O162" s="13"/>
      <c r="P162" s="13"/>
      <c r="Q162" s="13"/>
      <c r="R162" s="13"/>
      <c r="S162" s="18">
        <f t="shared" si="23"/>
        <v>6</v>
      </c>
      <c r="T162" s="14">
        <f t="shared" si="24"/>
        <v>8.17</v>
      </c>
      <c r="U162" s="14">
        <f t="shared" si="25"/>
        <v>8.6199999999999992</v>
      </c>
      <c r="V162" s="15">
        <f t="shared" si="26"/>
        <v>0.24322968807931575</v>
      </c>
      <c r="W162" s="9">
        <f t="shared" si="27"/>
        <v>8.17</v>
      </c>
      <c r="X162" s="9">
        <f t="shared" si="28"/>
        <v>817</v>
      </c>
      <c r="Y162" s="85"/>
    </row>
    <row r="163" spans="1:25" ht="31.5" x14ac:dyDescent="0.25">
      <c r="A163" s="90"/>
      <c r="B163" s="10">
        <v>143</v>
      </c>
      <c r="C163" s="11" t="s">
        <v>295</v>
      </c>
      <c r="D163" s="12" t="s">
        <v>290</v>
      </c>
      <c r="E163" s="12">
        <v>9610009</v>
      </c>
      <c r="F163" s="12" t="s">
        <v>121</v>
      </c>
      <c r="G163" s="5">
        <v>33903036</v>
      </c>
      <c r="H163" s="6">
        <v>2</v>
      </c>
      <c r="I163" s="7" t="s">
        <v>226</v>
      </c>
      <c r="J163" s="8">
        <v>38</v>
      </c>
      <c r="K163" s="7" t="s">
        <v>250</v>
      </c>
      <c r="L163" s="8">
        <v>34</v>
      </c>
      <c r="M163" s="7" t="s">
        <v>294</v>
      </c>
      <c r="N163" s="7">
        <v>35.380000000000003</v>
      </c>
      <c r="O163" s="13"/>
      <c r="P163" s="13"/>
      <c r="Q163" s="13"/>
      <c r="R163" s="13"/>
      <c r="S163" s="18">
        <f t="shared" si="23"/>
        <v>34</v>
      </c>
      <c r="T163" s="14">
        <f t="shared" si="24"/>
        <v>35.79</v>
      </c>
      <c r="U163" s="14">
        <f t="shared" si="25"/>
        <v>35.380000000000003</v>
      </c>
      <c r="V163" s="15">
        <f t="shared" si="26"/>
        <v>5.6764225034691272E-2</v>
      </c>
      <c r="W163" s="9">
        <f t="shared" si="27"/>
        <v>35.79</v>
      </c>
      <c r="X163" s="9">
        <f t="shared" si="28"/>
        <v>71.58</v>
      </c>
      <c r="Y163" s="85"/>
    </row>
    <row r="164" spans="1:25" ht="63" x14ac:dyDescent="0.25">
      <c r="A164" s="90"/>
      <c r="B164" s="10">
        <v>144</v>
      </c>
      <c r="C164" s="11" t="s">
        <v>303</v>
      </c>
      <c r="D164" s="12" t="s">
        <v>157</v>
      </c>
      <c r="E164" s="12">
        <v>79375004</v>
      </c>
      <c r="F164" s="5" t="s">
        <v>121</v>
      </c>
      <c r="G164" s="5">
        <v>33903036</v>
      </c>
      <c r="H164" s="6">
        <v>3</v>
      </c>
      <c r="I164" s="7" t="s">
        <v>154</v>
      </c>
      <c r="J164" s="7">
        <f>0.14*100</f>
        <v>14.000000000000002</v>
      </c>
      <c r="K164" s="7" t="s">
        <v>154</v>
      </c>
      <c r="L164" s="7">
        <f>0.14*100</f>
        <v>14.000000000000002</v>
      </c>
      <c r="M164" s="7" t="s">
        <v>154</v>
      </c>
      <c r="N164" s="8">
        <f>0.17*100</f>
        <v>17</v>
      </c>
      <c r="O164" s="13"/>
      <c r="P164" s="13"/>
      <c r="Q164" s="13"/>
      <c r="R164" s="13"/>
      <c r="S164" s="18">
        <f t="shared" si="23"/>
        <v>14.000000000000002</v>
      </c>
      <c r="T164" s="14">
        <f t="shared" si="24"/>
        <v>15</v>
      </c>
      <c r="U164" s="14">
        <f t="shared" si="25"/>
        <v>14</v>
      </c>
      <c r="V164" s="15">
        <f t="shared" si="26"/>
        <v>0.11547005383792509</v>
      </c>
      <c r="W164" s="9">
        <f t="shared" si="27"/>
        <v>15</v>
      </c>
      <c r="X164" s="9">
        <f t="shared" si="28"/>
        <v>45</v>
      </c>
      <c r="Y164" s="85"/>
    </row>
    <row r="165" spans="1:25" ht="31.5" x14ac:dyDescent="0.25">
      <c r="A165" s="89"/>
      <c r="B165" s="10">
        <v>145</v>
      </c>
      <c r="C165" s="11" t="s">
        <v>305</v>
      </c>
      <c r="D165" s="12" t="s">
        <v>304</v>
      </c>
      <c r="E165" s="12">
        <v>80918348</v>
      </c>
      <c r="F165" s="12" t="s">
        <v>121</v>
      </c>
      <c r="G165" s="5">
        <v>33903036</v>
      </c>
      <c r="H165" s="6">
        <v>2</v>
      </c>
      <c r="I165" s="7" t="s">
        <v>22</v>
      </c>
      <c r="J165" s="7">
        <f>0.92*20</f>
        <v>18.400000000000002</v>
      </c>
      <c r="K165" s="7" t="s">
        <v>22</v>
      </c>
      <c r="L165" s="8">
        <f>1.05*20</f>
        <v>21</v>
      </c>
      <c r="M165" s="7" t="s">
        <v>22</v>
      </c>
      <c r="N165" s="8">
        <f>1.11*20</f>
        <v>22.200000000000003</v>
      </c>
      <c r="O165" s="13"/>
      <c r="P165" s="13"/>
      <c r="Q165" s="13"/>
      <c r="R165" s="13"/>
      <c r="S165" s="18">
        <f t="shared" si="23"/>
        <v>18.400000000000002</v>
      </c>
      <c r="T165" s="14">
        <f t="shared" si="24"/>
        <v>20.53</v>
      </c>
      <c r="U165" s="14">
        <f t="shared" si="25"/>
        <v>21</v>
      </c>
      <c r="V165" s="15">
        <f t="shared" si="26"/>
        <v>9.4602612235931582E-2</v>
      </c>
      <c r="W165" s="9">
        <f t="shared" si="27"/>
        <v>20.53</v>
      </c>
      <c r="X165" s="9">
        <f t="shared" si="28"/>
        <v>41.06</v>
      </c>
      <c r="Y165" s="82"/>
    </row>
    <row r="166" spans="1:25" ht="15.75" customHeight="1" x14ac:dyDescent="0.25">
      <c r="A166" s="83"/>
      <c r="B166" s="83"/>
      <c r="C166" s="83"/>
      <c r="D166" s="83"/>
      <c r="E166" s="83"/>
      <c r="F166" s="83"/>
      <c r="G166" s="83"/>
      <c r="H166" s="83"/>
      <c r="I166" s="83"/>
      <c r="J166" s="83"/>
      <c r="K166" s="83"/>
      <c r="L166" s="83"/>
      <c r="M166" s="83"/>
      <c r="N166" s="83"/>
      <c r="O166" s="83"/>
      <c r="P166" s="83"/>
      <c r="Q166" s="83"/>
      <c r="R166" s="83"/>
      <c r="S166" s="83"/>
      <c r="T166" s="83"/>
      <c r="U166" s="83"/>
      <c r="V166" s="84"/>
      <c r="W166" s="74"/>
      <c r="X166" s="74"/>
      <c r="Y166" s="74"/>
    </row>
    <row r="167" spans="1:25" ht="31.5" x14ac:dyDescent="0.25">
      <c r="A167" s="88">
        <v>19</v>
      </c>
      <c r="B167" s="10">
        <v>146</v>
      </c>
      <c r="C167" s="11" t="s">
        <v>306</v>
      </c>
      <c r="D167" s="12" t="s">
        <v>217</v>
      </c>
      <c r="E167" s="12">
        <v>9512095</v>
      </c>
      <c r="F167" s="12" t="s">
        <v>20</v>
      </c>
      <c r="G167" s="5">
        <v>33903036</v>
      </c>
      <c r="H167" s="27" t="s">
        <v>205</v>
      </c>
      <c r="I167" s="17" t="s">
        <v>250</v>
      </c>
      <c r="J167" s="8">
        <v>19.2</v>
      </c>
      <c r="K167" s="17" t="s">
        <v>141</v>
      </c>
      <c r="L167" s="8">
        <v>19</v>
      </c>
      <c r="M167" s="17" t="s">
        <v>141</v>
      </c>
      <c r="N167" s="8">
        <v>22</v>
      </c>
      <c r="O167" s="17" t="s">
        <v>141</v>
      </c>
      <c r="P167" s="8">
        <v>25</v>
      </c>
      <c r="Q167" s="13"/>
      <c r="R167" s="13"/>
      <c r="S167" s="18">
        <f t="shared" si="23"/>
        <v>19</v>
      </c>
      <c r="T167" s="14">
        <f t="shared" si="24"/>
        <v>21.3</v>
      </c>
      <c r="U167" s="14">
        <f t="shared" si="25"/>
        <v>20.6</v>
      </c>
      <c r="V167" s="15">
        <f t="shared" si="26"/>
        <v>0.13245761483254256</v>
      </c>
      <c r="W167" s="9">
        <f t="shared" si="27"/>
        <v>21.3</v>
      </c>
      <c r="X167" s="9">
        <f t="shared" si="28"/>
        <v>106.5</v>
      </c>
      <c r="Y167" s="81">
        <v>345.4</v>
      </c>
    </row>
    <row r="168" spans="1:25" ht="110.25" x14ac:dyDescent="0.25">
      <c r="A168" s="90"/>
      <c r="B168" s="10">
        <v>147</v>
      </c>
      <c r="C168" s="11" t="s">
        <v>309</v>
      </c>
      <c r="D168" s="12" t="s">
        <v>217</v>
      </c>
      <c r="E168" s="12">
        <v>9512138</v>
      </c>
      <c r="F168" s="12" t="s">
        <v>20</v>
      </c>
      <c r="G168" s="5">
        <v>33903036</v>
      </c>
      <c r="H168" s="28">
        <v>10</v>
      </c>
      <c r="I168" s="17" t="s">
        <v>212</v>
      </c>
      <c r="J168" s="8">
        <v>19</v>
      </c>
      <c r="K168" s="17" t="s">
        <v>308</v>
      </c>
      <c r="L168" s="8">
        <v>20.25</v>
      </c>
      <c r="M168" s="17" t="s">
        <v>307</v>
      </c>
      <c r="N168" s="7">
        <v>21.5</v>
      </c>
      <c r="O168" s="13"/>
      <c r="P168" s="13"/>
      <c r="Q168" s="13"/>
      <c r="R168" s="13"/>
      <c r="S168" s="18">
        <f t="shared" si="23"/>
        <v>19</v>
      </c>
      <c r="T168" s="14">
        <f t="shared" si="24"/>
        <v>20.25</v>
      </c>
      <c r="U168" s="14">
        <f t="shared" si="25"/>
        <v>20.25</v>
      </c>
      <c r="V168" s="15">
        <f t="shared" si="26"/>
        <v>6.1728395061728392E-2</v>
      </c>
      <c r="W168" s="9">
        <f t="shared" si="27"/>
        <v>20.25</v>
      </c>
      <c r="X168" s="9">
        <f t="shared" si="28"/>
        <v>202.5</v>
      </c>
      <c r="Y168" s="85"/>
    </row>
    <row r="169" spans="1:25" ht="31.5" x14ac:dyDescent="0.25">
      <c r="A169" s="89"/>
      <c r="B169" s="10">
        <v>148</v>
      </c>
      <c r="C169" s="11" t="s">
        <v>310</v>
      </c>
      <c r="D169" s="5" t="s">
        <v>217</v>
      </c>
      <c r="E169" s="5">
        <v>9512130</v>
      </c>
      <c r="F169" s="5" t="s">
        <v>20</v>
      </c>
      <c r="G169" s="5">
        <v>33903036</v>
      </c>
      <c r="H169" s="6" t="s">
        <v>260</v>
      </c>
      <c r="I169" s="7" t="s">
        <v>22</v>
      </c>
      <c r="J169" s="8">
        <v>3</v>
      </c>
      <c r="K169" s="7" t="s">
        <v>22</v>
      </c>
      <c r="L169" s="7">
        <v>3.64</v>
      </c>
      <c r="M169" s="7" t="s">
        <v>22</v>
      </c>
      <c r="N169" s="8">
        <v>4.28</v>
      </c>
      <c r="O169" s="66"/>
      <c r="P169" s="66"/>
      <c r="Q169" s="66"/>
      <c r="R169" s="66"/>
      <c r="S169" s="56">
        <f t="shared" si="23"/>
        <v>3</v>
      </c>
      <c r="T169" s="56">
        <f t="shared" si="24"/>
        <v>3.64</v>
      </c>
      <c r="U169" s="56">
        <f t="shared" si="25"/>
        <v>3.64</v>
      </c>
      <c r="V169" s="55">
        <f t="shared" si="26"/>
        <v>0.17582417582417448</v>
      </c>
      <c r="W169" s="9">
        <f t="shared" si="27"/>
        <v>3.64</v>
      </c>
      <c r="X169" s="9">
        <f t="shared" si="28"/>
        <v>36.4</v>
      </c>
      <c r="Y169" s="82"/>
    </row>
    <row r="170" spans="1:25" ht="15.75" customHeight="1" x14ac:dyDescent="0.25">
      <c r="A170" s="83"/>
      <c r="B170" s="83"/>
      <c r="C170" s="83"/>
      <c r="D170" s="83"/>
      <c r="E170" s="83"/>
      <c r="F170" s="83"/>
      <c r="G170" s="83"/>
      <c r="H170" s="83"/>
      <c r="I170" s="83"/>
      <c r="J170" s="83"/>
      <c r="K170" s="83"/>
      <c r="L170" s="83"/>
      <c r="M170" s="83"/>
      <c r="N170" s="83"/>
      <c r="O170" s="83"/>
      <c r="P170" s="83"/>
      <c r="Q170" s="83"/>
      <c r="R170" s="83"/>
      <c r="S170" s="83"/>
      <c r="T170" s="83"/>
      <c r="U170" s="83"/>
      <c r="V170" s="84"/>
      <c r="W170" s="75"/>
      <c r="X170" s="74"/>
      <c r="Y170" s="74"/>
    </row>
    <row r="171" spans="1:25" ht="78.75" x14ac:dyDescent="0.25">
      <c r="A171" s="88">
        <v>20</v>
      </c>
      <c r="B171" s="10">
        <v>149</v>
      </c>
      <c r="C171" s="11" t="s">
        <v>313</v>
      </c>
      <c r="D171" s="12" t="s">
        <v>311</v>
      </c>
      <c r="E171" s="12">
        <v>9733034</v>
      </c>
      <c r="F171" s="12" t="s">
        <v>121</v>
      </c>
      <c r="G171" s="5">
        <v>33903036</v>
      </c>
      <c r="H171" s="28">
        <v>4</v>
      </c>
      <c r="I171" s="17" t="s">
        <v>226</v>
      </c>
      <c r="J171" s="8">
        <v>25</v>
      </c>
      <c r="K171" s="17" t="s">
        <v>250</v>
      </c>
      <c r="L171" s="8">
        <v>24</v>
      </c>
      <c r="M171" s="17" t="s">
        <v>21</v>
      </c>
      <c r="N171" s="29">
        <v>27.7</v>
      </c>
      <c r="O171" s="13"/>
      <c r="P171" s="13"/>
      <c r="Q171" s="13"/>
      <c r="R171" s="13"/>
      <c r="S171" s="18">
        <f t="shared" si="23"/>
        <v>24</v>
      </c>
      <c r="T171" s="14">
        <f t="shared" si="24"/>
        <v>25.56</v>
      </c>
      <c r="U171" s="14">
        <f t="shared" si="25"/>
        <v>25</v>
      </c>
      <c r="V171" s="15">
        <f t="shared" si="26"/>
        <v>7.4862462685557185E-2</v>
      </c>
      <c r="W171" s="9">
        <f t="shared" si="27"/>
        <v>25.56</v>
      </c>
      <c r="X171" s="9">
        <f t="shared" si="28"/>
        <v>102.24</v>
      </c>
      <c r="Y171" s="91">
        <v>353.34</v>
      </c>
    </row>
    <row r="172" spans="1:25" ht="78.75" x14ac:dyDescent="0.25">
      <c r="A172" s="89"/>
      <c r="B172" s="10">
        <v>150</v>
      </c>
      <c r="C172" s="11" t="s">
        <v>312</v>
      </c>
      <c r="D172" s="12" t="s">
        <v>311</v>
      </c>
      <c r="E172" s="12">
        <v>9733034</v>
      </c>
      <c r="F172" s="12" t="s">
        <v>213</v>
      </c>
      <c r="G172" s="5">
        <v>33903036</v>
      </c>
      <c r="H172" s="28" t="s">
        <v>266</v>
      </c>
      <c r="I172" s="17" t="s">
        <v>154</v>
      </c>
      <c r="J172" s="8">
        <v>126.15</v>
      </c>
      <c r="K172" s="17" t="s">
        <v>154</v>
      </c>
      <c r="L172" s="29">
        <v>124.65</v>
      </c>
      <c r="M172" s="17" t="s">
        <v>154</v>
      </c>
      <c r="N172" s="8">
        <v>125.85</v>
      </c>
      <c r="O172" s="13"/>
      <c r="P172" s="13"/>
      <c r="Q172" s="13"/>
      <c r="R172" s="13"/>
      <c r="S172" s="18">
        <f t="shared" si="23"/>
        <v>124.65</v>
      </c>
      <c r="T172" s="14">
        <f t="shared" si="24"/>
        <v>125.55</v>
      </c>
      <c r="U172" s="14">
        <f t="shared" si="25"/>
        <v>125.85</v>
      </c>
      <c r="V172" s="15">
        <f t="shared" si="26"/>
        <v>6.3219864063669851E-3</v>
      </c>
      <c r="W172" s="9">
        <f t="shared" si="27"/>
        <v>125.55</v>
      </c>
      <c r="X172" s="9">
        <f t="shared" si="28"/>
        <v>251.1</v>
      </c>
      <c r="Y172" s="92"/>
    </row>
    <row r="173" spans="1:25" ht="15.75" customHeight="1" x14ac:dyDescent="0.25">
      <c r="A173" s="79"/>
      <c r="B173" s="79"/>
      <c r="C173" s="79"/>
      <c r="D173" s="79"/>
      <c r="E173" s="79"/>
      <c r="F173" s="79"/>
      <c r="G173" s="79"/>
      <c r="H173" s="79"/>
      <c r="I173" s="79"/>
      <c r="J173" s="79"/>
      <c r="K173" s="79"/>
      <c r="L173" s="79"/>
      <c r="M173" s="79"/>
      <c r="N173" s="79"/>
      <c r="O173" s="79"/>
      <c r="P173" s="79"/>
      <c r="Q173" s="79"/>
      <c r="R173" s="79"/>
      <c r="S173" s="79"/>
      <c r="T173" s="79"/>
      <c r="U173" s="79"/>
      <c r="V173" s="80"/>
      <c r="W173" s="75"/>
      <c r="X173" s="74"/>
      <c r="Y173" s="74"/>
    </row>
    <row r="174" spans="1:25" ht="25.5" x14ac:dyDescent="0.25">
      <c r="A174" s="88">
        <v>21</v>
      </c>
      <c r="B174" s="10">
        <v>151</v>
      </c>
      <c r="C174" s="11" t="s">
        <v>318</v>
      </c>
      <c r="D174" s="12" t="s">
        <v>317</v>
      </c>
      <c r="E174" s="12">
        <v>9687050</v>
      </c>
      <c r="F174" s="12" t="s">
        <v>20</v>
      </c>
      <c r="G174" s="5">
        <v>33903036</v>
      </c>
      <c r="H174" s="6" t="s">
        <v>260</v>
      </c>
      <c r="I174" s="7" t="s">
        <v>184</v>
      </c>
      <c r="J174" s="8">
        <f>21.25</f>
        <v>21.25</v>
      </c>
      <c r="K174" s="7" t="s">
        <v>316</v>
      </c>
      <c r="L174" s="8">
        <f>15</f>
        <v>15</v>
      </c>
      <c r="M174" s="7" t="s">
        <v>21</v>
      </c>
      <c r="N174" s="7">
        <v>17.59</v>
      </c>
      <c r="O174" s="13"/>
      <c r="P174" s="13"/>
      <c r="Q174" s="13"/>
      <c r="R174" s="13"/>
      <c r="S174" s="18">
        <f t="shared" si="23"/>
        <v>15</v>
      </c>
      <c r="T174" s="14">
        <f t="shared" si="24"/>
        <v>17.940000000000001</v>
      </c>
      <c r="U174" s="14">
        <f t="shared" si="25"/>
        <v>17.59</v>
      </c>
      <c r="V174" s="15">
        <f t="shared" si="26"/>
        <v>0.1749755699942912</v>
      </c>
      <c r="W174" s="9">
        <f t="shared" si="27"/>
        <v>17.940000000000001</v>
      </c>
      <c r="X174" s="9">
        <f t="shared" si="28"/>
        <v>179.4</v>
      </c>
      <c r="Y174" s="81">
        <v>620.1</v>
      </c>
    </row>
    <row r="175" spans="1:25" ht="31.5" x14ac:dyDescent="0.25">
      <c r="A175" s="89"/>
      <c r="B175" s="10">
        <v>152</v>
      </c>
      <c r="C175" s="11" t="s">
        <v>315</v>
      </c>
      <c r="D175" s="12" t="s">
        <v>288</v>
      </c>
      <c r="E175" s="12">
        <v>9679088</v>
      </c>
      <c r="F175" s="12" t="s">
        <v>20</v>
      </c>
      <c r="G175" s="5">
        <v>33903036</v>
      </c>
      <c r="H175" s="6" t="s">
        <v>260</v>
      </c>
      <c r="I175" s="7" t="s">
        <v>184</v>
      </c>
      <c r="J175" s="7">
        <f>42.42</f>
        <v>42.42</v>
      </c>
      <c r="K175" s="21" t="s">
        <v>314</v>
      </c>
      <c r="L175" s="8">
        <f>43.79</f>
        <v>43.79</v>
      </c>
      <c r="M175" s="25" t="s">
        <v>21</v>
      </c>
      <c r="N175" s="26">
        <v>46</v>
      </c>
      <c r="O175" s="13"/>
      <c r="P175" s="13"/>
      <c r="Q175" s="13"/>
      <c r="R175" s="13"/>
      <c r="S175" s="18">
        <f t="shared" si="23"/>
        <v>42.42</v>
      </c>
      <c r="T175" s="14">
        <f t="shared" si="24"/>
        <v>44.07</v>
      </c>
      <c r="U175" s="14">
        <f t="shared" si="25"/>
        <v>43.79</v>
      </c>
      <c r="V175" s="15">
        <f t="shared" si="26"/>
        <v>4.0988198564365391E-2</v>
      </c>
      <c r="W175" s="9">
        <f t="shared" si="27"/>
        <v>44.07</v>
      </c>
      <c r="X175" s="9">
        <f t="shared" si="28"/>
        <v>440.7</v>
      </c>
      <c r="Y175" s="82"/>
    </row>
    <row r="176" spans="1:25" ht="15.75" customHeight="1" x14ac:dyDescent="0.25">
      <c r="A176" s="83"/>
      <c r="B176" s="83"/>
      <c r="C176" s="83"/>
      <c r="D176" s="83"/>
      <c r="E176" s="83"/>
      <c r="F176" s="83"/>
      <c r="G176" s="83"/>
      <c r="H176" s="83"/>
      <c r="I176" s="83"/>
      <c r="J176" s="83"/>
      <c r="K176" s="83"/>
      <c r="L176" s="83"/>
      <c r="M176" s="83"/>
      <c r="N176" s="83"/>
      <c r="O176" s="83"/>
      <c r="P176" s="83"/>
      <c r="Q176" s="83"/>
      <c r="R176" s="83"/>
      <c r="S176" s="83"/>
      <c r="T176" s="83"/>
      <c r="U176" s="83"/>
      <c r="V176" s="84"/>
      <c r="W176" s="75"/>
      <c r="X176" s="74"/>
      <c r="Y176" s="74"/>
    </row>
    <row r="177" spans="1:25" ht="47.25" x14ac:dyDescent="0.25">
      <c r="A177" s="88">
        <v>22</v>
      </c>
      <c r="B177" s="10">
        <v>153</v>
      </c>
      <c r="C177" s="11" t="s">
        <v>324</v>
      </c>
      <c r="D177" s="12" t="s">
        <v>320</v>
      </c>
      <c r="E177" s="12">
        <v>9580001</v>
      </c>
      <c r="F177" s="12" t="s">
        <v>121</v>
      </c>
      <c r="G177" s="5">
        <v>33903036</v>
      </c>
      <c r="H177" s="6" t="s">
        <v>156</v>
      </c>
      <c r="I177" s="7" t="s">
        <v>22</v>
      </c>
      <c r="J177" s="7">
        <f>1.37*100</f>
        <v>137</v>
      </c>
      <c r="K177" s="7" t="s">
        <v>22</v>
      </c>
      <c r="L177" s="7">
        <f>1.3*100</f>
        <v>130</v>
      </c>
      <c r="M177" s="7" t="s">
        <v>22</v>
      </c>
      <c r="N177" s="8">
        <f>1.24*100</f>
        <v>124</v>
      </c>
      <c r="O177" s="13"/>
      <c r="P177" s="13"/>
      <c r="Q177" s="13"/>
      <c r="R177" s="13"/>
      <c r="S177" s="18">
        <f t="shared" si="23"/>
        <v>124</v>
      </c>
      <c r="T177" s="14">
        <f t="shared" si="24"/>
        <v>130.33000000000001</v>
      </c>
      <c r="U177" s="14">
        <f t="shared" si="25"/>
        <v>130</v>
      </c>
      <c r="V177" s="15">
        <f t="shared" si="26"/>
        <v>4.9921282086811083E-2</v>
      </c>
      <c r="W177" s="9">
        <f t="shared" si="27"/>
        <v>130.33000000000001</v>
      </c>
      <c r="X177" s="9">
        <f t="shared" si="28"/>
        <v>390.99</v>
      </c>
      <c r="Y177" s="81">
        <v>2270.61</v>
      </c>
    </row>
    <row r="178" spans="1:25" ht="47.25" x14ac:dyDescent="0.25">
      <c r="A178" s="90"/>
      <c r="B178" s="10">
        <v>154</v>
      </c>
      <c r="C178" s="11" t="s">
        <v>323</v>
      </c>
      <c r="D178" s="12" t="s">
        <v>320</v>
      </c>
      <c r="E178" s="12">
        <v>9580002</v>
      </c>
      <c r="F178" s="12" t="s">
        <v>121</v>
      </c>
      <c r="G178" s="5">
        <v>33903036</v>
      </c>
      <c r="H178" s="6" t="s">
        <v>205</v>
      </c>
      <c r="I178" s="7" t="s">
        <v>22</v>
      </c>
      <c r="J178" s="8">
        <f>1.68*100</f>
        <v>168</v>
      </c>
      <c r="K178" s="7" t="s">
        <v>22</v>
      </c>
      <c r="L178" s="8">
        <f>1.46*100</f>
        <v>146</v>
      </c>
      <c r="M178" s="7" t="s">
        <v>22</v>
      </c>
      <c r="N178" s="7">
        <f>1.47*100</f>
        <v>147</v>
      </c>
      <c r="O178" s="13"/>
      <c r="P178" s="13"/>
      <c r="Q178" s="13"/>
      <c r="R178" s="13"/>
      <c r="S178" s="18">
        <f t="shared" si="23"/>
        <v>146</v>
      </c>
      <c r="T178" s="14">
        <f t="shared" si="24"/>
        <v>153.66</v>
      </c>
      <c r="U178" s="14">
        <f t="shared" si="25"/>
        <v>147</v>
      </c>
      <c r="V178" s="15">
        <f t="shared" si="26"/>
        <v>8.0844447520972765E-2</v>
      </c>
      <c r="W178" s="9">
        <f t="shared" si="27"/>
        <v>153.66</v>
      </c>
      <c r="X178" s="9">
        <f t="shared" si="28"/>
        <v>768.3</v>
      </c>
      <c r="Y178" s="85"/>
    </row>
    <row r="179" spans="1:25" ht="47.25" x14ac:dyDescent="0.25">
      <c r="A179" s="90"/>
      <c r="B179" s="10">
        <v>155</v>
      </c>
      <c r="C179" s="11" t="s">
        <v>322</v>
      </c>
      <c r="D179" s="12" t="s">
        <v>320</v>
      </c>
      <c r="E179" s="12">
        <v>9580022</v>
      </c>
      <c r="F179" s="12" t="s">
        <v>121</v>
      </c>
      <c r="G179" s="5">
        <v>33903036</v>
      </c>
      <c r="H179" s="6" t="s">
        <v>266</v>
      </c>
      <c r="I179" s="7" t="s">
        <v>22</v>
      </c>
      <c r="J179" s="8">
        <f>1.6*100</f>
        <v>160</v>
      </c>
      <c r="K179" s="7" t="s">
        <v>22</v>
      </c>
      <c r="L179" s="8">
        <f>1.42*100</f>
        <v>142</v>
      </c>
      <c r="M179" s="7" t="s">
        <v>22</v>
      </c>
      <c r="N179" s="7">
        <f>1.47*100</f>
        <v>147</v>
      </c>
      <c r="O179" s="21" t="s">
        <v>228</v>
      </c>
      <c r="P179" s="8">
        <v>138.87</v>
      </c>
      <c r="Q179" s="21"/>
      <c r="R179" s="8"/>
      <c r="S179" s="18">
        <f t="shared" si="23"/>
        <v>138.87</v>
      </c>
      <c r="T179" s="14">
        <f t="shared" si="24"/>
        <v>146.96</v>
      </c>
      <c r="U179" s="14">
        <f t="shared" si="25"/>
        <v>144.5</v>
      </c>
      <c r="V179" s="15">
        <f t="shared" si="26"/>
        <v>6.3355179637267195E-2</v>
      </c>
      <c r="W179" s="9">
        <f t="shared" si="27"/>
        <v>146.96</v>
      </c>
      <c r="X179" s="9">
        <f t="shared" si="28"/>
        <v>293.92</v>
      </c>
      <c r="Y179" s="85"/>
    </row>
    <row r="180" spans="1:25" ht="47.25" x14ac:dyDescent="0.25">
      <c r="A180" s="90"/>
      <c r="B180" s="10">
        <v>156</v>
      </c>
      <c r="C180" s="11" t="s">
        <v>321</v>
      </c>
      <c r="D180" s="12" t="s">
        <v>320</v>
      </c>
      <c r="E180" s="12">
        <v>9580020</v>
      </c>
      <c r="F180" s="12" t="s">
        <v>121</v>
      </c>
      <c r="G180" s="5">
        <v>33903036</v>
      </c>
      <c r="H180" s="6" t="s">
        <v>201</v>
      </c>
      <c r="I180" s="7" t="s">
        <v>22</v>
      </c>
      <c r="J180" s="8">
        <f>1.48*100</f>
        <v>148</v>
      </c>
      <c r="K180" s="7" t="s">
        <v>22</v>
      </c>
      <c r="L180" s="8">
        <f>1.32*100</f>
        <v>132</v>
      </c>
      <c r="M180" s="7" t="s">
        <v>22</v>
      </c>
      <c r="N180" s="8">
        <f>1.3*100</f>
        <v>130</v>
      </c>
      <c r="O180" s="7" t="s">
        <v>282</v>
      </c>
      <c r="P180" s="8">
        <f>1.25*100</f>
        <v>125</v>
      </c>
      <c r="Q180" s="21" t="s">
        <v>319</v>
      </c>
      <c r="R180" s="8">
        <f>90.89+34.39</f>
        <v>125.28</v>
      </c>
      <c r="S180" s="18">
        <f t="shared" si="23"/>
        <v>125</v>
      </c>
      <c r="T180" s="14">
        <f t="shared" si="24"/>
        <v>132.05000000000001</v>
      </c>
      <c r="U180" s="14">
        <f t="shared" si="25"/>
        <v>130</v>
      </c>
      <c r="V180" s="15">
        <f t="shared" si="26"/>
        <v>7.1252650698334169E-2</v>
      </c>
      <c r="W180" s="9">
        <f t="shared" si="27"/>
        <v>132.05000000000001</v>
      </c>
      <c r="X180" s="9">
        <f t="shared" si="28"/>
        <v>528.20000000000005</v>
      </c>
      <c r="Y180" s="85"/>
    </row>
    <row r="181" spans="1:25" ht="94.5" x14ac:dyDescent="0.25">
      <c r="A181" s="90"/>
      <c r="B181" s="10">
        <v>157</v>
      </c>
      <c r="C181" s="11" t="s">
        <v>328</v>
      </c>
      <c r="D181" s="12" t="s">
        <v>157</v>
      </c>
      <c r="E181" s="12">
        <v>103454008</v>
      </c>
      <c r="F181" s="5" t="s">
        <v>20</v>
      </c>
      <c r="G181" s="5">
        <v>33903036</v>
      </c>
      <c r="H181" s="6" t="s">
        <v>260</v>
      </c>
      <c r="I181" s="21" t="s">
        <v>327</v>
      </c>
      <c r="J181" s="8">
        <v>19.899999999999999</v>
      </c>
      <c r="K181" s="21" t="s">
        <v>326</v>
      </c>
      <c r="L181" s="8">
        <v>19.7</v>
      </c>
      <c r="M181" s="21" t="s">
        <v>325</v>
      </c>
      <c r="N181" s="7">
        <f>22.5</f>
        <v>22.5</v>
      </c>
      <c r="O181" s="13"/>
      <c r="P181" s="13"/>
      <c r="Q181" s="13"/>
      <c r="R181" s="13"/>
      <c r="S181" s="18">
        <f t="shared" si="23"/>
        <v>19.7</v>
      </c>
      <c r="T181" s="14">
        <f t="shared" si="24"/>
        <v>20.7</v>
      </c>
      <c r="U181" s="14">
        <f t="shared" si="25"/>
        <v>19.899999999999999</v>
      </c>
      <c r="V181" s="15">
        <f t="shared" si="26"/>
        <v>7.5461349525668187E-2</v>
      </c>
      <c r="W181" s="9">
        <f t="shared" si="27"/>
        <v>20.7</v>
      </c>
      <c r="X181" s="9">
        <f t="shared" si="28"/>
        <v>207</v>
      </c>
      <c r="Y181" s="85"/>
    </row>
    <row r="182" spans="1:25" ht="31.5" x14ac:dyDescent="0.25">
      <c r="A182" s="89"/>
      <c r="B182" s="10">
        <v>158</v>
      </c>
      <c r="C182" s="11" t="s">
        <v>331</v>
      </c>
      <c r="D182" s="12" t="s">
        <v>165</v>
      </c>
      <c r="E182" s="12">
        <v>78794056</v>
      </c>
      <c r="F182" s="12" t="s">
        <v>121</v>
      </c>
      <c r="G182" s="5">
        <v>33903036</v>
      </c>
      <c r="H182" s="6" t="s">
        <v>216</v>
      </c>
      <c r="I182" s="7" t="s">
        <v>226</v>
      </c>
      <c r="J182" s="8">
        <v>9.6999999999999993</v>
      </c>
      <c r="K182" s="21" t="s">
        <v>330</v>
      </c>
      <c r="L182" s="8">
        <f>7.94</f>
        <v>7.94</v>
      </c>
      <c r="M182" s="21" t="s">
        <v>329</v>
      </c>
      <c r="N182" s="7">
        <f>7.02</f>
        <v>7.02</v>
      </c>
      <c r="O182" s="13"/>
      <c r="P182" s="13"/>
      <c r="Q182" s="13"/>
      <c r="R182" s="13"/>
      <c r="S182" s="18">
        <f t="shared" si="23"/>
        <v>7.02</v>
      </c>
      <c r="T182" s="14">
        <f t="shared" si="24"/>
        <v>8.2200000000000006</v>
      </c>
      <c r="U182" s="14">
        <f t="shared" si="25"/>
        <v>7.94</v>
      </c>
      <c r="V182" s="15">
        <f t="shared" si="26"/>
        <v>0.16566466696398241</v>
      </c>
      <c r="W182" s="9">
        <f t="shared" si="27"/>
        <v>8.2200000000000006</v>
      </c>
      <c r="X182" s="9">
        <f t="shared" si="28"/>
        <v>82.2</v>
      </c>
      <c r="Y182" s="82"/>
    </row>
    <row r="183" spans="1:25" ht="15.75" customHeight="1" x14ac:dyDescent="0.25">
      <c r="A183" s="83"/>
      <c r="B183" s="83"/>
      <c r="C183" s="83"/>
      <c r="D183" s="83"/>
      <c r="E183" s="83"/>
      <c r="F183" s="83"/>
      <c r="G183" s="83"/>
      <c r="H183" s="83"/>
      <c r="I183" s="83"/>
      <c r="J183" s="83"/>
      <c r="K183" s="83"/>
      <c r="L183" s="83"/>
      <c r="M183" s="83"/>
      <c r="N183" s="83"/>
      <c r="O183" s="83"/>
      <c r="P183" s="83"/>
      <c r="Q183" s="83"/>
      <c r="R183" s="83"/>
      <c r="S183" s="83"/>
      <c r="T183" s="83"/>
      <c r="U183" s="83"/>
      <c r="V183" s="84"/>
      <c r="W183" s="75"/>
      <c r="X183" s="74"/>
      <c r="Y183" s="74"/>
    </row>
    <row r="184" spans="1:25" ht="31.5" x14ac:dyDescent="0.25">
      <c r="A184" s="88">
        <v>23</v>
      </c>
      <c r="B184" s="10">
        <v>159</v>
      </c>
      <c r="C184" s="11" t="s">
        <v>338</v>
      </c>
      <c r="D184" s="12" t="s">
        <v>332</v>
      </c>
      <c r="E184" s="12">
        <v>9407202</v>
      </c>
      <c r="F184" s="12" t="s">
        <v>121</v>
      </c>
      <c r="G184" s="12">
        <v>33903036</v>
      </c>
      <c r="H184" s="62" t="s">
        <v>337</v>
      </c>
      <c r="I184" s="21" t="s">
        <v>226</v>
      </c>
      <c r="J184" s="8">
        <v>11</v>
      </c>
      <c r="K184" s="21" t="s">
        <v>22</v>
      </c>
      <c r="L184" s="8">
        <v>8.9600000000000009</v>
      </c>
      <c r="M184" s="21" t="s">
        <v>22</v>
      </c>
      <c r="N184" s="8">
        <v>10.29</v>
      </c>
      <c r="O184" s="21" t="s">
        <v>22</v>
      </c>
      <c r="P184" s="8">
        <v>12</v>
      </c>
      <c r="Q184" s="13"/>
      <c r="R184" s="13"/>
      <c r="S184" s="18">
        <f t="shared" si="23"/>
        <v>8.9600000000000009</v>
      </c>
      <c r="T184" s="14">
        <f t="shared" si="24"/>
        <v>10.56</v>
      </c>
      <c r="U184" s="14">
        <f t="shared" si="25"/>
        <v>10.64</v>
      </c>
      <c r="V184" s="15">
        <f t="shared" si="26"/>
        <v>0.1209968361247734</v>
      </c>
      <c r="W184" s="9">
        <f t="shared" si="27"/>
        <v>10.56</v>
      </c>
      <c r="X184" s="9">
        <f t="shared" si="28"/>
        <v>126.72</v>
      </c>
      <c r="Y184" s="81">
        <v>2487.84</v>
      </c>
    </row>
    <row r="185" spans="1:25" ht="63" x14ac:dyDescent="0.25">
      <c r="A185" s="90"/>
      <c r="B185" s="10">
        <v>160</v>
      </c>
      <c r="C185" s="11" t="s">
        <v>336</v>
      </c>
      <c r="D185" s="12" t="s">
        <v>217</v>
      </c>
      <c r="E185" s="12">
        <v>9679033</v>
      </c>
      <c r="F185" s="12" t="s">
        <v>213</v>
      </c>
      <c r="G185" s="12">
        <v>33903036</v>
      </c>
      <c r="H185" s="62" t="s">
        <v>269</v>
      </c>
      <c r="I185" s="22" t="s">
        <v>335</v>
      </c>
      <c r="J185" s="8">
        <f>6.38</f>
        <v>6.38</v>
      </c>
      <c r="K185" s="22" t="s">
        <v>184</v>
      </c>
      <c r="L185" s="8">
        <v>4.21</v>
      </c>
      <c r="M185" s="22" t="s">
        <v>334</v>
      </c>
      <c r="N185" s="22">
        <v>5.15</v>
      </c>
      <c r="O185" s="13"/>
      <c r="P185" s="13"/>
      <c r="Q185" s="13"/>
      <c r="R185" s="13"/>
      <c r="S185" s="18">
        <f t="shared" si="23"/>
        <v>4.21</v>
      </c>
      <c r="T185" s="14">
        <f t="shared" si="24"/>
        <v>5.24</v>
      </c>
      <c r="U185" s="14">
        <f t="shared" si="25"/>
        <v>5.15</v>
      </c>
      <c r="V185" s="15">
        <f t="shared" si="26"/>
        <v>0.20741261516187218</v>
      </c>
      <c r="W185" s="9">
        <f t="shared" si="27"/>
        <v>5.24</v>
      </c>
      <c r="X185" s="9">
        <f t="shared" si="28"/>
        <v>104.80000000000001</v>
      </c>
      <c r="Y185" s="85"/>
    </row>
    <row r="186" spans="1:25" ht="25.5" x14ac:dyDescent="0.25">
      <c r="A186" s="90"/>
      <c r="B186" s="10">
        <v>161</v>
      </c>
      <c r="C186" s="11" t="s">
        <v>333</v>
      </c>
      <c r="D186" s="12" t="s">
        <v>332</v>
      </c>
      <c r="E186" s="12">
        <v>9407151</v>
      </c>
      <c r="F186" s="12" t="s">
        <v>121</v>
      </c>
      <c r="G186" s="5">
        <v>33903036</v>
      </c>
      <c r="H186" s="62">
        <v>5</v>
      </c>
      <c r="I186" s="68" t="s">
        <v>184</v>
      </c>
      <c r="J186" s="59">
        <f>10.86</f>
        <v>10.86</v>
      </c>
      <c r="K186" s="68" t="s">
        <v>250</v>
      </c>
      <c r="L186" s="59">
        <v>12</v>
      </c>
      <c r="M186" s="21" t="s">
        <v>226</v>
      </c>
      <c r="N186" s="8">
        <v>11</v>
      </c>
      <c r="O186" s="13"/>
      <c r="P186" s="13"/>
      <c r="Q186" s="13"/>
      <c r="R186" s="13"/>
      <c r="S186" s="18">
        <f t="shared" si="23"/>
        <v>10.86</v>
      </c>
      <c r="T186" s="14">
        <f t="shared" si="24"/>
        <v>11.28</v>
      </c>
      <c r="U186" s="14">
        <f t="shared" si="25"/>
        <v>11</v>
      </c>
      <c r="V186" s="15">
        <f t="shared" si="26"/>
        <v>5.5084292649896109E-2</v>
      </c>
      <c r="W186" s="9">
        <f t="shared" si="27"/>
        <v>11.28</v>
      </c>
      <c r="X186" s="9">
        <f t="shared" si="28"/>
        <v>56.4</v>
      </c>
      <c r="Y186" s="85"/>
    </row>
    <row r="187" spans="1:25" ht="47.25" x14ac:dyDescent="0.25">
      <c r="A187" s="90"/>
      <c r="B187" s="10">
        <v>162</v>
      </c>
      <c r="C187" s="11" t="s">
        <v>347</v>
      </c>
      <c r="D187" s="12" t="s">
        <v>339</v>
      </c>
      <c r="E187" s="12">
        <v>9644055</v>
      </c>
      <c r="F187" s="12" t="s">
        <v>121</v>
      </c>
      <c r="G187" s="5">
        <v>33903036</v>
      </c>
      <c r="H187" s="16">
        <v>15</v>
      </c>
      <c r="I187" s="7" t="s">
        <v>226</v>
      </c>
      <c r="J187" s="8">
        <v>45</v>
      </c>
      <c r="K187" s="7" t="s">
        <v>250</v>
      </c>
      <c r="L187" s="8">
        <v>35.6</v>
      </c>
      <c r="M187" s="21" t="s">
        <v>346</v>
      </c>
      <c r="N187" s="8">
        <f>29.59</f>
        <v>29.59</v>
      </c>
      <c r="O187" s="13"/>
      <c r="P187" s="13"/>
      <c r="Q187" s="13"/>
      <c r="R187" s="13"/>
      <c r="S187" s="18">
        <f t="shared" si="23"/>
        <v>29.59</v>
      </c>
      <c r="T187" s="14">
        <f t="shared" si="24"/>
        <v>36.729999999999997</v>
      </c>
      <c r="U187" s="14">
        <f t="shared" si="25"/>
        <v>35.6</v>
      </c>
      <c r="V187" s="15">
        <f t="shared" si="26"/>
        <v>0.21145923516415152</v>
      </c>
      <c r="W187" s="9">
        <f t="shared" si="27"/>
        <v>36.729999999999997</v>
      </c>
      <c r="X187" s="9">
        <f t="shared" si="28"/>
        <v>550.94999999999993</v>
      </c>
      <c r="Y187" s="85"/>
    </row>
    <row r="188" spans="1:25" ht="63" x14ac:dyDescent="0.25">
      <c r="A188" s="90"/>
      <c r="B188" s="10">
        <v>163</v>
      </c>
      <c r="C188" s="11" t="s">
        <v>345</v>
      </c>
      <c r="D188" s="12" t="s">
        <v>339</v>
      </c>
      <c r="E188" s="12">
        <v>9644026</v>
      </c>
      <c r="F188" s="12" t="s">
        <v>121</v>
      </c>
      <c r="G188" s="5">
        <v>33903036</v>
      </c>
      <c r="H188" s="6" t="s">
        <v>201</v>
      </c>
      <c r="I188" s="7" t="s">
        <v>250</v>
      </c>
      <c r="J188" s="8">
        <v>44</v>
      </c>
      <c r="K188" s="21" t="s">
        <v>344</v>
      </c>
      <c r="L188" s="8">
        <f>0.41*100</f>
        <v>41</v>
      </c>
      <c r="M188" s="21" t="s">
        <v>343</v>
      </c>
      <c r="N188" s="7">
        <f>45</f>
        <v>45</v>
      </c>
      <c r="O188" s="17" t="s">
        <v>184</v>
      </c>
      <c r="P188" s="7">
        <f>40.76</f>
        <v>40.76</v>
      </c>
      <c r="Q188" s="13"/>
      <c r="R188" s="13"/>
      <c r="S188" s="18">
        <f t="shared" si="23"/>
        <v>40.76</v>
      </c>
      <c r="T188" s="14">
        <f t="shared" si="24"/>
        <v>42.69</v>
      </c>
      <c r="U188" s="14">
        <f t="shared" si="25"/>
        <v>42.5</v>
      </c>
      <c r="V188" s="15">
        <f t="shared" si="26"/>
        <v>4.9935812517669813E-2</v>
      </c>
      <c r="W188" s="9">
        <f t="shared" si="27"/>
        <v>42.69</v>
      </c>
      <c r="X188" s="9">
        <f t="shared" si="28"/>
        <v>170.76</v>
      </c>
      <c r="Y188" s="85"/>
    </row>
    <row r="189" spans="1:25" ht="63" x14ac:dyDescent="0.25">
      <c r="A189" s="90"/>
      <c r="B189" s="10">
        <v>164</v>
      </c>
      <c r="C189" s="11" t="s">
        <v>342</v>
      </c>
      <c r="D189" s="12" t="s">
        <v>339</v>
      </c>
      <c r="E189" s="12">
        <v>9644027</v>
      </c>
      <c r="F189" s="12" t="s">
        <v>121</v>
      </c>
      <c r="G189" s="5">
        <v>33903036</v>
      </c>
      <c r="H189" s="6" t="s">
        <v>201</v>
      </c>
      <c r="I189" s="7" t="s">
        <v>341</v>
      </c>
      <c r="J189" s="8">
        <f>25.76</f>
        <v>25.76</v>
      </c>
      <c r="K189" s="7" t="s">
        <v>250</v>
      </c>
      <c r="L189" s="8">
        <v>33.200000000000003</v>
      </c>
      <c r="M189" s="7" t="s">
        <v>236</v>
      </c>
      <c r="N189" s="7">
        <f>26.29</f>
        <v>26.29</v>
      </c>
      <c r="O189" s="13"/>
      <c r="P189" s="13"/>
      <c r="Q189" s="13"/>
      <c r="R189" s="13"/>
      <c r="S189" s="18">
        <f t="shared" si="23"/>
        <v>25.76</v>
      </c>
      <c r="T189" s="14">
        <f t="shared" si="24"/>
        <v>28.41</v>
      </c>
      <c r="U189" s="14">
        <f t="shared" si="25"/>
        <v>26.29</v>
      </c>
      <c r="V189" s="15">
        <f t="shared" si="26"/>
        <v>0.14607468785618027</v>
      </c>
      <c r="W189" s="9">
        <f t="shared" si="27"/>
        <v>28.41</v>
      </c>
      <c r="X189" s="9">
        <f t="shared" si="28"/>
        <v>113.64</v>
      </c>
      <c r="Y189" s="85"/>
    </row>
    <row r="190" spans="1:25" ht="47.25" x14ac:dyDescent="0.25">
      <c r="A190" s="90"/>
      <c r="B190" s="10">
        <v>165</v>
      </c>
      <c r="C190" s="11" t="s">
        <v>340</v>
      </c>
      <c r="D190" s="12" t="s">
        <v>339</v>
      </c>
      <c r="E190" s="12">
        <v>9644051</v>
      </c>
      <c r="F190" s="12" t="s">
        <v>121</v>
      </c>
      <c r="G190" s="5">
        <v>33903036</v>
      </c>
      <c r="H190" s="6" t="s">
        <v>205</v>
      </c>
      <c r="I190" s="7" t="s">
        <v>226</v>
      </c>
      <c r="J190" s="8">
        <f>0.9*30</f>
        <v>27</v>
      </c>
      <c r="K190" s="7" t="s">
        <v>250</v>
      </c>
      <c r="L190" s="8">
        <v>33.200000000000003</v>
      </c>
      <c r="M190" s="7" t="s">
        <v>21</v>
      </c>
      <c r="N190" s="7">
        <v>33</v>
      </c>
      <c r="O190" s="13"/>
      <c r="P190" s="13"/>
      <c r="Q190" s="13"/>
      <c r="R190" s="13"/>
      <c r="S190" s="18">
        <f t="shared" si="23"/>
        <v>27</v>
      </c>
      <c r="T190" s="14">
        <f t="shared" si="24"/>
        <v>31.06</v>
      </c>
      <c r="U190" s="14">
        <f t="shared" si="25"/>
        <v>33</v>
      </c>
      <c r="V190" s="15">
        <f t="shared" si="26"/>
        <v>0.11340953014355207</v>
      </c>
      <c r="W190" s="9">
        <f t="shared" si="27"/>
        <v>31.06</v>
      </c>
      <c r="X190" s="9">
        <f t="shared" si="28"/>
        <v>155.29999999999998</v>
      </c>
      <c r="Y190" s="85"/>
    </row>
    <row r="191" spans="1:25" ht="63" x14ac:dyDescent="0.25">
      <c r="A191" s="90"/>
      <c r="B191" s="10">
        <v>166</v>
      </c>
      <c r="C191" s="11" t="s">
        <v>348</v>
      </c>
      <c r="D191" s="12" t="s">
        <v>349</v>
      </c>
      <c r="E191" s="12">
        <v>35300025</v>
      </c>
      <c r="F191" s="12" t="s">
        <v>121</v>
      </c>
      <c r="G191" s="12">
        <v>33903035</v>
      </c>
      <c r="H191" s="43">
        <v>3</v>
      </c>
      <c r="I191" s="21" t="s">
        <v>350</v>
      </c>
      <c r="J191" s="7">
        <v>269</v>
      </c>
      <c r="K191" s="7" t="s">
        <v>37</v>
      </c>
      <c r="L191" s="7">
        <v>260.55</v>
      </c>
      <c r="M191" s="7" t="s">
        <v>351</v>
      </c>
      <c r="N191" s="7">
        <v>298.97000000000003</v>
      </c>
      <c r="O191" s="13"/>
      <c r="P191" s="13"/>
      <c r="Q191" s="13"/>
      <c r="R191" s="13"/>
      <c r="S191" s="18">
        <f t="shared" si="23"/>
        <v>260.55</v>
      </c>
      <c r="T191" s="14">
        <f t="shared" si="24"/>
        <v>276.17</v>
      </c>
      <c r="U191" s="14">
        <f t="shared" si="25"/>
        <v>269</v>
      </c>
      <c r="V191" s="15">
        <f t="shared" si="26"/>
        <v>7.31045161519433E-2</v>
      </c>
      <c r="W191" s="9">
        <f t="shared" si="27"/>
        <v>276.17</v>
      </c>
      <c r="X191" s="9">
        <f t="shared" si="28"/>
        <v>828.51</v>
      </c>
      <c r="Y191" s="85"/>
    </row>
    <row r="192" spans="1:25" ht="15.75" x14ac:dyDescent="0.25">
      <c r="A192" s="90"/>
      <c r="B192" s="10">
        <v>167</v>
      </c>
      <c r="C192" s="11" t="s">
        <v>352</v>
      </c>
      <c r="D192" s="12" t="s">
        <v>25</v>
      </c>
      <c r="E192" s="12">
        <v>122483329</v>
      </c>
      <c r="F192" s="12" t="s">
        <v>20</v>
      </c>
      <c r="G192" s="12">
        <v>33903035</v>
      </c>
      <c r="H192" s="43">
        <v>4</v>
      </c>
      <c r="I192" s="21" t="s">
        <v>353</v>
      </c>
      <c r="J192" s="7">
        <v>33.159999999999997</v>
      </c>
      <c r="K192" s="7" t="s">
        <v>354</v>
      </c>
      <c r="L192" s="7">
        <v>30.18</v>
      </c>
      <c r="M192" s="7" t="s">
        <v>56</v>
      </c>
      <c r="N192" s="7">
        <v>31.4</v>
      </c>
      <c r="O192" s="13"/>
      <c r="P192" s="13"/>
      <c r="Q192" s="13"/>
      <c r="R192" s="13"/>
      <c r="S192" s="18">
        <f t="shared" si="23"/>
        <v>30.18</v>
      </c>
      <c r="T192" s="14">
        <f t="shared" si="24"/>
        <v>31.58</v>
      </c>
      <c r="U192" s="14">
        <f t="shared" si="25"/>
        <v>31.4</v>
      </c>
      <c r="V192" s="15">
        <f t="shared" si="26"/>
        <v>4.7439270753774507E-2</v>
      </c>
      <c r="W192" s="9">
        <f t="shared" si="27"/>
        <v>31.58</v>
      </c>
      <c r="X192" s="9">
        <f t="shared" si="28"/>
        <v>126.32</v>
      </c>
      <c r="Y192" s="85"/>
    </row>
    <row r="193" spans="1:25" ht="94.5" x14ac:dyDescent="0.25">
      <c r="A193" s="90"/>
      <c r="B193" s="10">
        <v>168</v>
      </c>
      <c r="C193" s="11" t="s">
        <v>355</v>
      </c>
      <c r="D193" s="12" t="s">
        <v>356</v>
      </c>
      <c r="E193" s="12">
        <v>85375002</v>
      </c>
      <c r="F193" s="12" t="s">
        <v>20</v>
      </c>
      <c r="G193" s="12">
        <v>33903036</v>
      </c>
      <c r="H193" s="43">
        <v>10</v>
      </c>
      <c r="I193" s="21" t="s">
        <v>21</v>
      </c>
      <c r="J193" s="7">
        <v>10.029999999999999</v>
      </c>
      <c r="K193" s="21" t="s">
        <v>21</v>
      </c>
      <c r="L193" s="7">
        <v>10.26</v>
      </c>
      <c r="M193" s="21" t="s">
        <v>21</v>
      </c>
      <c r="N193" s="7">
        <v>10.25</v>
      </c>
      <c r="O193" s="7"/>
      <c r="P193" s="13"/>
      <c r="Q193" s="13"/>
      <c r="R193" s="13"/>
      <c r="S193" s="18">
        <f t="shared" si="23"/>
        <v>10.029999999999999</v>
      </c>
      <c r="T193" s="14">
        <f t="shared" si="24"/>
        <v>10.18</v>
      </c>
      <c r="U193" s="14">
        <f t="shared" si="25"/>
        <v>10.25</v>
      </c>
      <c r="V193" s="15">
        <f t="shared" si="26"/>
        <v>1.2770137524557988E-2</v>
      </c>
      <c r="W193" s="9">
        <f t="shared" si="27"/>
        <v>10.18</v>
      </c>
      <c r="X193" s="9">
        <f t="shared" si="28"/>
        <v>101.8</v>
      </c>
      <c r="Y193" s="85"/>
    </row>
    <row r="194" spans="1:25" ht="47.25" x14ac:dyDescent="0.25">
      <c r="A194" s="89"/>
      <c r="B194" s="10">
        <v>169</v>
      </c>
      <c r="C194" s="11" t="s">
        <v>357</v>
      </c>
      <c r="D194" s="12" t="s">
        <v>165</v>
      </c>
      <c r="E194" s="12">
        <v>48160003</v>
      </c>
      <c r="F194" s="12" t="s">
        <v>121</v>
      </c>
      <c r="G194" s="5">
        <v>33903036</v>
      </c>
      <c r="H194" s="6" t="s">
        <v>201</v>
      </c>
      <c r="I194" s="7" t="s">
        <v>154</v>
      </c>
      <c r="J194" s="8">
        <f>0.6*50</f>
        <v>30</v>
      </c>
      <c r="K194" s="7" t="s">
        <v>154</v>
      </c>
      <c r="L194" s="8">
        <f>0.84*50</f>
        <v>42</v>
      </c>
      <c r="M194" s="7" t="s">
        <v>154</v>
      </c>
      <c r="N194" s="8">
        <f>0.85*50</f>
        <v>42.5</v>
      </c>
      <c r="O194" s="13"/>
      <c r="P194" s="13"/>
      <c r="Q194" s="13"/>
      <c r="R194" s="13"/>
      <c r="S194" s="18">
        <f t="shared" si="23"/>
        <v>30</v>
      </c>
      <c r="T194" s="14">
        <f t="shared" si="24"/>
        <v>38.159999999999997</v>
      </c>
      <c r="U194" s="14">
        <f t="shared" si="25"/>
        <v>42</v>
      </c>
      <c r="V194" s="15">
        <f t="shared" si="26"/>
        <v>0.1854224781271806</v>
      </c>
      <c r="W194" s="9">
        <f t="shared" si="27"/>
        <v>38.159999999999997</v>
      </c>
      <c r="X194" s="9">
        <f t="shared" si="28"/>
        <v>152.63999999999999</v>
      </c>
      <c r="Y194" s="82"/>
    </row>
    <row r="195" spans="1:25" ht="15.75" customHeight="1" x14ac:dyDescent="0.25">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4"/>
    </row>
    <row r="196" spans="1:25" ht="25.5" x14ac:dyDescent="0.25">
      <c r="A196" s="88">
        <v>24</v>
      </c>
      <c r="B196" s="10">
        <v>170</v>
      </c>
      <c r="C196" s="11" t="s">
        <v>361</v>
      </c>
      <c r="D196" s="12" t="s">
        <v>360</v>
      </c>
      <c r="E196" s="12">
        <v>62707083</v>
      </c>
      <c r="F196" s="12" t="s">
        <v>20</v>
      </c>
      <c r="G196" s="5">
        <v>44905208</v>
      </c>
      <c r="H196" s="6" t="s">
        <v>337</v>
      </c>
      <c r="I196" s="7" t="s">
        <v>195</v>
      </c>
      <c r="J196" s="8">
        <v>22.9</v>
      </c>
      <c r="K196" s="7" t="s">
        <v>250</v>
      </c>
      <c r="L196" s="8">
        <v>24.6</v>
      </c>
      <c r="M196" s="7" t="s">
        <v>141</v>
      </c>
      <c r="N196" s="7">
        <v>26</v>
      </c>
      <c r="O196" s="13"/>
      <c r="P196" s="13"/>
      <c r="Q196" s="13"/>
      <c r="R196" s="13"/>
      <c r="S196" s="18">
        <f t="shared" si="23"/>
        <v>22.9</v>
      </c>
      <c r="T196" s="14">
        <f t="shared" si="24"/>
        <v>24.5</v>
      </c>
      <c r="U196" s="14">
        <f t="shared" si="25"/>
        <v>24.6</v>
      </c>
      <c r="V196" s="15">
        <f t="shared" si="26"/>
        <v>6.3363978352081754E-2</v>
      </c>
      <c r="W196" s="9">
        <f t="shared" si="27"/>
        <v>24.5</v>
      </c>
      <c r="X196" s="9">
        <f t="shared" si="28"/>
        <v>294</v>
      </c>
      <c r="Y196" s="81">
        <v>8385.77</v>
      </c>
    </row>
    <row r="197" spans="1:25" ht="25.5" x14ac:dyDescent="0.25">
      <c r="A197" s="90"/>
      <c r="B197" s="10">
        <v>171</v>
      </c>
      <c r="C197" s="11" t="s">
        <v>359</v>
      </c>
      <c r="D197" s="12" t="s">
        <v>358</v>
      </c>
      <c r="E197" s="12">
        <v>117579049</v>
      </c>
      <c r="F197" s="12" t="s">
        <v>20</v>
      </c>
      <c r="G197" s="5">
        <v>33903036</v>
      </c>
      <c r="H197" s="6" t="s">
        <v>337</v>
      </c>
      <c r="I197" s="7" t="s">
        <v>154</v>
      </c>
      <c r="J197" s="8">
        <v>45.86</v>
      </c>
      <c r="K197" s="7" t="s">
        <v>154</v>
      </c>
      <c r="L197" s="7">
        <v>45.8</v>
      </c>
      <c r="M197" s="7" t="s">
        <v>154</v>
      </c>
      <c r="N197" s="8">
        <v>42.66</v>
      </c>
      <c r="O197" s="13"/>
      <c r="P197" s="13"/>
      <c r="Q197" s="13"/>
      <c r="R197" s="13"/>
      <c r="S197" s="18">
        <f t="shared" si="23"/>
        <v>42.66</v>
      </c>
      <c r="T197" s="14">
        <f t="shared" si="24"/>
        <v>44.77</v>
      </c>
      <c r="U197" s="14">
        <f t="shared" si="25"/>
        <v>45.8</v>
      </c>
      <c r="V197" s="15">
        <f t="shared" si="26"/>
        <v>4.0882509191584329E-2</v>
      </c>
      <c r="W197" s="9">
        <f t="shared" si="27"/>
        <v>44.77</v>
      </c>
      <c r="X197" s="9">
        <f t="shared" si="28"/>
        <v>537.24</v>
      </c>
      <c r="Y197" s="85"/>
    </row>
    <row r="198" spans="1:25" ht="25.5" x14ac:dyDescent="0.25">
      <c r="A198" s="90"/>
      <c r="B198" s="10">
        <v>172</v>
      </c>
      <c r="C198" s="11" t="s">
        <v>365</v>
      </c>
      <c r="D198" s="12" t="s">
        <v>358</v>
      </c>
      <c r="E198" s="12">
        <v>117579126</v>
      </c>
      <c r="F198" s="12" t="s">
        <v>20</v>
      </c>
      <c r="G198" s="5">
        <v>33903036</v>
      </c>
      <c r="H198" s="6" t="s">
        <v>337</v>
      </c>
      <c r="I198" s="7" t="s">
        <v>22</v>
      </c>
      <c r="J198" s="7">
        <v>45.9</v>
      </c>
      <c r="K198" s="21" t="s">
        <v>364</v>
      </c>
      <c r="L198" s="8">
        <v>42.99</v>
      </c>
      <c r="M198" s="21" t="s">
        <v>363</v>
      </c>
      <c r="N198" s="8">
        <v>44.6</v>
      </c>
      <c r="O198" s="13"/>
      <c r="P198" s="13"/>
      <c r="Q198" s="13"/>
      <c r="R198" s="13"/>
      <c r="S198" s="18">
        <f t="shared" si="23"/>
        <v>42.99</v>
      </c>
      <c r="T198" s="14">
        <f t="shared" si="24"/>
        <v>44.49</v>
      </c>
      <c r="U198" s="14">
        <f t="shared" si="25"/>
        <v>44.6</v>
      </c>
      <c r="V198" s="15">
        <f t="shared" si="26"/>
        <v>3.2760867635901497E-2</v>
      </c>
      <c r="W198" s="9">
        <f t="shared" si="27"/>
        <v>44.49</v>
      </c>
      <c r="X198" s="9">
        <f t="shared" si="28"/>
        <v>533.88</v>
      </c>
      <c r="Y198" s="85"/>
    </row>
    <row r="199" spans="1:25" ht="31.5" x14ac:dyDescent="0.25">
      <c r="A199" s="90"/>
      <c r="B199" s="10">
        <v>173</v>
      </c>
      <c r="C199" s="11" t="s">
        <v>362</v>
      </c>
      <c r="D199" s="12" t="s">
        <v>358</v>
      </c>
      <c r="E199" s="12">
        <v>117579198</v>
      </c>
      <c r="F199" s="12" t="s">
        <v>20</v>
      </c>
      <c r="G199" s="5">
        <v>33903036</v>
      </c>
      <c r="H199" s="6" t="s">
        <v>337</v>
      </c>
      <c r="I199" s="7" t="s">
        <v>226</v>
      </c>
      <c r="J199" s="8">
        <v>36</v>
      </c>
      <c r="K199" s="7" t="s">
        <v>21</v>
      </c>
      <c r="L199" s="8">
        <v>36</v>
      </c>
      <c r="M199" s="7" t="s">
        <v>21</v>
      </c>
      <c r="N199" s="7">
        <v>38.909999999999997</v>
      </c>
      <c r="O199" s="7" t="s">
        <v>21</v>
      </c>
      <c r="P199" s="8">
        <v>44</v>
      </c>
      <c r="Q199" s="13"/>
      <c r="R199" s="13"/>
      <c r="S199" s="18">
        <f t="shared" si="23"/>
        <v>36</v>
      </c>
      <c r="T199" s="14">
        <f t="shared" si="24"/>
        <v>38.72</v>
      </c>
      <c r="U199" s="14">
        <f t="shared" si="25"/>
        <v>37.450000000000003</v>
      </c>
      <c r="V199" s="15">
        <f t="shared" si="26"/>
        <v>9.7429429875944357E-2</v>
      </c>
      <c r="W199" s="9">
        <f t="shared" si="27"/>
        <v>38.72</v>
      </c>
      <c r="X199" s="9">
        <f t="shared" si="28"/>
        <v>464.64</v>
      </c>
      <c r="Y199" s="85"/>
    </row>
    <row r="200" spans="1:25" ht="15.75" x14ac:dyDescent="0.25">
      <c r="A200" s="90"/>
      <c r="B200" s="10">
        <v>174</v>
      </c>
      <c r="C200" s="33" t="s">
        <v>367</v>
      </c>
      <c r="D200" s="32" t="s">
        <v>358</v>
      </c>
      <c r="E200" s="12">
        <v>117579040</v>
      </c>
      <c r="F200" s="12" t="s">
        <v>20</v>
      </c>
      <c r="G200" s="12">
        <v>33903036</v>
      </c>
      <c r="H200" s="28">
        <v>10</v>
      </c>
      <c r="I200" s="7" t="s">
        <v>22</v>
      </c>
      <c r="J200" s="7">
        <v>25</v>
      </c>
      <c r="K200" s="7" t="s">
        <v>366</v>
      </c>
      <c r="L200" s="7">
        <v>24.79</v>
      </c>
      <c r="M200" s="7" t="s">
        <v>341</v>
      </c>
      <c r="N200" s="7">
        <v>22.49</v>
      </c>
      <c r="O200" s="13"/>
      <c r="P200" s="13"/>
      <c r="Q200" s="13"/>
      <c r="R200" s="13"/>
      <c r="S200" s="18">
        <f t="shared" si="23"/>
        <v>22.49</v>
      </c>
      <c r="T200" s="14">
        <f t="shared" si="24"/>
        <v>24.09</v>
      </c>
      <c r="U200" s="14">
        <f t="shared" si="25"/>
        <v>24.79</v>
      </c>
      <c r="V200" s="15">
        <f t="shared" si="26"/>
        <v>5.7795729304236147E-2</v>
      </c>
      <c r="W200" s="9">
        <f t="shared" si="27"/>
        <v>24.09</v>
      </c>
      <c r="X200" s="9">
        <f t="shared" si="28"/>
        <v>240.9</v>
      </c>
      <c r="Y200" s="85"/>
    </row>
    <row r="201" spans="1:25" ht="47.25" x14ac:dyDescent="0.25">
      <c r="A201" s="90"/>
      <c r="B201" s="10">
        <v>175</v>
      </c>
      <c r="C201" s="33" t="s">
        <v>371</v>
      </c>
      <c r="D201" s="34" t="s">
        <v>370</v>
      </c>
      <c r="E201" s="12">
        <v>78441002</v>
      </c>
      <c r="F201" s="12" t="s">
        <v>20</v>
      </c>
      <c r="G201" s="12">
        <v>33903021</v>
      </c>
      <c r="H201" s="28">
        <v>30</v>
      </c>
      <c r="I201" s="7" t="s">
        <v>36</v>
      </c>
      <c r="J201" s="7">
        <v>27.74</v>
      </c>
      <c r="K201" s="7" t="s">
        <v>170</v>
      </c>
      <c r="L201" s="7">
        <v>25.2</v>
      </c>
      <c r="M201" s="7" t="s">
        <v>369</v>
      </c>
      <c r="N201" s="7">
        <v>22.2</v>
      </c>
      <c r="O201" s="13"/>
      <c r="P201" s="13"/>
      <c r="Q201" s="13"/>
      <c r="R201" s="13"/>
      <c r="S201" s="18">
        <f t="shared" si="23"/>
        <v>22.2</v>
      </c>
      <c r="T201" s="14">
        <f t="shared" si="24"/>
        <v>25.04</v>
      </c>
      <c r="U201" s="14">
        <f t="shared" si="25"/>
        <v>25.2</v>
      </c>
      <c r="V201" s="15">
        <f t="shared" si="26"/>
        <v>0.11072056503452013</v>
      </c>
      <c r="W201" s="9">
        <f t="shared" si="27"/>
        <v>25.04</v>
      </c>
      <c r="X201" s="9">
        <f t="shared" si="28"/>
        <v>751.19999999999993</v>
      </c>
      <c r="Y201" s="85"/>
    </row>
    <row r="202" spans="1:25" ht="63" x14ac:dyDescent="0.25">
      <c r="A202" s="90"/>
      <c r="B202" s="10">
        <v>176</v>
      </c>
      <c r="C202" s="33" t="s">
        <v>368</v>
      </c>
      <c r="D202" s="34" t="s">
        <v>349</v>
      </c>
      <c r="E202" s="12">
        <v>118370114</v>
      </c>
      <c r="F202" s="12" t="s">
        <v>20</v>
      </c>
      <c r="G202" s="12">
        <v>33903021</v>
      </c>
      <c r="H202" s="28">
        <v>30</v>
      </c>
      <c r="I202" s="7" t="s">
        <v>37</v>
      </c>
      <c r="J202" s="7">
        <v>20.8</v>
      </c>
      <c r="K202" s="7" t="s">
        <v>36</v>
      </c>
      <c r="L202" s="7">
        <v>20.07</v>
      </c>
      <c r="M202" s="7" t="s">
        <v>59</v>
      </c>
      <c r="N202" s="7">
        <v>18.399999999999999</v>
      </c>
      <c r="O202" s="13"/>
      <c r="P202" s="13"/>
      <c r="Q202" s="13"/>
      <c r="R202" s="13"/>
      <c r="S202" s="18">
        <f t="shared" si="23"/>
        <v>18.399999999999999</v>
      </c>
      <c r="T202" s="14">
        <f t="shared" si="24"/>
        <v>19.75</v>
      </c>
      <c r="U202" s="14">
        <f t="shared" si="25"/>
        <v>20.07</v>
      </c>
      <c r="V202" s="15">
        <f t="shared" si="26"/>
        <v>6.2272552734889935E-2</v>
      </c>
      <c r="W202" s="9">
        <f t="shared" si="27"/>
        <v>19.75</v>
      </c>
      <c r="X202" s="9">
        <f t="shared" si="28"/>
        <v>592.5</v>
      </c>
      <c r="Y202" s="85"/>
    </row>
    <row r="203" spans="1:25" ht="47.25" x14ac:dyDescent="0.25">
      <c r="A203" s="90"/>
      <c r="B203" s="10">
        <v>177</v>
      </c>
      <c r="C203" s="33" t="s">
        <v>594</v>
      </c>
      <c r="D203" s="12" t="s">
        <v>165</v>
      </c>
      <c r="E203" s="12">
        <v>78794042</v>
      </c>
      <c r="F203" s="12" t="s">
        <v>20</v>
      </c>
      <c r="G203" s="12">
        <v>33903036</v>
      </c>
      <c r="H203" s="28">
        <v>4</v>
      </c>
      <c r="I203" s="7" t="s">
        <v>141</v>
      </c>
      <c r="J203" s="7">
        <v>23.09</v>
      </c>
      <c r="K203" s="7" t="s">
        <v>141</v>
      </c>
      <c r="L203" s="7">
        <v>28</v>
      </c>
      <c r="M203" s="7" t="s">
        <v>141</v>
      </c>
      <c r="N203" s="7">
        <v>24.9</v>
      </c>
      <c r="O203" s="13"/>
      <c r="P203" s="13"/>
      <c r="Q203" s="13"/>
      <c r="R203" s="13"/>
      <c r="S203" s="18">
        <f t="shared" si="23"/>
        <v>23.09</v>
      </c>
      <c r="T203" s="14">
        <f t="shared" si="24"/>
        <v>25.33</v>
      </c>
      <c r="U203" s="14">
        <f t="shared" si="25"/>
        <v>24.9</v>
      </c>
      <c r="V203" s="15">
        <f t="shared" si="26"/>
        <v>9.8029323387591086E-2</v>
      </c>
      <c r="W203" s="9">
        <f t="shared" si="27"/>
        <v>25.33</v>
      </c>
      <c r="X203" s="9">
        <f t="shared" si="28"/>
        <v>101.32</v>
      </c>
      <c r="Y203" s="85"/>
    </row>
    <row r="204" spans="1:25" ht="15.75" x14ac:dyDescent="0.25">
      <c r="A204" s="90"/>
      <c r="B204" s="10">
        <v>178</v>
      </c>
      <c r="C204" s="33" t="s">
        <v>372</v>
      </c>
      <c r="D204" s="19" t="s">
        <v>373</v>
      </c>
      <c r="E204" s="12">
        <v>5339019</v>
      </c>
      <c r="F204" s="12" t="s">
        <v>20</v>
      </c>
      <c r="G204" s="12">
        <v>33903021</v>
      </c>
      <c r="H204" s="28">
        <v>32</v>
      </c>
      <c r="I204" s="7" t="s">
        <v>36</v>
      </c>
      <c r="J204" s="7">
        <v>21.67</v>
      </c>
      <c r="K204" s="7" t="s">
        <v>37</v>
      </c>
      <c r="L204" s="7">
        <v>22.5</v>
      </c>
      <c r="M204" s="7" t="s">
        <v>46</v>
      </c>
      <c r="N204" s="7">
        <v>18.72</v>
      </c>
      <c r="O204" s="13"/>
      <c r="P204" s="13"/>
      <c r="Q204" s="13"/>
      <c r="R204" s="13"/>
      <c r="S204" s="18">
        <f t="shared" si="23"/>
        <v>18.72</v>
      </c>
      <c r="T204" s="14">
        <f t="shared" si="24"/>
        <v>20.96</v>
      </c>
      <c r="U204" s="14">
        <f t="shared" si="25"/>
        <v>21.67</v>
      </c>
      <c r="V204" s="15">
        <f t="shared" si="26"/>
        <v>9.4766109109482036E-2</v>
      </c>
      <c r="W204" s="9">
        <f t="shared" si="27"/>
        <v>20.96</v>
      </c>
      <c r="X204" s="9">
        <f t="shared" si="28"/>
        <v>670.72</v>
      </c>
      <c r="Y204" s="85"/>
    </row>
    <row r="205" spans="1:25" ht="47.25" x14ac:dyDescent="0.25">
      <c r="A205" s="90"/>
      <c r="B205" s="10">
        <v>179</v>
      </c>
      <c r="C205" s="33" t="s">
        <v>374</v>
      </c>
      <c r="D205" s="12" t="s">
        <v>358</v>
      </c>
      <c r="E205" s="12">
        <v>117579607</v>
      </c>
      <c r="F205" s="12" t="s">
        <v>20</v>
      </c>
      <c r="G205" s="12">
        <v>33903036</v>
      </c>
      <c r="H205" s="28">
        <v>10</v>
      </c>
      <c r="I205" s="7" t="s">
        <v>195</v>
      </c>
      <c r="J205" s="7">
        <v>48.9</v>
      </c>
      <c r="K205" s="7" t="s">
        <v>375</v>
      </c>
      <c r="L205" s="7">
        <v>38</v>
      </c>
      <c r="M205" s="7" t="s">
        <v>298</v>
      </c>
      <c r="N205" s="7">
        <v>40.04</v>
      </c>
      <c r="O205" s="13"/>
      <c r="P205" s="13"/>
      <c r="Q205" s="13"/>
      <c r="R205" s="13"/>
      <c r="S205" s="18">
        <f t="shared" si="23"/>
        <v>38</v>
      </c>
      <c r="T205" s="14">
        <f t="shared" si="24"/>
        <v>42.31</v>
      </c>
      <c r="U205" s="14">
        <f t="shared" si="25"/>
        <v>40.04</v>
      </c>
      <c r="V205" s="15">
        <f t="shared" si="26"/>
        <v>0.1369473466214714</v>
      </c>
      <c r="W205" s="9">
        <f t="shared" si="27"/>
        <v>42.31</v>
      </c>
      <c r="X205" s="9">
        <f t="shared" si="28"/>
        <v>423.1</v>
      </c>
      <c r="Y205" s="85"/>
    </row>
    <row r="206" spans="1:25" ht="15.75" x14ac:dyDescent="0.25">
      <c r="A206" s="90"/>
      <c r="B206" s="10">
        <v>180</v>
      </c>
      <c r="C206" s="11" t="s">
        <v>376</v>
      </c>
      <c r="D206" s="12" t="s">
        <v>25</v>
      </c>
      <c r="E206" s="12">
        <v>122483120</v>
      </c>
      <c r="F206" s="12" t="s">
        <v>20</v>
      </c>
      <c r="G206" s="12">
        <v>33903035</v>
      </c>
      <c r="H206" s="28">
        <v>7</v>
      </c>
      <c r="I206" s="21" t="s">
        <v>21</v>
      </c>
      <c r="J206" s="7">
        <v>24.5</v>
      </c>
      <c r="K206" s="7" t="s">
        <v>37</v>
      </c>
      <c r="L206" s="7">
        <v>30.6</v>
      </c>
      <c r="M206" s="7" t="s">
        <v>36</v>
      </c>
      <c r="N206" s="42">
        <v>29.47</v>
      </c>
      <c r="O206" s="13"/>
      <c r="P206" s="13"/>
      <c r="Q206" s="13"/>
      <c r="R206" s="13"/>
      <c r="S206" s="18">
        <f t="shared" si="23"/>
        <v>24.5</v>
      </c>
      <c r="T206" s="14">
        <f t="shared" si="24"/>
        <v>28.19</v>
      </c>
      <c r="U206" s="14">
        <f t="shared" si="25"/>
        <v>29.47</v>
      </c>
      <c r="V206" s="15">
        <f t="shared" si="26"/>
        <v>0.11511871054061039</v>
      </c>
      <c r="W206" s="9">
        <f t="shared" si="27"/>
        <v>28.19</v>
      </c>
      <c r="X206" s="9">
        <f t="shared" si="28"/>
        <v>197.33</v>
      </c>
      <c r="Y206" s="85"/>
    </row>
    <row r="207" spans="1:25" ht="47.25" x14ac:dyDescent="0.25">
      <c r="A207" s="90"/>
      <c r="B207" s="10">
        <v>181</v>
      </c>
      <c r="C207" s="11" t="s">
        <v>377</v>
      </c>
      <c r="D207" s="12" t="s">
        <v>157</v>
      </c>
      <c r="E207" s="12">
        <v>76996092</v>
      </c>
      <c r="F207" s="12" t="s">
        <v>20</v>
      </c>
      <c r="G207" s="12">
        <v>33903036</v>
      </c>
      <c r="H207" s="43">
        <v>18</v>
      </c>
      <c r="I207" s="21" t="s">
        <v>37</v>
      </c>
      <c r="J207" s="7">
        <v>54</v>
      </c>
      <c r="K207" s="7" t="s">
        <v>123</v>
      </c>
      <c r="L207" s="7">
        <v>56.35</v>
      </c>
      <c r="M207" s="7" t="s">
        <v>161</v>
      </c>
      <c r="N207" s="7">
        <v>65.91</v>
      </c>
      <c r="O207" s="13"/>
      <c r="P207" s="13"/>
      <c r="Q207" s="13"/>
      <c r="R207" s="13"/>
      <c r="S207" s="18">
        <f t="shared" si="23"/>
        <v>54</v>
      </c>
      <c r="T207" s="14">
        <f t="shared" si="24"/>
        <v>58.75</v>
      </c>
      <c r="U207" s="14">
        <f t="shared" si="25"/>
        <v>56.35</v>
      </c>
      <c r="V207" s="15">
        <f t="shared" si="26"/>
        <v>0.10736839686348154</v>
      </c>
      <c r="W207" s="9">
        <f t="shared" si="27"/>
        <v>58.75</v>
      </c>
      <c r="X207" s="9">
        <f t="shared" si="28"/>
        <v>1057.5</v>
      </c>
      <c r="Y207" s="85"/>
    </row>
    <row r="208" spans="1:25" ht="31.5" x14ac:dyDescent="0.25">
      <c r="A208" s="90"/>
      <c r="B208" s="10">
        <v>182</v>
      </c>
      <c r="C208" s="11" t="s">
        <v>378</v>
      </c>
      <c r="D208" s="12" t="s">
        <v>157</v>
      </c>
      <c r="E208" s="12">
        <v>76996092</v>
      </c>
      <c r="F208" s="12" t="s">
        <v>20</v>
      </c>
      <c r="G208" s="12">
        <v>33903036</v>
      </c>
      <c r="H208" s="43">
        <v>4</v>
      </c>
      <c r="I208" s="21" t="s">
        <v>36</v>
      </c>
      <c r="J208" s="7">
        <v>95.35</v>
      </c>
      <c r="K208" s="7" t="s">
        <v>123</v>
      </c>
      <c r="L208" s="7">
        <v>80.95</v>
      </c>
      <c r="M208" s="7" t="s">
        <v>379</v>
      </c>
      <c r="N208" s="7">
        <v>103.92</v>
      </c>
      <c r="O208" s="13"/>
      <c r="P208" s="13"/>
      <c r="Q208" s="13"/>
      <c r="R208" s="13"/>
      <c r="S208" s="18">
        <f t="shared" si="23"/>
        <v>80.95</v>
      </c>
      <c r="T208" s="14">
        <f t="shared" si="24"/>
        <v>93.4</v>
      </c>
      <c r="U208" s="14">
        <f t="shared" si="25"/>
        <v>95.35</v>
      </c>
      <c r="V208" s="15">
        <f t="shared" si="26"/>
        <v>0.12427008154999396</v>
      </c>
      <c r="W208" s="9">
        <f t="shared" si="27"/>
        <v>93.4</v>
      </c>
      <c r="X208" s="9">
        <f t="shared" si="28"/>
        <v>373.6</v>
      </c>
      <c r="Y208" s="85"/>
    </row>
    <row r="209" spans="1:25" ht="25.5" x14ac:dyDescent="0.25">
      <c r="A209" s="90"/>
      <c r="B209" s="10">
        <v>183</v>
      </c>
      <c r="C209" s="11" t="s">
        <v>380</v>
      </c>
      <c r="D209" s="12" t="s">
        <v>157</v>
      </c>
      <c r="E209" s="12">
        <v>76996092</v>
      </c>
      <c r="F209" s="12" t="s">
        <v>20</v>
      </c>
      <c r="G209" s="12">
        <v>33903036</v>
      </c>
      <c r="H209" s="43">
        <v>4</v>
      </c>
      <c r="I209" s="21" t="s">
        <v>21</v>
      </c>
      <c r="J209" s="7">
        <v>17.559999999999999</v>
      </c>
      <c r="K209" s="21" t="s">
        <v>21</v>
      </c>
      <c r="L209" s="7">
        <v>19.02</v>
      </c>
      <c r="M209" s="21" t="s">
        <v>21</v>
      </c>
      <c r="N209" s="7">
        <v>19.12</v>
      </c>
      <c r="O209" s="13"/>
      <c r="P209" s="13"/>
      <c r="Q209" s="13"/>
      <c r="R209" s="13"/>
      <c r="S209" s="18">
        <f t="shared" si="23"/>
        <v>17.559999999999999</v>
      </c>
      <c r="T209" s="14">
        <f t="shared" si="24"/>
        <v>18.559999999999999</v>
      </c>
      <c r="U209" s="14">
        <f t="shared" si="25"/>
        <v>19.02</v>
      </c>
      <c r="V209" s="15">
        <f t="shared" si="26"/>
        <v>4.7032219725199366E-2</v>
      </c>
      <c r="W209" s="9">
        <f t="shared" si="27"/>
        <v>18.559999999999999</v>
      </c>
      <c r="X209" s="9">
        <f t="shared" si="28"/>
        <v>74.239999999999995</v>
      </c>
      <c r="Y209" s="85"/>
    </row>
    <row r="210" spans="1:25" ht="31.5" x14ac:dyDescent="0.25">
      <c r="A210" s="90"/>
      <c r="B210" s="10">
        <v>184</v>
      </c>
      <c r="C210" s="11" t="s">
        <v>580</v>
      </c>
      <c r="D210" s="12" t="s">
        <v>165</v>
      </c>
      <c r="E210" s="12">
        <v>117463009</v>
      </c>
      <c r="F210" s="12" t="s">
        <v>20</v>
      </c>
      <c r="G210" s="5">
        <v>33903036</v>
      </c>
      <c r="H210" s="27" t="s">
        <v>260</v>
      </c>
      <c r="I210" s="17" t="s">
        <v>21</v>
      </c>
      <c r="J210" s="8">
        <v>70.099999999999994</v>
      </c>
      <c r="K210" s="17" t="s">
        <v>354</v>
      </c>
      <c r="L210" s="8">
        <v>78.209999999999994</v>
      </c>
      <c r="M210" s="17" t="s">
        <v>579</v>
      </c>
      <c r="N210" s="7">
        <v>90.9</v>
      </c>
      <c r="O210" s="13"/>
      <c r="P210" s="13"/>
      <c r="Q210" s="13"/>
      <c r="R210" s="13"/>
      <c r="S210" s="18">
        <f t="shared" si="23"/>
        <v>70.099999999999994</v>
      </c>
      <c r="T210" s="14">
        <f t="shared" si="24"/>
        <v>79.73</v>
      </c>
      <c r="U210" s="14">
        <f t="shared" si="25"/>
        <v>78.209999999999994</v>
      </c>
      <c r="V210" s="15">
        <f t="shared" si="26"/>
        <v>0.13147907561705746</v>
      </c>
      <c r="W210" s="9">
        <f t="shared" si="27"/>
        <v>79.73</v>
      </c>
      <c r="X210" s="9">
        <f t="shared" si="28"/>
        <v>797.30000000000007</v>
      </c>
      <c r="Y210" s="85"/>
    </row>
    <row r="211" spans="1:25" ht="15.75" x14ac:dyDescent="0.25">
      <c r="A211" s="89"/>
      <c r="B211" s="10">
        <v>185</v>
      </c>
      <c r="C211" s="33" t="s">
        <v>381</v>
      </c>
      <c r="D211" s="52" t="s">
        <v>382</v>
      </c>
      <c r="E211" s="12">
        <v>77828013</v>
      </c>
      <c r="F211" s="12" t="s">
        <v>20</v>
      </c>
      <c r="G211" s="12">
        <v>33903021</v>
      </c>
      <c r="H211" s="37">
        <v>5</v>
      </c>
      <c r="I211" s="7" t="s">
        <v>36</v>
      </c>
      <c r="J211" s="7">
        <v>265.99</v>
      </c>
      <c r="K211" s="7" t="s">
        <v>52</v>
      </c>
      <c r="L211" s="7">
        <v>249.9</v>
      </c>
      <c r="M211" s="7" t="s">
        <v>26</v>
      </c>
      <c r="N211" s="7">
        <v>249.9</v>
      </c>
      <c r="O211" s="36"/>
      <c r="P211" s="13"/>
      <c r="Q211" s="13"/>
      <c r="R211" s="13"/>
      <c r="S211" s="18">
        <f t="shared" si="23"/>
        <v>249.9</v>
      </c>
      <c r="T211" s="14">
        <f t="shared" si="24"/>
        <v>255.26</v>
      </c>
      <c r="U211" s="14">
        <f t="shared" si="25"/>
        <v>249.9</v>
      </c>
      <c r="V211" s="15">
        <f t="shared" si="26"/>
        <v>3.6392088554020353E-2</v>
      </c>
      <c r="W211" s="9">
        <f t="shared" si="27"/>
        <v>255.26</v>
      </c>
      <c r="X211" s="9">
        <f t="shared" si="28"/>
        <v>1276.3</v>
      </c>
      <c r="Y211" s="82"/>
    </row>
    <row r="212" spans="1:25" ht="15.75" customHeight="1" x14ac:dyDescent="0.25">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4"/>
    </row>
    <row r="213" spans="1:25" ht="47.25" x14ac:dyDescent="0.25">
      <c r="A213" s="88">
        <v>25</v>
      </c>
      <c r="B213" s="10">
        <v>186</v>
      </c>
      <c r="C213" s="11" t="s">
        <v>388</v>
      </c>
      <c r="D213" s="19" t="s">
        <v>387</v>
      </c>
      <c r="E213" s="12">
        <v>25054019</v>
      </c>
      <c r="F213" s="5" t="s">
        <v>20</v>
      </c>
      <c r="G213" s="5">
        <v>33903028</v>
      </c>
      <c r="H213" s="69">
        <v>2</v>
      </c>
      <c r="I213" s="7" t="s">
        <v>22</v>
      </c>
      <c r="J213" s="8">
        <v>704</v>
      </c>
      <c r="K213" s="7" t="s">
        <v>386</v>
      </c>
      <c r="L213" s="7">
        <v>750</v>
      </c>
      <c r="M213" s="7" t="s">
        <v>183</v>
      </c>
      <c r="N213" s="8">
        <v>748</v>
      </c>
      <c r="O213" s="13"/>
      <c r="P213" s="13"/>
      <c r="Q213" s="13"/>
      <c r="R213" s="13"/>
      <c r="S213" s="18">
        <f t="shared" ref="S213:S280" si="29">MIN(J213:R213)</f>
        <v>704</v>
      </c>
      <c r="T213" s="14">
        <f t="shared" ref="T213:T280" si="30">ROUNDDOWN(AVERAGE(J213:R213),2)</f>
        <v>734</v>
      </c>
      <c r="U213" s="14">
        <f t="shared" ref="U213:U280" si="31">ROUNDDOWN(MEDIAN(J213:R213),2)</f>
        <v>748</v>
      </c>
      <c r="V213" s="15">
        <f t="shared" ref="V213:V280" si="32">STDEV(J213:R213)/AVERAGE(J213:R213)</f>
        <v>3.5422343324250684E-2</v>
      </c>
      <c r="W213" s="9">
        <f t="shared" ref="W213:W280" si="33">IF(V213&lt;=25%,T213,U213)</f>
        <v>734</v>
      </c>
      <c r="X213" s="9">
        <f t="shared" si="28"/>
        <v>1468</v>
      </c>
      <c r="Y213" s="81">
        <v>2043.54</v>
      </c>
    </row>
    <row r="214" spans="1:25" ht="63" x14ac:dyDescent="0.25">
      <c r="A214" s="90"/>
      <c r="B214" s="10">
        <v>187</v>
      </c>
      <c r="C214" s="11" t="s">
        <v>385</v>
      </c>
      <c r="D214" s="12" t="s">
        <v>384</v>
      </c>
      <c r="E214" s="12">
        <v>28800085</v>
      </c>
      <c r="F214" s="5" t="s">
        <v>20</v>
      </c>
      <c r="G214" s="5">
        <v>33903028</v>
      </c>
      <c r="H214" s="6" t="s">
        <v>229</v>
      </c>
      <c r="I214" s="7" t="s">
        <v>226</v>
      </c>
      <c r="J214" s="8">
        <v>100</v>
      </c>
      <c r="K214" s="7" t="s">
        <v>250</v>
      </c>
      <c r="L214" s="8">
        <v>90</v>
      </c>
      <c r="M214" s="20" t="s">
        <v>383</v>
      </c>
      <c r="N214" s="7">
        <v>73.78</v>
      </c>
      <c r="O214" s="13"/>
      <c r="P214" s="13"/>
      <c r="Q214" s="13"/>
      <c r="R214" s="13"/>
      <c r="S214" s="18">
        <f t="shared" si="29"/>
        <v>73.78</v>
      </c>
      <c r="T214" s="14">
        <f t="shared" si="30"/>
        <v>87.92</v>
      </c>
      <c r="U214" s="14">
        <f t="shared" si="31"/>
        <v>90</v>
      </c>
      <c r="V214" s="15">
        <f t="shared" si="32"/>
        <v>0.15049347435279645</v>
      </c>
      <c r="W214" s="9">
        <f t="shared" si="33"/>
        <v>87.92</v>
      </c>
      <c r="X214" s="9">
        <f t="shared" si="28"/>
        <v>175.84</v>
      </c>
      <c r="Y214" s="85"/>
    </row>
    <row r="215" spans="1:25" ht="31.5" x14ac:dyDescent="0.25">
      <c r="A215" s="89"/>
      <c r="B215" s="10">
        <v>188</v>
      </c>
      <c r="C215" s="11" t="s">
        <v>391</v>
      </c>
      <c r="D215" s="12" t="s">
        <v>384</v>
      </c>
      <c r="E215" s="12">
        <v>28800069</v>
      </c>
      <c r="F215" s="12" t="s">
        <v>20</v>
      </c>
      <c r="G215" s="5">
        <v>33903036</v>
      </c>
      <c r="H215" s="6" t="s">
        <v>299</v>
      </c>
      <c r="I215" s="7" t="s">
        <v>390</v>
      </c>
      <c r="J215" s="7">
        <f>74.9</f>
        <v>74.900000000000006</v>
      </c>
      <c r="K215" s="7" t="s">
        <v>282</v>
      </c>
      <c r="L215" s="7">
        <v>89.92</v>
      </c>
      <c r="M215" s="21" t="s">
        <v>389</v>
      </c>
      <c r="N215" s="8">
        <f>75</f>
        <v>75</v>
      </c>
      <c r="O215" s="13"/>
      <c r="P215" s="13"/>
      <c r="Q215" s="13"/>
      <c r="R215" s="13"/>
      <c r="S215" s="18">
        <f t="shared" si="29"/>
        <v>74.900000000000006</v>
      </c>
      <c r="T215" s="14">
        <f t="shared" si="30"/>
        <v>79.94</v>
      </c>
      <c r="U215" s="14">
        <f t="shared" si="31"/>
        <v>75</v>
      </c>
      <c r="V215" s="15">
        <f t="shared" si="32"/>
        <v>0.10811956661720788</v>
      </c>
      <c r="W215" s="9">
        <f t="shared" si="33"/>
        <v>79.94</v>
      </c>
      <c r="X215" s="9">
        <f t="shared" si="28"/>
        <v>399.7</v>
      </c>
      <c r="Y215" s="82"/>
    </row>
    <row r="216" spans="1:25" ht="15.75" customHeight="1" x14ac:dyDescent="0.25">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4"/>
    </row>
    <row r="217" spans="1:25" ht="47.25" x14ac:dyDescent="0.25">
      <c r="A217" s="88">
        <v>26</v>
      </c>
      <c r="B217" s="10">
        <v>189</v>
      </c>
      <c r="C217" s="11" t="s">
        <v>409</v>
      </c>
      <c r="D217" s="12" t="s">
        <v>406</v>
      </c>
      <c r="E217" s="12">
        <v>9539021</v>
      </c>
      <c r="F217" s="12" t="s">
        <v>121</v>
      </c>
      <c r="G217" s="5">
        <v>33903036</v>
      </c>
      <c r="H217" s="6">
        <v>4</v>
      </c>
      <c r="I217" s="7" t="s">
        <v>250</v>
      </c>
      <c r="J217" s="8">
        <v>159.80000000000001</v>
      </c>
      <c r="K217" s="7" t="s">
        <v>408</v>
      </c>
      <c r="L217" s="7">
        <v>139</v>
      </c>
      <c r="M217" s="21" t="s">
        <v>395</v>
      </c>
      <c r="N217" s="8">
        <f>129.9+18.44</f>
        <v>148.34</v>
      </c>
      <c r="O217" s="13"/>
      <c r="P217" s="13"/>
      <c r="Q217" s="13"/>
      <c r="R217" s="13"/>
      <c r="S217" s="18">
        <f t="shared" si="29"/>
        <v>139</v>
      </c>
      <c r="T217" s="14">
        <f t="shared" si="30"/>
        <v>149.04</v>
      </c>
      <c r="U217" s="14">
        <f t="shared" si="31"/>
        <v>148.34</v>
      </c>
      <c r="V217" s="15">
        <f t="shared" si="32"/>
        <v>6.9897509834731586E-2</v>
      </c>
      <c r="W217" s="9">
        <f t="shared" si="33"/>
        <v>149.04</v>
      </c>
      <c r="X217" s="9">
        <f t="shared" si="28"/>
        <v>596.16</v>
      </c>
      <c r="Y217" s="81">
        <v>8258.42</v>
      </c>
    </row>
    <row r="218" spans="1:25" ht="31.5" x14ac:dyDescent="0.25">
      <c r="A218" s="90"/>
      <c r="B218" s="10">
        <v>190</v>
      </c>
      <c r="C218" s="11" t="s">
        <v>407</v>
      </c>
      <c r="D218" s="12" t="s">
        <v>406</v>
      </c>
      <c r="E218" s="12">
        <v>9539026</v>
      </c>
      <c r="F218" s="12" t="s">
        <v>121</v>
      </c>
      <c r="G218" s="5">
        <v>33903036</v>
      </c>
      <c r="H218" s="6" t="s">
        <v>201</v>
      </c>
      <c r="I218" s="7" t="s">
        <v>184</v>
      </c>
      <c r="J218" s="8">
        <v>64.58</v>
      </c>
      <c r="K218" s="7" t="s">
        <v>154</v>
      </c>
      <c r="L218" s="7">
        <v>60</v>
      </c>
      <c r="M218" s="21" t="s">
        <v>226</v>
      </c>
      <c r="N218" s="8">
        <v>63</v>
      </c>
      <c r="O218" s="13"/>
      <c r="P218" s="13"/>
      <c r="Q218" s="13"/>
      <c r="R218" s="13"/>
      <c r="S218" s="18">
        <f t="shared" si="29"/>
        <v>60</v>
      </c>
      <c r="T218" s="14">
        <f t="shared" si="30"/>
        <v>62.52</v>
      </c>
      <c r="U218" s="14">
        <f t="shared" si="31"/>
        <v>63</v>
      </c>
      <c r="V218" s="15">
        <f t="shared" si="32"/>
        <v>3.7206512749881196E-2</v>
      </c>
      <c r="W218" s="9">
        <f t="shared" si="33"/>
        <v>62.52</v>
      </c>
      <c r="X218" s="9">
        <f t="shared" si="28"/>
        <v>250.08</v>
      </c>
      <c r="Y218" s="85"/>
    </row>
    <row r="219" spans="1:25" ht="126" x14ac:dyDescent="0.25">
      <c r="A219" s="90"/>
      <c r="B219" s="10">
        <v>191</v>
      </c>
      <c r="C219" s="11" t="s">
        <v>405</v>
      </c>
      <c r="D219" s="12" t="s">
        <v>393</v>
      </c>
      <c r="E219" s="12">
        <v>9466059</v>
      </c>
      <c r="F219" s="12" t="s">
        <v>121</v>
      </c>
      <c r="G219" s="5">
        <v>33903036</v>
      </c>
      <c r="H219" s="72" t="s">
        <v>205</v>
      </c>
      <c r="I219" s="70" t="s">
        <v>250</v>
      </c>
      <c r="J219" s="8">
        <v>102.3</v>
      </c>
      <c r="K219" s="70" t="s">
        <v>308</v>
      </c>
      <c r="L219" s="8">
        <f>90</f>
        <v>90</v>
      </c>
      <c r="M219" s="70" t="s">
        <v>21</v>
      </c>
      <c r="N219" s="70">
        <f>1.08*100</f>
        <v>108</v>
      </c>
      <c r="O219" s="13"/>
      <c r="P219" s="13"/>
      <c r="Q219" s="13"/>
      <c r="R219" s="13"/>
      <c r="S219" s="18">
        <f t="shared" si="29"/>
        <v>90</v>
      </c>
      <c r="T219" s="14">
        <f t="shared" si="30"/>
        <v>100.1</v>
      </c>
      <c r="U219" s="14">
        <f t="shared" si="31"/>
        <v>102.3</v>
      </c>
      <c r="V219" s="15">
        <f t="shared" si="32"/>
        <v>9.1902662394460918E-2</v>
      </c>
      <c r="W219" s="9">
        <f t="shared" si="33"/>
        <v>100.1</v>
      </c>
      <c r="X219" s="9">
        <f t="shared" si="28"/>
        <v>500.5</v>
      </c>
      <c r="Y219" s="85"/>
    </row>
    <row r="220" spans="1:25" ht="63" x14ac:dyDescent="0.25">
      <c r="A220" s="90"/>
      <c r="B220" s="10">
        <v>192</v>
      </c>
      <c r="C220" s="11" t="s">
        <v>404</v>
      </c>
      <c r="D220" s="12" t="s">
        <v>393</v>
      </c>
      <c r="E220" s="12">
        <v>9881111</v>
      </c>
      <c r="F220" s="12" t="s">
        <v>20</v>
      </c>
      <c r="G220" s="5">
        <v>33903036</v>
      </c>
      <c r="H220" s="72" t="s">
        <v>269</v>
      </c>
      <c r="I220" s="21" t="s">
        <v>402</v>
      </c>
      <c r="J220" s="8">
        <v>33.93</v>
      </c>
      <c r="K220" s="21" t="s">
        <v>402</v>
      </c>
      <c r="L220" s="8">
        <v>34.75</v>
      </c>
      <c r="M220" s="21" t="s">
        <v>402</v>
      </c>
      <c r="N220" s="8">
        <v>36</v>
      </c>
      <c r="O220" s="13"/>
      <c r="P220" s="13"/>
      <c r="Q220" s="13"/>
      <c r="R220" s="13"/>
      <c r="S220" s="18">
        <f t="shared" si="29"/>
        <v>33.93</v>
      </c>
      <c r="T220" s="14">
        <f t="shared" si="30"/>
        <v>34.89</v>
      </c>
      <c r="U220" s="14">
        <f t="shared" si="31"/>
        <v>34.75</v>
      </c>
      <c r="V220" s="15">
        <f t="shared" si="32"/>
        <v>2.9874390419789742E-2</v>
      </c>
      <c r="W220" s="9">
        <f t="shared" si="33"/>
        <v>34.89</v>
      </c>
      <c r="X220" s="9">
        <f t="shared" si="28"/>
        <v>697.8</v>
      </c>
      <c r="Y220" s="85"/>
    </row>
    <row r="221" spans="1:25" ht="63" x14ac:dyDescent="0.25">
      <c r="A221" s="90"/>
      <c r="B221" s="10">
        <v>193</v>
      </c>
      <c r="C221" s="11" t="s">
        <v>403</v>
      </c>
      <c r="D221" s="12" t="s">
        <v>393</v>
      </c>
      <c r="E221" s="12">
        <v>9881034</v>
      </c>
      <c r="F221" s="12" t="s">
        <v>20</v>
      </c>
      <c r="G221" s="5">
        <v>33903036</v>
      </c>
      <c r="H221" s="72" t="s">
        <v>266</v>
      </c>
      <c r="I221" s="71" t="s">
        <v>250</v>
      </c>
      <c r="J221" s="59">
        <v>79.8</v>
      </c>
      <c r="K221" s="71" t="s">
        <v>247</v>
      </c>
      <c r="L221" s="71">
        <f>85.9</f>
        <v>85.9</v>
      </c>
      <c r="M221" s="21" t="s">
        <v>402</v>
      </c>
      <c r="N221" s="23">
        <f>6.54*10</f>
        <v>65.400000000000006</v>
      </c>
      <c r="O221" s="13"/>
      <c r="P221" s="13"/>
      <c r="Q221" s="13"/>
      <c r="R221" s="13"/>
      <c r="S221" s="18">
        <f t="shared" si="29"/>
        <v>65.400000000000006</v>
      </c>
      <c r="T221" s="14">
        <f t="shared" si="30"/>
        <v>77.03</v>
      </c>
      <c r="U221" s="14">
        <f t="shared" si="31"/>
        <v>79.8</v>
      </c>
      <c r="V221" s="15">
        <f t="shared" si="32"/>
        <v>0.13664625133799546</v>
      </c>
      <c r="W221" s="9">
        <f t="shared" si="33"/>
        <v>77.03</v>
      </c>
      <c r="X221" s="9">
        <f t="shared" ref="X221:X288" si="34">IF(V221&lt;=25%,T221,U221)*H221</f>
        <v>154.06</v>
      </c>
      <c r="Y221" s="85"/>
    </row>
    <row r="222" spans="1:25" ht="31.5" x14ac:dyDescent="0.25">
      <c r="A222" s="90"/>
      <c r="B222" s="10">
        <v>194</v>
      </c>
      <c r="C222" s="11" t="s">
        <v>401</v>
      </c>
      <c r="D222" s="12" t="s">
        <v>393</v>
      </c>
      <c r="E222" s="12">
        <v>9881116</v>
      </c>
      <c r="F222" s="12" t="s">
        <v>121</v>
      </c>
      <c r="G222" s="5">
        <v>33903036</v>
      </c>
      <c r="H222" s="72" t="s">
        <v>398</v>
      </c>
      <c r="I222" s="71" t="s">
        <v>400</v>
      </c>
      <c r="J222" s="59">
        <f>227.05</f>
        <v>227.05</v>
      </c>
      <c r="K222" s="71" t="s">
        <v>247</v>
      </c>
      <c r="L222" s="71">
        <f>224.9</f>
        <v>224.9</v>
      </c>
      <c r="M222" s="21" t="s">
        <v>195</v>
      </c>
      <c r="N222" s="70">
        <f>218.34</f>
        <v>218.34</v>
      </c>
      <c r="O222" s="13"/>
      <c r="P222" s="13"/>
      <c r="Q222" s="13"/>
      <c r="R222" s="13"/>
      <c r="S222" s="18">
        <f t="shared" si="29"/>
        <v>218.34</v>
      </c>
      <c r="T222" s="14">
        <f t="shared" si="30"/>
        <v>223.43</v>
      </c>
      <c r="U222" s="14">
        <f t="shared" si="31"/>
        <v>224.9</v>
      </c>
      <c r="V222" s="15">
        <f t="shared" si="32"/>
        <v>2.0307285863756738E-2</v>
      </c>
      <c r="W222" s="9">
        <f t="shared" si="33"/>
        <v>223.43</v>
      </c>
      <c r="X222" s="9">
        <f t="shared" si="34"/>
        <v>223.43</v>
      </c>
      <c r="Y222" s="85"/>
    </row>
    <row r="223" spans="1:25" ht="31.5" x14ac:dyDescent="0.25">
      <c r="A223" s="90"/>
      <c r="B223" s="10">
        <v>195</v>
      </c>
      <c r="C223" s="11" t="s">
        <v>399</v>
      </c>
      <c r="D223" s="12" t="s">
        <v>393</v>
      </c>
      <c r="E223" s="12">
        <v>9881063</v>
      </c>
      <c r="F223" s="12" t="s">
        <v>121</v>
      </c>
      <c r="G223" s="5">
        <v>33903036</v>
      </c>
      <c r="H223" s="72" t="s">
        <v>398</v>
      </c>
      <c r="I223" s="70" t="s">
        <v>397</v>
      </c>
      <c r="J223" s="8">
        <f>500</f>
        <v>500</v>
      </c>
      <c r="K223" s="70" t="s">
        <v>396</v>
      </c>
      <c r="L223" s="70">
        <f>396.15</f>
        <v>396.15</v>
      </c>
      <c r="M223" s="21" t="s">
        <v>395</v>
      </c>
      <c r="N223" s="8">
        <f>479.94</f>
        <v>479.94</v>
      </c>
      <c r="O223" s="13"/>
      <c r="P223" s="13"/>
      <c r="Q223" s="13"/>
      <c r="R223" s="13"/>
      <c r="S223" s="18">
        <f t="shared" si="29"/>
        <v>396.15</v>
      </c>
      <c r="T223" s="14">
        <f t="shared" si="30"/>
        <v>458.69</v>
      </c>
      <c r="U223" s="14">
        <f t="shared" si="31"/>
        <v>479.94</v>
      </c>
      <c r="V223" s="15">
        <f t="shared" si="32"/>
        <v>0.12009634660992574</v>
      </c>
      <c r="W223" s="9">
        <f t="shared" si="33"/>
        <v>458.69</v>
      </c>
      <c r="X223" s="9">
        <f t="shared" si="34"/>
        <v>458.69</v>
      </c>
      <c r="Y223" s="85"/>
    </row>
    <row r="224" spans="1:25" ht="78.75" x14ac:dyDescent="0.25">
      <c r="A224" s="90"/>
      <c r="B224" s="10">
        <v>196</v>
      </c>
      <c r="C224" s="11" t="s">
        <v>394</v>
      </c>
      <c r="D224" s="12" t="s">
        <v>393</v>
      </c>
      <c r="E224" s="12">
        <v>9466064</v>
      </c>
      <c r="F224" s="12" t="s">
        <v>20</v>
      </c>
      <c r="G224" s="5">
        <v>33903036</v>
      </c>
      <c r="H224" s="72" t="s">
        <v>266</v>
      </c>
      <c r="I224" s="71" t="s">
        <v>392</v>
      </c>
      <c r="J224" s="8">
        <v>47.99</v>
      </c>
      <c r="K224" s="21" t="s">
        <v>272</v>
      </c>
      <c r="L224" s="8">
        <f>40.05</f>
        <v>40.049999999999997</v>
      </c>
      <c r="M224" s="70" t="s">
        <v>247</v>
      </c>
      <c r="N224" s="8">
        <f>45.9</f>
        <v>45.9</v>
      </c>
      <c r="O224" s="13"/>
      <c r="P224" s="13"/>
      <c r="Q224" s="13"/>
      <c r="R224" s="13"/>
      <c r="S224" s="18">
        <f t="shared" si="29"/>
        <v>40.049999999999997</v>
      </c>
      <c r="T224" s="14">
        <f t="shared" si="30"/>
        <v>44.64</v>
      </c>
      <c r="U224" s="14">
        <f t="shared" si="31"/>
        <v>45.9</v>
      </c>
      <c r="V224" s="15">
        <f t="shared" si="32"/>
        <v>9.2183941111080844E-2</v>
      </c>
      <c r="W224" s="9">
        <f t="shared" si="33"/>
        <v>44.64</v>
      </c>
      <c r="X224" s="9">
        <f t="shared" si="34"/>
        <v>89.28</v>
      </c>
      <c r="Y224" s="85"/>
    </row>
    <row r="225" spans="1:25" ht="25.5" x14ac:dyDescent="0.25">
      <c r="A225" s="90"/>
      <c r="B225" s="10">
        <v>197</v>
      </c>
      <c r="C225" s="11" t="s">
        <v>411</v>
      </c>
      <c r="D225" s="12" t="s">
        <v>393</v>
      </c>
      <c r="E225" s="12">
        <v>9466012</v>
      </c>
      <c r="F225" s="12" t="s">
        <v>410</v>
      </c>
      <c r="G225" s="5">
        <v>33903036</v>
      </c>
      <c r="H225" s="6" t="s">
        <v>260</v>
      </c>
      <c r="I225" s="7" t="s">
        <v>250</v>
      </c>
      <c r="J225" s="8">
        <v>6.2</v>
      </c>
      <c r="K225" s="7" t="s">
        <v>154</v>
      </c>
      <c r="L225" s="8">
        <v>4.5</v>
      </c>
      <c r="M225" s="7" t="s">
        <v>154</v>
      </c>
      <c r="N225" s="7">
        <v>5.9</v>
      </c>
      <c r="O225" s="13"/>
      <c r="P225" s="13"/>
      <c r="Q225" s="13"/>
      <c r="R225" s="13"/>
      <c r="S225" s="18">
        <f t="shared" si="29"/>
        <v>4.5</v>
      </c>
      <c r="T225" s="14">
        <f t="shared" si="30"/>
        <v>5.53</v>
      </c>
      <c r="U225" s="14">
        <f t="shared" si="31"/>
        <v>5.9</v>
      </c>
      <c r="V225" s="15">
        <f t="shared" si="32"/>
        <v>0.16398382637127851</v>
      </c>
      <c r="W225" s="9">
        <f t="shared" si="33"/>
        <v>5.53</v>
      </c>
      <c r="X225" s="9">
        <f t="shared" si="34"/>
        <v>55.300000000000004</v>
      </c>
      <c r="Y225" s="85"/>
    </row>
    <row r="226" spans="1:25" ht="94.5" x14ac:dyDescent="0.25">
      <c r="A226" s="90"/>
      <c r="B226" s="10">
        <v>198</v>
      </c>
      <c r="C226" s="11" t="s">
        <v>415</v>
      </c>
      <c r="D226" s="12" t="s">
        <v>165</v>
      </c>
      <c r="E226" s="12">
        <v>78794106</v>
      </c>
      <c r="F226" s="12" t="s">
        <v>261</v>
      </c>
      <c r="G226" s="5">
        <v>33903036</v>
      </c>
      <c r="H226" s="6" t="s">
        <v>260</v>
      </c>
      <c r="I226" s="7" t="s">
        <v>414</v>
      </c>
      <c r="J226" s="8">
        <v>19.399999999999999</v>
      </c>
      <c r="K226" s="7" t="s">
        <v>413</v>
      </c>
      <c r="L226" s="8">
        <v>31.07</v>
      </c>
      <c r="M226" s="20" t="s">
        <v>412</v>
      </c>
      <c r="N226" s="8">
        <v>22.31</v>
      </c>
      <c r="O226" s="13"/>
      <c r="P226" s="13"/>
      <c r="Q226" s="13"/>
      <c r="R226" s="13"/>
      <c r="S226" s="18">
        <f t="shared" si="29"/>
        <v>19.399999999999999</v>
      </c>
      <c r="T226" s="14">
        <f t="shared" si="30"/>
        <v>24.26</v>
      </c>
      <c r="U226" s="14">
        <f t="shared" si="31"/>
        <v>22.31</v>
      </c>
      <c r="V226" s="15">
        <f t="shared" si="32"/>
        <v>0.2503900634469709</v>
      </c>
      <c r="W226" s="9">
        <f t="shared" si="33"/>
        <v>22.31</v>
      </c>
      <c r="X226" s="9">
        <f t="shared" si="34"/>
        <v>223.1</v>
      </c>
      <c r="Y226" s="85"/>
    </row>
    <row r="227" spans="1:25" ht="31.5" x14ac:dyDescent="0.25">
      <c r="A227" s="90"/>
      <c r="B227" s="10">
        <v>199</v>
      </c>
      <c r="C227" s="11" t="s">
        <v>416</v>
      </c>
      <c r="D227" s="12" t="s">
        <v>406</v>
      </c>
      <c r="E227" s="12">
        <v>9539037</v>
      </c>
      <c r="F227" s="12" t="s">
        <v>20</v>
      </c>
      <c r="G227" s="5">
        <v>33903036</v>
      </c>
      <c r="H227" s="6" t="s">
        <v>269</v>
      </c>
      <c r="I227" s="17" t="s">
        <v>250</v>
      </c>
      <c r="J227" s="8">
        <v>9.6999999999999993</v>
      </c>
      <c r="K227" s="7" t="s">
        <v>22</v>
      </c>
      <c r="L227" s="8">
        <v>8.42</v>
      </c>
      <c r="M227" s="7" t="s">
        <v>22</v>
      </c>
      <c r="N227" s="8">
        <v>8.1</v>
      </c>
      <c r="O227" s="13"/>
      <c r="P227" s="13"/>
      <c r="Q227" s="13"/>
      <c r="R227" s="13"/>
      <c r="S227" s="18">
        <f t="shared" si="29"/>
        <v>8.1</v>
      </c>
      <c r="T227" s="14">
        <f t="shared" si="30"/>
        <v>8.74</v>
      </c>
      <c r="U227" s="14">
        <f t="shared" si="31"/>
        <v>8.42</v>
      </c>
      <c r="V227" s="15">
        <f t="shared" si="32"/>
        <v>9.6869613219756151E-2</v>
      </c>
      <c r="W227" s="9">
        <f t="shared" si="33"/>
        <v>8.74</v>
      </c>
      <c r="X227" s="9">
        <f t="shared" si="34"/>
        <v>174.8</v>
      </c>
      <c r="Y227" s="85"/>
    </row>
    <row r="228" spans="1:25" ht="47.25" x14ac:dyDescent="0.25">
      <c r="A228" s="90"/>
      <c r="B228" s="10">
        <v>200</v>
      </c>
      <c r="C228" s="11" t="s">
        <v>418</v>
      </c>
      <c r="D228" s="12" t="s">
        <v>406</v>
      </c>
      <c r="E228" s="12">
        <v>9555009</v>
      </c>
      <c r="F228" s="12" t="s">
        <v>410</v>
      </c>
      <c r="G228" s="5">
        <v>33903036</v>
      </c>
      <c r="H228" s="27" t="s">
        <v>417</v>
      </c>
      <c r="I228" s="17" t="s">
        <v>226</v>
      </c>
      <c r="J228" s="8">
        <v>28</v>
      </c>
      <c r="K228" s="17" t="s">
        <v>250</v>
      </c>
      <c r="L228" s="8">
        <v>28</v>
      </c>
      <c r="M228" s="17" t="s">
        <v>141</v>
      </c>
      <c r="N228" s="7">
        <v>26.05</v>
      </c>
      <c r="O228" s="13"/>
      <c r="P228" s="13"/>
      <c r="Q228" s="13"/>
      <c r="R228" s="13"/>
      <c r="S228" s="18">
        <f t="shared" si="29"/>
        <v>26.05</v>
      </c>
      <c r="T228" s="14">
        <f t="shared" si="30"/>
        <v>27.35</v>
      </c>
      <c r="U228" s="14">
        <f t="shared" si="31"/>
        <v>28</v>
      </c>
      <c r="V228" s="15">
        <f t="shared" si="32"/>
        <v>4.1163913159772213E-2</v>
      </c>
      <c r="W228" s="9">
        <f t="shared" si="33"/>
        <v>27.35</v>
      </c>
      <c r="X228" s="9">
        <f t="shared" si="34"/>
        <v>136.75</v>
      </c>
      <c r="Y228" s="85"/>
    </row>
    <row r="229" spans="1:25" ht="126" x14ac:dyDescent="0.25">
      <c r="A229" s="90"/>
      <c r="B229" s="10">
        <v>201</v>
      </c>
      <c r="C229" s="11" t="s">
        <v>593</v>
      </c>
      <c r="D229" s="12" t="s">
        <v>25</v>
      </c>
      <c r="E229" s="12">
        <v>111600094</v>
      </c>
      <c r="F229" s="12" t="s">
        <v>121</v>
      </c>
      <c r="G229" s="5">
        <v>33903035</v>
      </c>
      <c r="H229" s="27" t="s">
        <v>266</v>
      </c>
      <c r="I229" s="17" t="s">
        <v>250</v>
      </c>
      <c r="J229" s="8">
        <v>42</v>
      </c>
      <c r="K229" s="7" t="s">
        <v>22</v>
      </c>
      <c r="L229" s="8">
        <f>0.57*100</f>
        <v>56.999999999999993</v>
      </c>
      <c r="M229" s="21" t="s">
        <v>592</v>
      </c>
      <c r="N229" s="8">
        <f>0.53*100</f>
        <v>53</v>
      </c>
      <c r="O229" s="13"/>
      <c r="P229" s="13"/>
      <c r="Q229" s="13"/>
      <c r="R229" s="13"/>
      <c r="S229" s="18">
        <f t="shared" si="29"/>
        <v>42</v>
      </c>
      <c r="T229" s="14">
        <f t="shared" si="30"/>
        <v>50.66</v>
      </c>
      <c r="U229" s="14">
        <f t="shared" si="31"/>
        <v>53</v>
      </c>
      <c r="V229" s="15">
        <f t="shared" si="32"/>
        <v>0.15330500260172386</v>
      </c>
      <c r="W229" s="9">
        <f t="shared" si="33"/>
        <v>50.66</v>
      </c>
      <c r="X229" s="9">
        <f t="shared" si="34"/>
        <v>101.32</v>
      </c>
      <c r="Y229" s="85"/>
    </row>
    <row r="230" spans="1:25" ht="94.5" x14ac:dyDescent="0.25">
      <c r="A230" s="90"/>
      <c r="B230" s="10">
        <v>202</v>
      </c>
      <c r="C230" s="11" t="s">
        <v>419</v>
      </c>
      <c r="D230" s="12" t="s">
        <v>393</v>
      </c>
      <c r="E230" s="12">
        <v>9466019</v>
      </c>
      <c r="F230" s="12" t="s">
        <v>121</v>
      </c>
      <c r="G230" s="5">
        <v>33903036</v>
      </c>
      <c r="H230" s="28">
        <v>4</v>
      </c>
      <c r="I230" s="17" t="s">
        <v>154</v>
      </c>
      <c r="J230" s="7">
        <v>257.27999999999997</v>
      </c>
      <c r="K230" s="17" t="s">
        <v>154</v>
      </c>
      <c r="L230" s="7">
        <v>263.7</v>
      </c>
      <c r="M230" s="7" t="s">
        <v>341</v>
      </c>
      <c r="N230" s="7">
        <v>328.08</v>
      </c>
      <c r="O230" s="13"/>
      <c r="P230" s="13"/>
      <c r="Q230" s="13"/>
      <c r="R230" s="13"/>
      <c r="S230" s="18">
        <f t="shared" si="29"/>
        <v>257.27999999999997</v>
      </c>
      <c r="T230" s="14">
        <f t="shared" si="30"/>
        <v>283.02</v>
      </c>
      <c r="U230" s="14">
        <f t="shared" si="31"/>
        <v>263.7</v>
      </c>
      <c r="V230" s="15">
        <f t="shared" si="32"/>
        <v>0.13834678728841254</v>
      </c>
      <c r="W230" s="9">
        <f t="shared" si="33"/>
        <v>283.02</v>
      </c>
      <c r="X230" s="9">
        <f t="shared" si="34"/>
        <v>1132.08</v>
      </c>
      <c r="Y230" s="85"/>
    </row>
    <row r="231" spans="1:25" ht="31.5" x14ac:dyDescent="0.25">
      <c r="A231" s="90"/>
      <c r="B231" s="10">
        <v>203</v>
      </c>
      <c r="C231" s="11" t="s">
        <v>420</v>
      </c>
      <c r="D231" s="5" t="s">
        <v>393</v>
      </c>
      <c r="E231" s="5">
        <v>29505009</v>
      </c>
      <c r="F231" s="5" t="s">
        <v>20</v>
      </c>
      <c r="G231" s="5">
        <v>33903036</v>
      </c>
      <c r="H231" s="6">
        <v>20</v>
      </c>
      <c r="I231" s="7" t="s">
        <v>226</v>
      </c>
      <c r="J231" s="8">
        <v>9.8000000000000007</v>
      </c>
      <c r="K231" s="7" t="s">
        <v>250</v>
      </c>
      <c r="L231" s="8">
        <v>6</v>
      </c>
      <c r="M231" s="7" t="s">
        <v>22</v>
      </c>
      <c r="N231" s="7">
        <v>5.0199999999999996</v>
      </c>
      <c r="O231" s="66"/>
      <c r="P231" s="66"/>
      <c r="Q231" s="66"/>
      <c r="R231" s="66"/>
      <c r="S231" s="56">
        <f t="shared" si="29"/>
        <v>5.0199999999999996</v>
      </c>
      <c r="T231" s="56">
        <f t="shared" si="30"/>
        <v>6.94</v>
      </c>
      <c r="U231" s="56">
        <f t="shared" si="31"/>
        <v>6</v>
      </c>
      <c r="V231" s="55">
        <f t="shared" si="32"/>
        <v>0.36380931244642106</v>
      </c>
      <c r="W231" s="9">
        <f t="shared" si="33"/>
        <v>6</v>
      </c>
      <c r="X231" s="9">
        <f t="shared" si="34"/>
        <v>120</v>
      </c>
      <c r="Y231" s="85"/>
    </row>
    <row r="232" spans="1:25" ht="15.75" x14ac:dyDescent="0.25">
      <c r="A232" s="90"/>
      <c r="B232" s="10">
        <v>204</v>
      </c>
      <c r="C232" s="11" t="s">
        <v>591</v>
      </c>
      <c r="D232" s="12" t="s">
        <v>393</v>
      </c>
      <c r="E232" s="12">
        <v>9466053</v>
      </c>
      <c r="F232" s="12" t="s">
        <v>410</v>
      </c>
      <c r="G232" s="5">
        <v>33903036</v>
      </c>
      <c r="H232" s="6" t="s">
        <v>590</v>
      </c>
      <c r="I232" s="21" t="s">
        <v>195</v>
      </c>
      <c r="J232" s="8">
        <v>49.9</v>
      </c>
      <c r="K232" s="7" t="s">
        <v>252</v>
      </c>
      <c r="L232" s="8">
        <f>47.9</f>
        <v>47.9</v>
      </c>
      <c r="M232" s="7" t="s">
        <v>589</v>
      </c>
      <c r="N232" s="7">
        <v>45.59</v>
      </c>
      <c r="O232" s="13"/>
      <c r="P232" s="13"/>
      <c r="Q232" s="13"/>
      <c r="R232" s="13"/>
      <c r="S232" s="18">
        <f t="shared" si="29"/>
        <v>45.59</v>
      </c>
      <c r="T232" s="14">
        <f t="shared" si="30"/>
        <v>47.79</v>
      </c>
      <c r="U232" s="14">
        <f t="shared" si="31"/>
        <v>47.9</v>
      </c>
      <c r="V232" s="15">
        <f t="shared" si="32"/>
        <v>4.5125684112553327E-2</v>
      </c>
      <c r="W232" s="9">
        <f t="shared" si="33"/>
        <v>47.79</v>
      </c>
      <c r="X232" s="9">
        <f t="shared" si="34"/>
        <v>95.58</v>
      </c>
      <c r="Y232" s="85"/>
    </row>
    <row r="233" spans="1:25" ht="47.25" x14ac:dyDescent="0.25">
      <c r="A233" s="90"/>
      <c r="B233" s="10">
        <v>205</v>
      </c>
      <c r="C233" s="11" t="s">
        <v>426</v>
      </c>
      <c r="D233" s="12" t="s">
        <v>393</v>
      </c>
      <c r="E233" s="12">
        <v>9466064</v>
      </c>
      <c r="F233" s="12" t="s">
        <v>410</v>
      </c>
      <c r="G233" s="5">
        <v>33903036</v>
      </c>
      <c r="H233" s="6" t="s">
        <v>425</v>
      </c>
      <c r="I233" s="7" t="s">
        <v>250</v>
      </c>
      <c r="J233" s="8">
        <v>80</v>
      </c>
      <c r="K233" s="7" t="s">
        <v>424</v>
      </c>
      <c r="L233" s="8">
        <v>79</v>
      </c>
      <c r="M233" s="7" t="s">
        <v>423</v>
      </c>
      <c r="N233" s="7">
        <v>76</v>
      </c>
      <c r="O233" s="13"/>
      <c r="P233" s="13"/>
      <c r="Q233" s="13"/>
      <c r="R233" s="13"/>
      <c r="S233" s="18">
        <f t="shared" si="29"/>
        <v>76</v>
      </c>
      <c r="T233" s="14">
        <f t="shared" si="30"/>
        <v>78.33</v>
      </c>
      <c r="U233" s="14">
        <f t="shared" si="31"/>
        <v>79</v>
      </c>
      <c r="V233" s="15">
        <f t="shared" si="32"/>
        <v>2.6574459567652763E-2</v>
      </c>
      <c r="W233" s="9">
        <f t="shared" si="33"/>
        <v>78.33</v>
      </c>
      <c r="X233" s="9">
        <f t="shared" si="34"/>
        <v>1174.95</v>
      </c>
      <c r="Y233" s="85"/>
    </row>
    <row r="234" spans="1:25" ht="47.25" x14ac:dyDescent="0.25">
      <c r="A234" s="90"/>
      <c r="B234" s="10">
        <v>206</v>
      </c>
      <c r="C234" s="11" t="s">
        <v>422</v>
      </c>
      <c r="D234" s="12" t="s">
        <v>421</v>
      </c>
      <c r="E234" s="12">
        <v>36021059</v>
      </c>
      <c r="F234" s="12" t="s">
        <v>121</v>
      </c>
      <c r="G234" s="5">
        <v>33903036</v>
      </c>
      <c r="H234" s="6" t="s">
        <v>260</v>
      </c>
      <c r="I234" s="7" t="s">
        <v>195</v>
      </c>
      <c r="J234" s="8">
        <v>7.99</v>
      </c>
      <c r="K234" s="7" t="s">
        <v>252</v>
      </c>
      <c r="L234" s="8">
        <v>7.99</v>
      </c>
      <c r="M234" s="7" t="s">
        <v>207</v>
      </c>
      <c r="N234" s="7">
        <v>8.49</v>
      </c>
      <c r="O234" s="13"/>
      <c r="P234" s="13"/>
      <c r="Q234" s="13"/>
      <c r="R234" s="13"/>
      <c r="S234" s="18">
        <f t="shared" si="29"/>
        <v>7.99</v>
      </c>
      <c r="T234" s="14">
        <f t="shared" si="30"/>
        <v>8.15</v>
      </c>
      <c r="U234" s="14">
        <f t="shared" si="31"/>
        <v>7.99</v>
      </c>
      <c r="V234" s="15">
        <f t="shared" si="32"/>
        <v>3.5391311965036323E-2</v>
      </c>
      <c r="W234" s="9">
        <f t="shared" si="33"/>
        <v>8.15</v>
      </c>
      <c r="X234" s="9">
        <f t="shared" si="34"/>
        <v>81.5</v>
      </c>
      <c r="Y234" s="85"/>
    </row>
    <row r="235" spans="1:25" ht="31.5" x14ac:dyDescent="0.25">
      <c r="A235" s="90"/>
      <c r="B235" s="10">
        <v>207</v>
      </c>
      <c r="C235" s="11" t="s">
        <v>431</v>
      </c>
      <c r="D235" s="12" t="s">
        <v>430</v>
      </c>
      <c r="E235" s="12">
        <v>94009</v>
      </c>
      <c r="F235" s="12" t="s">
        <v>429</v>
      </c>
      <c r="G235" s="5">
        <v>33903036</v>
      </c>
      <c r="H235" s="6" t="s">
        <v>428</v>
      </c>
      <c r="I235" s="7" t="s">
        <v>413</v>
      </c>
      <c r="J235" s="8">
        <v>21.87</v>
      </c>
      <c r="K235" s="7" t="s">
        <v>346</v>
      </c>
      <c r="L235" s="8">
        <v>23.61</v>
      </c>
      <c r="M235" s="7" t="s">
        <v>427</v>
      </c>
      <c r="N235" s="7">
        <v>23.18</v>
      </c>
      <c r="O235" s="13"/>
      <c r="P235" s="13"/>
      <c r="Q235" s="13"/>
      <c r="R235" s="13"/>
      <c r="S235" s="18">
        <f t="shared" si="29"/>
        <v>21.87</v>
      </c>
      <c r="T235" s="14">
        <f t="shared" si="30"/>
        <v>22.88</v>
      </c>
      <c r="U235" s="14">
        <f t="shared" si="31"/>
        <v>23.18</v>
      </c>
      <c r="V235" s="15">
        <f t="shared" si="32"/>
        <v>3.9600768753532405E-2</v>
      </c>
      <c r="W235" s="9">
        <f t="shared" si="33"/>
        <v>22.88</v>
      </c>
      <c r="X235" s="9">
        <f t="shared" si="34"/>
        <v>686.4</v>
      </c>
      <c r="Y235" s="85"/>
    </row>
    <row r="236" spans="1:25" ht="25.5" x14ac:dyDescent="0.25">
      <c r="A236" s="90"/>
      <c r="B236" s="10">
        <v>208</v>
      </c>
      <c r="C236" s="11" t="s">
        <v>434</v>
      </c>
      <c r="D236" s="12" t="s">
        <v>432</v>
      </c>
      <c r="E236" s="12">
        <v>115460002</v>
      </c>
      <c r="F236" s="12" t="s">
        <v>410</v>
      </c>
      <c r="G236" s="5">
        <v>33903036</v>
      </c>
      <c r="H236" s="28" t="s">
        <v>209</v>
      </c>
      <c r="I236" s="7" t="s">
        <v>21</v>
      </c>
      <c r="J236" s="8">
        <v>74.150000000000006</v>
      </c>
      <c r="K236" s="7" t="s">
        <v>392</v>
      </c>
      <c r="L236" s="8">
        <v>84.99</v>
      </c>
      <c r="M236" s="7" t="s">
        <v>392</v>
      </c>
      <c r="N236" s="7">
        <v>68.14</v>
      </c>
      <c r="O236" s="13"/>
      <c r="P236" s="13"/>
      <c r="Q236" s="13"/>
      <c r="R236" s="13"/>
      <c r="S236" s="18">
        <f t="shared" si="29"/>
        <v>68.14</v>
      </c>
      <c r="T236" s="14">
        <f t="shared" si="30"/>
        <v>75.760000000000005</v>
      </c>
      <c r="U236" s="14">
        <f t="shared" si="31"/>
        <v>74.150000000000006</v>
      </c>
      <c r="V236" s="15">
        <f t="shared" si="32"/>
        <v>0.11271906031124371</v>
      </c>
      <c r="W236" s="9">
        <f t="shared" si="33"/>
        <v>75.760000000000005</v>
      </c>
      <c r="X236" s="9">
        <f t="shared" si="34"/>
        <v>303.04000000000002</v>
      </c>
      <c r="Y236" s="85"/>
    </row>
    <row r="237" spans="1:25" ht="126" x14ac:dyDescent="0.25">
      <c r="A237" s="90"/>
      <c r="B237" s="10">
        <v>209</v>
      </c>
      <c r="C237" s="30" t="s">
        <v>433</v>
      </c>
      <c r="D237" s="12" t="s">
        <v>432</v>
      </c>
      <c r="E237" s="12">
        <v>115460006</v>
      </c>
      <c r="F237" s="12" t="s">
        <v>410</v>
      </c>
      <c r="G237" s="5">
        <v>33903036</v>
      </c>
      <c r="H237" s="28">
        <v>4</v>
      </c>
      <c r="I237" s="7" t="s">
        <v>250</v>
      </c>
      <c r="J237" s="7">
        <v>202</v>
      </c>
      <c r="K237" s="7" t="s">
        <v>392</v>
      </c>
      <c r="L237" s="7">
        <v>123.1</v>
      </c>
      <c r="M237" s="7" t="s">
        <v>392</v>
      </c>
      <c r="N237" s="7">
        <v>159.4</v>
      </c>
      <c r="O237" s="13"/>
      <c r="P237" s="13"/>
      <c r="Q237" s="13"/>
      <c r="R237" s="13"/>
      <c r="S237" s="18">
        <f t="shared" si="29"/>
        <v>123.1</v>
      </c>
      <c r="T237" s="14">
        <f t="shared" si="30"/>
        <v>161.5</v>
      </c>
      <c r="U237" s="14">
        <f t="shared" si="31"/>
        <v>159.4</v>
      </c>
      <c r="V237" s="15">
        <f t="shared" si="32"/>
        <v>0.24453187556186295</v>
      </c>
      <c r="W237" s="9">
        <f t="shared" si="33"/>
        <v>161.5</v>
      </c>
      <c r="X237" s="9">
        <f t="shared" si="34"/>
        <v>646</v>
      </c>
      <c r="Y237" s="85"/>
    </row>
    <row r="238" spans="1:25" ht="47.25" x14ac:dyDescent="0.25">
      <c r="A238" s="89"/>
      <c r="B238" s="10">
        <v>210</v>
      </c>
      <c r="C238" s="11" t="s">
        <v>599</v>
      </c>
      <c r="D238" s="12" t="s">
        <v>435</v>
      </c>
      <c r="E238" s="12">
        <v>38296012</v>
      </c>
      <c r="F238" s="12" t="s">
        <v>121</v>
      </c>
      <c r="G238" s="5">
        <v>33903036</v>
      </c>
      <c r="H238" s="6" t="s">
        <v>260</v>
      </c>
      <c r="I238" s="17" t="s">
        <v>21</v>
      </c>
      <c r="J238" s="8">
        <v>35.700000000000003</v>
      </c>
      <c r="K238" s="17" t="s">
        <v>21</v>
      </c>
      <c r="L238" s="8">
        <v>37.79</v>
      </c>
      <c r="M238" s="17" t="s">
        <v>21</v>
      </c>
      <c r="N238" s="8">
        <v>33.799999999999997</v>
      </c>
      <c r="O238" s="13"/>
      <c r="P238" s="13"/>
      <c r="Q238" s="13"/>
      <c r="R238" s="13"/>
      <c r="S238" s="18">
        <f t="shared" si="29"/>
        <v>33.799999999999997</v>
      </c>
      <c r="T238" s="14">
        <f t="shared" si="30"/>
        <v>35.76</v>
      </c>
      <c r="U238" s="14">
        <f t="shared" si="31"/>
        <v>35.700000000000003</v>
      </c>
      <c r="V238" s="15">
        <f t="shared" si="32"/>
        <v>5.580446898596067E-2</v>
      </c>
      <c r="W238" s="9">
        <f t="shared" si="33"/>
        <v>35.76</v>
      </c>
      <c r="X238" s="9">
        <f t="shared" si="34"/>
        <v>357.59999999999997</v>
      </c>
      <c r="Y238" s="82"/>
    </row>
    <row r="239" spans="1:25" ht="15.75" customHeight="1" x14ac:dyDescent="0.25">
      <c r="A239" s="83"/>
      <c r="B239" s="83"/>
      <c r="C239" s="83"/>
      <c r="D239" s="83"/>
      <c r="E239" s="83"/>
      <c r="F239" s="83"/>
      <c r="G239" s="83"/>
      <c r="H239" s="83"/>
      <c r="I239" s="83"/>
      <c r="J239" s="83"/>
      <c r="K239" s="83"/>
      <c r="L239" s="83"/>
      <c r="M239" s="83"/>
      <c r="N239" s="83"/>
      <c r="O239" s="83"/>
      <c r="P239" s="83"/>
      <c r="Q239" s="83"/>
      <c r="R239" s="83"/>
      <c r="S239" s="83"/>
      <c r="T239" s="83"/>
      <c r="U239" s="83"/>
      <c r="V239" s="83"/>
      <c r="W239" s="83"/>
      <c r="X239" s="83"/>
      <c r="Y239" s="84"/>
    </row>
    <row r="240" spans="1:25" ht="31.5" x14ac:dyDescent="0.25">
      <c r="A240" s="88">
        <v>27</v>
      </c>
      <c r="B240" s="10">
        <v>211</v>
      </c>
      <c r="C240" s="11" t="s">
        <v>598</v>
      </c>
      <c r="D240" s="12" t="s">
        <v>157</v>
      </c>
      <c r="E240" s="12">
        <v>124001002</v>
      </c>
      <c r="F240" s="12" t="s">
        <v>20</v>
      </c>
      <c r="G240" s="5">
        <v>33903036</v>
      </c>
      <c r="H240" s="27">
        <v>10</v>
      </c>
      <c r="I240" s="20" t="s">
        <v>226</v>
      </c>
      <c r="J240" s="8">
        <v>100</v>
      </c>
      <c r="K240" s="20" t="s">
        <v>250</v>
      </c>
      <c r="L240" s="8">
        <v>130</v>
      </c>
      <c r="M240" s="20" t="s">
        <v>438</v>
      </c>
      <c r="N240" s="8">
        <f>115.9</f>
        <v>115.9</v>
      </c>
      <c r="O240" s="13"/>
      <c r="P240" s="13"/>
      <c r="Q240" s="13"/>
      <c r="R240" s="13"/>
      <c r="S240" s="18">
        <f t="shared" si="29"/>
        <v>100</v>
      </c>
      <c r="T240" s="14">
        <f t="shared" si="30"/>
        <v>115.3</v>
      </c>
      <c r="U240" s="14">
        <f t="shared" si="31"/>
        <v>115.9</v>
      </c>
      <c r="V240" s="15">
        <f t="shared" si="32"/>
        <v>0.13017343713459498</v>
      </c>
      <c r="W240" s="9">
        <f t="shared" si="33"/>
        <v>115.3</v>
      </c>
      <c r="X240" s="9">
        <f t="shared" si="34"/>
        <v>1153</v>
      </c>
      <c r="Y240" s="81">
        <v>6800.07</v>
      </c>
    </row>
    <row r="241" spans="1:25" ht="63" x14ac:dyDescent="0.25">
      <c r="A241" s="90"/>
      <c r="B241" s="10">
        <v>212</v>
      </c>
      <c r="C241" s="11" t="s">
        <v>596</v>
      </c>
      <c r="D241" s="12" t="s">
        <v>157</v>
      </c>
      <c r="E241" s="12">
        <v>122181012</v>
      </c>
      <c r="F241" s="12" t="s">
        <v>20</v>
      </c>
      <c r="G241" s="5">
        <v>33903036</v>
      </c>
      <c r="H241" s="27">
        <v>10</v>
      </c>
      <c r="I241" s="17" t="s">
        <v>226</v>
      </c>
      <c r="J241" s="8">
        <v>230</v>
      </c>
      <c r="K241" s="17" t="s">
        <v>437</v>
      </c>
      <c r="L241" s="8">
        <v>219.99</v>
      </c>
      <c r="M241" s="17" t="s">
        <v>436</v>
      </c>
      <c r="N241" s="7">
        <f>174.99+25.9</f>
        <v>200.89000000000001</v>
      </c>
      <c r="O241" s="13"/>
      <c r="P241" s="13"/>
      <c r="Q241" s="13"/>
      <c r="R241" s="13"/>
      <c r="S241" s="18">
        <f t="shared" si="29"/>
        <v>200.89000000000001</v>
      </c>
      <c r="T241" s="14">
        <f t="shared" si="30"/>
        <v>216.96</v>
      </c>
      <c r="U241" s="14">
        <f t="shared" si="31"/>
        <v>219.99</v>
      </c>
      <c r="V241" s="15">
        <f t="shared" si="32"/>
        <v>6.8167627244236126E-2</v>
      </c>
      <c r="W241" s="9">
        <f t="shared" si="33"/>
        <v>216.96</v>
      </c>
      <c r="X241" s="9">
        <f t="shared" si="34"/>
        <v>2169.6</v>
      </c>
      <c r="Y241" s="85"/>
    </row>
    <row r="242" spans="1:25" ht="47.25" x14ac:dyDescent="0.25">
      <c r="A242" s="90"/>
      <c r="B242" s="10">
        <v>213</v>
      </c>
      <c r="C242" s="11" t="s">
        <v>597</v>
      </c>
      <c r="D242" s="12" t="s">
        <v>440</v>
      </c>
      <c r="E242" s="12">
        <v>64882836</v>
      </c>
      <c r="F242" s="12" t="s">
        <v>121</v>
      </c>
      <c r="G242" s="5">
        <v>33903009</v>
      </c>
      <c r="H242" s="16" t="s">
        <v>269</v>
      </c>
      <c r="I242" s="7" t="s">
        <v>21</v>
      </c>
      <c r="J242" s="7">
        <v>17.5</v>
      </c>
      <c r="K242" s="7" t="s">
        <v>21</v>
      </c>
      <c r="L242" s="8">
        <v>21</v>
      </c>
      <c r="M242" s="7" t="s">
        <v>21</v>
      </c>
      <c r="N242" s="8">
        <v>22.5</v>
      </c>
      <c r="O242" s="13"/>
      <c r="P242" s="13"/>
      <c r="Q242" s="13"/>
      <c r="R242" s="13"/>
      <c r="S242" s="18">
        <f t="shared" si="29"/>
        <v>17.5</v>
      </c>
      <c r="T242" s="14">
        <f t="shared" si="30"/>
        <v>20.329999999999998</v>
      </c>
      <c r="U242" s="14">
        <f t="shared" si="31"/>
        <v>21</v>
      </c>
      <c r="V242" s="15">
        <f t="shared" si="32"/>
        <v>0.12618692064213688</v>
      </c>
      <c r="W242" s="9">
        <f t="shared" si="33"/>
        <v>20.329999999999998</v>
      </c>
      <c r="X242" s="9">
        <f t="shared" si="34"/>
        <v>406.59999999999997</v>
      </c>
      <c r="Y242" s="85"/>
    </row>
    <row r="243" spans="1:25" ht="78.75" x14ac:dyDescent="0.25">
      <c r="A243" s="90"/>
      <c r="B243" s="10">
        <v>214</v>
      </c>
      <c r="C243" s="11" t="s">
        <v>588</v>
      </c>
      <c r="D243" s="12" t="s">
        <v>440</v>
      </c>
      <c r="E243" s="12">
        <v>122440001</v>
      </c>
      <c r="F243" s="12" t="s">
        <v>121</v>
      </c>
      <c r="G243" s="5">
        <v>33903036</v>
      </c>
      <c r="H243" s="16">
        <v>6</v>
      </c>
      <c r="I243" s="7" t="s">
        <v>587</v>
      </c>
      <c r="J243" s="8">
        <v>109.9</v>
      </c>
      <c r="K243" s="7" t="s">
        <v>586</v>
      </c>
      <c r="L243" s="7">
        <v>119.9</v>
      </c>
      <c r="M243" s="21" t="s">
        <v>585</v>
      </c>
      <c r="N243" s="8">
        <v>109.9</v>
      </c>
      <c r="O243" s="13"/>
      <c r="P243" s="13"/>
      <c r="Q243" s="13"/>
      <c r="R243" s="13"/>
      <c r="S243" s="18">
        <f t="shared" si="29"/>
        <v>109.9</v>
      </c>
      <c r="T243" s="14">
        <f t="shared" si="30"/>
        <v>113.23</v>
      </c>
      <c r="U243" s="14">
        <f t="shared" si="31"/>
        <v>109.9</v>
      </c>
      <c r="V243" s="15">
        <f t="shared" si="32"/>
        <v>5.0987659922545683E-2</v>
      </c>
      <c r="W243" s="9">
        <f t="shared" si="33"/>
        <v>113.23</v>
      </c>
      <c r="X243" s="9">
        <f t="shared" si="34"/>
        <v>679.38</v>
      </c>
      <c r="Y243" s="85"/>
    </row>
    <row r="244" spans="1:25" ht="63" x14ac:dyDescent="0.25">
      <c r="A244" s="90"/>
      <c r="B244" s="10">
        <v>215</v>
      </c>
      <c r="C244" s="33" t="s">
        <v>600</v>
      </c>
      <c r="D244" s="32" t="s">
        <v>25</v>
      </c>
      <c r="E244" s="12">
        <v>77259004</v>
      </c>
      <c r="F244" s="12" t="s">
        <v>121</v>
      </c>
      <c r="G244" s="12">
        <v>33903035</v>
      </c>
      <c r="H244" s="28">
        <v>18</v>
      </c>
      <c r="I244" s="7" t="s">
        <v>29</v>
      </c>
      <c r="J244" s="7">
        <v>62.7</v>
      </c>
      <c r="K244" s="7" t="s">
        <v>263</v>
      </c>
      <c r="L244" s="7">
        <v>63.99</v>
      </c>
      <c r="M244" s="7" t="s">
        <v>30</v>
      </c>
      <c r="N244" s="7">
        <v>68.62</v>
      </c>
      <c r="O244" s="13"/>
      <c r="P244" s="13"/>
      <c r="Q244" s="13"/>
      <c r="R244" s="13"/>
      <c r="S244" s="18">
        <f t="shared" si="29"/>
        <v>62.7</v>
      </c>
      <c r="T244" s="14">
        <f t="shared" si="30"/>
        <v>65.099999999999994</v>
      </c>
      <c r="U244" s="14">
        <f t="shared" si="31"/>
        <v>63.99</v>
      </c>
      <c r="V244" s="15">
        <f t="shared" si="32"/>
        <v>4.781743759397019E-2</v>
      </c>
      <c r="W244" s="9">
        <f t="shared" si="33"/>
        <v>65.099999999999994</v>
      </c>
      <c r="X244" s="9">
        <f t="shared" si="34"/>
        <v>1171.8</v>
      </c>
      <c r="Y244" s="85"/>
    </row>
    <row r="245" spans="1:25" ht="47.25" x14ac:dyDescent="0.25">
      <c r="A245" s="90"/>
      <c r="B245" s="10">
        <v>216</v>
      </c>
      <c r="C245" s="11" t="s">
        <v>584</v>
      </c>
      <c r="D245" s="12" t="s">
        <v>583</v>
      </c>
      <c r="E245" s="12">
        <v>9695002</v>
      </c>
      <c r="F245" s="12" t="s">
        <v>121</v>
      </c>
      <c r="G245" s="5">
        <v>33903036</v>
      </c>
      <c r="H245" s="6" t="s">
        <v>205</v>
      </c>
      <c r="I245" s="7" t="s">
        <v>250</v>
      </c>
      <c r="J245" s="8">
        <v>70</v>
      </c>
      <c r="K245" s="7" t="s">
        <v>341</v>
      </c>
      <c r="L245" s="7">
        <v>69.989999999999995</v>
      </c>
      <c r="M245" s="21" t="s">
        <v>582</v>
      </c>
      <c r="N245" s="8">
        <v>64</v>
      </c>
      <c r="O245" s="13"/>
      <c r="P245" s="13"/>
      <c r="Q245" s="13"/>
      <c r="R245" s="13"/>
      <c r="S245" s="18">
        <f t="shared" si="29"/>
        <v>64</v>
      </c>
      <c r="T245" s="14">
        <f t="shared" si="30"/>
        <v>67.989999999999995</v>
      </c>
      <c r="U245" s="14">
        <f t="shared" si="31"/>
        <v>69.989999999999995</v>
      </c>
      <c r="V245" s="15">
        <f t="shared" si="32"/>
        <v>5.0902766928358892E-2</v>
      </c>
      <c r="W245" s="9">
        <f t="shared" si="33"/>
        <v>67.989999999999995</v>
      </c>
      <c r="X245" s="9">
        <f t="shared" si="34"/>
        <v>339.95</v>
      </c>
      <c r="Y245" s="85"/>
    </row>
    <row r="246" spans="1:25" ht="47.25" x14ac:dyDescent="0.25">
      <c r="A246" s="90"/>
      <c r="B246" s="10">
        <v>217</v>
      </c>
      <c r="C246" s="11" t="s">
        <v>439</v>
      </c>
      <c r="D246" s="12" t="s">
        <v>157</v>
      </c>
      <c r="E246" s="12">
        <v>123994001</v>
      </c>
      <c r="F246" s="12" t="s">
        <v>213</v>
      </c>
      <c r="G246" s="5">
        <v>33903036</v>
      </c>
      <c r="H246" s="16" t="s">
        <v>198</v>
      </c>
      <c r="I246" s="7" t="s">
        <v>22</v>
      </c>
      <c r="J246" s="8">
        <v>95</v>
      </c>
      <c r="K246" s="7" t="s">
        <v>22</v>
      </c>
      <c r="L246" s="8">
        <v>93</v>
      </c>
      <c r="M246" s="7" t="s">
        <v>22</v>
      </c>
      <c r="N246" s="7">
        <v>82.58</v>
      </c>
      <c r="O246" s="13"/>
      <c r="P246" s="13"/>
      <c r="Q246" s="13"/>
      <c r="R246" s="13"/>
      <c r="S246" s="18">
        <f t="shared" si="29"/>
        <v>82.58</v>
      </c>
      <c r="T246" s="14">
        <f t="shared" si="30"/>
        <v>90.19</v>
      </c>
      <c r="U246" s="14">
        <f t="shared" si="31"/>
        <v>93</v>
      </c>
      <c r="V246" s="15">
        <f t="shared" si="32"/>
        <v>7.3938314102962685E-2</v>
      </c>
      <c r="W246" s="9">
        <f t="shared" si="33"/>
        <v>90.19</v>
      </c>
      <c r="X246" s="9">
        <f t="shared" si="34"/>
        <v>541.14</v>
      </c>
      <c r="Y246" s="85"/>
    </row>
    <row r="247" spans="1:25" ht="63" x14ac:dyDescent="0.25">
      <c r="A247" s="89"/>
      <c r="B247" s="10">
        <v>218</v>
      </c>
      <c r="C247" s="11" t="s">
        <v>444</v>
      </c>
      <c r="D247" s="12" t="s">
        <v>311</v>
      </c>
      <c r="E247" s="12">
        <v>9733034</v>
      </c>
      <c r="F247" s="12" t="s">
        <v>443</v>
      </c>
      <c r="G247" s="5">
        <v>33903036</v>
      </c>
      <c r="H247" s="6" t="s">
        <v>266</v>
      </c>
      <c r="I247" s="17" t="s">
        <v>263</v>
      </c>
      <c r="J247" s="8">
        <v>149</v>
      </c>
      <c r="K247" s="17" t="s">
        <v>442</v>
      </c>
      <c r="L247" s="8">
        <v>189.9</v>
      </c>
      <c r="M247" s="17" t="s">
        <v>441</v>
      </c>
      <c r="N247" s="8">
        <v>169</v>
      </c>
      <c r="O247" s="13"/>
      <c r="P247" s="13"/>
      <c r="Q247" s="13"/>
      <c r="R247" s="13"/>
      <c r="S247" s="18">
        <f t="shared" si="29"/>
        <v>149</v>
      </c>
      <c r="T247" s="14">
        <f t="shared" si="30"/>
        <v>169.3</v>
      </c>
      <c r="U247" s="14">
        <f t="shared" si="31"/>
        <v>169</v>
      </c>
      <c r="V247" s="15">
        <f t="shared" si="32"/>
        <v>0.12080124217459634</v>
      </c>
      <c r="W247" s="9">
        <f t="shared" si="33"/>
        <v>169.3</v>
      </c>
      <c r="X247" s="9">
        <f t="shared" si="34"/>
        <v>338.6</v>
      </c>
      <c r="Y247" s="82"/>
    </row>
    <row r="248" spans="1:25" ht="15.75" customHeight="1" x14ac:dyDescent="0.25">
      <c r="A248" s="83"/>
      <c r="B248" s="83"/>
      <c r="C248" s="83"/>
      <c r="D248" s="83"/>
      <c r="E248" s="83"/>
      <c r="F248" s="83"/>
      <c r="G248" s="83"/>
      <c r="H248" s="83"/>
      <c r="I248" s="83"/>
      <c r="J248" s="83"/>
      <c r="K248" s="83"/>
      <c r="L248" s="83"/>
      <c r="M248" s="83"/>
      <c r="N248" s="83"/>
      <c r="O248" s="83"/>
      <c r="P248" s="83"/>
      <c r="Q248" s="83"/>
      <c r="R248" s="83"/>
      <c r="S248" s="83"/>
      <c r="T248" s="83"/>
      <c r="U248" s="83"/>
      <c r="V248" s="84"/>
      <c r="W248" s="75"/>
      <c r="X248" s="74"/>
      <c r="Y248" s="74"/>
    </row>
    <row r="249" spans="1:25" ht="78.75" x14ac:dyDescent="0.25">
      <c r="A249" s="88">
        <v>28</v>
      </c>
      <c r="B249" s="10">
        <v>219</v>
      </c>
      <c r="C249" s="33" t="s">
        <v>470</v>
      </c>
      <c r="D249" s="32" t="s">
        <v>25</v>
      </c>
      <c r="E249" s="12">
        <v>504220749</v>
      </c>
      <c r="F249" s="12" t="s">
        <v>20</v>
      </c>
      <c r="G249" s="12">
        <v>33903035</v>
      </c>
      <c r="H249" s="28">
        <v>11</v>
      </c>
      <c r="I249" s="7" t="s">
        <v>469</v>
      </c>
      <c r="J249" s="7">
        <v>261.76</v>
      </c>
      <c r="K249" s="7" t="s">
        <v>263</v>
      </c>
      <c r="L249" s="7">
        <v>203</v>
      </c>
      <c r="M249" s="7" t="s">
        <v>351</v>
      </c>
      <c r="N249" s="7">
        <v>168.3</v>
      </c>
      <c r="O249" s="13"/>
      <c r="P249" s="13"/>
      <c r="Q249" s="13"/>
      <c r="R249" s="13"/>
      <c r="S249" s="18">
        <f t="shared" si="29"/>
        <v>168.3</v>
      </c>
      <c r="T249" s="14">
        <f t="shared" si="30"/>
        <v>211.02</v>
      </c>
      <c r="U249" s="14">
        <f t="shared" si="31"/>
        <v>203</v>
      </c>
      <c r="V249" s="15">
        <f t="shared" si="32"/>
        <v>0.22388086565921581</v>
      </c>
      <c r="W249" s="9">
        <f t="shared" si="33"/>
        <v>211.02</v>
      </c>
      <c r="X249" s="9">
        <f t="shared" si="34"/>
        <v>2321.2200000000003</v>
      </c>
      <c r="Y249" s="81">
        <v>23751.49</v>
      </c>
    </row>
    <row r="250" spans="1:25" ht="31.5" x14ac:dyDescent="0.25">
      <c r="A250" s="90"/>
      <c r="B250" s="10">
        <v>220</v>
      </c>
      <c r="C250" s="33" t="s">
        <v>468</v>
      </c>
      <c r="D250" s="32" t="s">
        <v>25</v>
      </c>
      <c r="E250" s="12">
        <v>47660009</v>
      </c>
      <c r="F250" s="12" t="s">
        <v>20</v>
      </c>
      <c r="G250" s="12">
        <v>33903035</v>
      </c>
      <c r="H250" s="28">
        <v>3</v>
      </c>
      <c r="I250" s="7" t="s">
        <v>464</v>
      </c>
      <c r="J250" s="7">
        <v>320.17</v>
      </c>
      <c r="K250" s="7" t="s">
        <v>467</v>
      </c>
      <c r="L250" s="7">
        <v>300</v>
      </c>
      <c r="M250" s="7" t="s">
        <v>466</v>
      </c>
      <c r="N250" s="7">
        <v>367.65</v>
      </c>
      <c r="O250" s="13"/>
      <c r="P250" s="13"/>
      <c r="Q250" s="13"/>
      <c r="R250" s="13"/>
      <c r="S250" s="18">
        <f t="shared" si="29"/>
        <v>300</v>
      </c>
      <c r="T250" s="14">
        <f t="shared" si="30"/>
        <v>329.27</v>
      </c>
      <c r="U250" s="14">
        <f t="shared" si="31"/>
        <v>320.17</v>
      </c>
      <c r="V250" s="15">
        <f t="shared" si="32"/>
        <v>0.10547952309017145</v>
      </c>
      <c r="W250" s="9">
        <f t="shared" si="33"/>
        <v>329.27</v>
      </c>
      <c r="X250" s="9">
        <f t="shared" si="34"/>
        <v>987.81</v>
      </c>
      <c r="Y250" s="85"/>
    </row>
    <row r="251" spans="1:25" ht="31.5" x14ac:dyDescent="0.25">
      <c r="A251" s="90"/>
      <c r="B251" s="10">
        <v>221</v>
      </c>
      <c r="C251" s="33" t="s">
        <v>465</v>
      </c>
      <c r="D251" s="32" t="s">
        <v>25</v>
      </c>
      <c r="E251" s="12">
        <v>47660009</v>
      </c>
      <c r="F251" s="12" t="s">
        <v>20</v>
      </c>
      <c r="G251" s="12">
        <v>33903035</v>
      </c>
      <c r="H251" s="28">
        <v>6</v>
      </c>
      <c r="I251" s="7" t="s">
        <v>464</v>
      </c>
      <c r="J251" s="7">
        <v>320.17</v>
      </c>
      <c r="K251" s="7" t="s">
        <v>50</v>
      </c>
      <c r="L251" s="7">
        <v>232.52</v>
      </c>
      <c r="M251" s="7" t="s">
        <v>39</v>
      </c>
      <c r="N251" s="7">
        <v>366.94</v>
      </c>
      <c r="O251" s="13"/>
      <c r="P251" s="13"/>
      <c r="Q251" s="13"/>
      <c r="R251" s="13"/>
      <c r="S251" s="18">
        <f t="shared" si="29"/>
        <v>232.52</v>
      </c>
      <c r="T251" s="14">
        <f t="shared" si="30"/>
        <v>306.54000000000002</v>
      </c>
      <c r="U251" s="14">
        <f t="shared" si="31"/>
        <v>320.17</v>
      </c>
      <c r="V251" s="15">
        <f t="shared" si="32"/>
        <v>0.22260531662748412</v>
      </c>
      <c r="W251" s="9">
        <f t="shared" si="33"/>
        <v>306.54000000000002</v>
      </c>
      <c r="X251" s="9">
        <f t="shared" si="34"/>
        <v>1839.2400000000002</v>
      </c>
      <c r="Y251" s="85"/>
    </row>
    <row r="252" spans="1:25" ht="31.5" x14ac:dyDescent="0.25">
      <c r="A252" s="90"/>
      <c r="B252" s="10">
        <v>222</v>
      </c>
      <c r="C252" s="33" t="s">
        <v>463</v>
      </c>
      <c r="D252" s="32" t="s">
        <v>25</v>
      </c>
      <c r="E252" s="12">
        <v>47660009</v>
      </c>
      <c r="F252" s="12" t="s">
        <v>20</v>
      </c>
      <c r="G252" s="12">
        <v>33903035</v>
      </c>
      <c r="H252" s="28">
        <v>10</v>
      </c>
      <c r="I252" s="7" t="s">
        <v>37</v>
      </c>
      <c r="J252" s="7">
        <v>354.04</v>
      </c>
      <c r="K252" s="7" t="s">
        <v>461</v>
      </c>
      <c r="L252" s="7">
        <v>296.20999999999998</v>
      </c>
      <c r="M252" s="7" t="s">
        <v>39</v>
      </c>
      <c r="N252" s="7">
        <v>367.94</v>
      </c>
      <c r="O252" s="13"/>
      <c r="P252" s="13"/>
      <c r="Q252" s="13"/>
      <c r="R252" s="13"/>
      <c r="S252" s="18">
        <f t="shared" si="29"/>
        <v>296.20999999999998</v>
      </c>
      <c r="T252" s="14">
        <f t="shared" si="30"/>
        <v>339.39</v>
      </c>
      <c r="U252" s="14">
        <f t="shared" si="31"/>
        <v>354.04</v>
      </c>
      <c r="V252" s="15">
        <f t="shared" si="32"/>
        <v>0.11208422548992125</v>
      </c>
      <c r="W252" s="9">
        <f t="shared" si="33"/>
        <v>339.39</v>
      </c>
      <c r="X252" s="9">
        <f t="shared" si="34"/>
        <v>3393.8999999999996</v>
      </c>
      <c r="Y252" s="85"/>
    </row>
    <row r="253" spans="1:25" ht="31.5" x14ac:dyDescent="0.25">
      <c r="A253" s="90"/>
      <c r="B253" s="10">
        <v>223</v>
      </c>
      <c r="C253" s="33" t="s">
        <v>462</v>
      </c>
      <c r="D253" s="32" t="s">
        <v>25</v>
      </c>
      <c r="E253" s="12">
        <v>47660009</v>
      </c>
      <c r="F253" s="12" t="s">
        <v>20</v>
      </c>
      <c r="G253" s="12">
        <v>33903035</v>
      </c>
      <c r="H253" s="28">
        <v>6</v>
      </c>
      <c r="I253" s="7" t="s">
        <v>37</v>
      </c>
      <c r="J253" s="7">
        <v>326.55</v>
      </c>
      <c r="K253" s="7" t="s">
        <v>461</v>
      </c>
      <c r="L253" s="7">
        <v>297.20999999999998</v>
      </c>
      <c r="M253" s="7" t="s">
        <v>39</v>
      </c>
      <c r="N253" s="7">
        <v>368.94</v>
      </c>
      <c r="O253" s="13"/>
      <c r="P253" s="13"/>
      <c r="Q253" s="13"/>
      <c r="R253" s="13"/>
      <c r="S253" s="18">
        <f t="shared" si="29"/>
        <v>297.20999999999998</v>
      </c>
      <c r="T253" s="14">
        <f t="shared" si="30"/>
        <v>330.9</v>
      </c>
      <c r="U253" s="14">
        <f t="shared" si="31"/>
        <v>326.55</v>
      </c>
      <c r="V253" s="15">
        <f t="shared" si="32"/>
        <v>0.10898249797022702</v>
      </c>
      <c r="W253" s="9">
        <f t="shared" si="33"/>
        <v>330.9</v>
      </c>
      <c r="X253" s="9">
        <f t="shared" si="34"/>
        <v>1985.3999999999999</v>
      </c>
      <c r="Y253" s="85"/>
    </row>
    <row r="254" spans="1:25" ht="31.5" x14ac:dyDescent="0.25">
      <c r="A254" s="90"/>
      <c r="B254" s="10">
        <v>224</v>
      </c>
      <c r="C254" s="33" t="s">
        <v>460</v>
      </c>
      <c r="D254" s="32" t="s">
        <v>25</v>
      </c>
      <c r="E254" s="12">
        <v>47660009</v>
      </c>
      <c r="F254" s="12" t="s">
        <v>20</v>
      </c>
      <c r="G254" s="12">
        <v>33903035</v>
      </c>
      <c r="H254" s="28">
        <v>5</v>
      </c>
      <c r="I254" s="7" t="s">
        <v>37</v>
      </c>
      <c r="J254" s="7">
        <v>327.99</v>
      </c>
      <c r="K254" s="7" t="s">
        <v>48</v>
      </c>
      <c r="L254" s="7">
        <v>264.37</v>
      </c>
      <c r="M254" s="7" t="s">
        <v>39</v>
      </c>
      <c r="N254" s="7">
        <v>369.94</v>
      </c>
      <c r="O254" s="13"/>
      <c r="P254" s="13"/>
      <c r="Q254" s="13"/>
      <c r="R254" s="13"/>
      <c r="S254" s="18">
        <f t="shared" si="29"/>
        <v>264.37</v>
      </c>
      <c r="T254" s="14">
        <f t="shared" si="30"/>
        <v>320.76</v>
      </c>
      <c r="U254" s="14">
        <f t="shared" si="31"/>
        <v>327.99</v>
      </c>
      <c r="V254" s="15">
        <f t="shared" si="32"/>
        <v>0.16571043819852463</v>
      </c>
      <c r="W254" s="9">
        <f t="shared" si="33"/>
        <v>320.76</v>
      </c>
      <c r="X254" s="9">
        <f t="shared" si="34"/>
        <v>1603.8</v>
      </c>
      <c r="Y254" s="85"/>
    </row>
    <row r="255" spans="1:25" ht="31.5" x14ac:dyDescent="0.25">
      <c r="A255" s="90"/>
      <c r="B255" s="10">
        <v>225</v>
      </c>
      <c r="C255" s="33" t="s">
        <v>459</v>
      </c>
      <c r="D255" s="32" t="s">
        <v>25</v>
      </c>
      <c r="E255" s="12">
        <v>47678009</v>
      </c>
      <c r="F255" s="12" t="s">
        <v>121</v>
      </c>
      <c r="G255" s="12">
        <v>33903035</v>
      </c>
      <c r="H255" s="28">
        <v>14</v>
      </c>
      <c r="I255" s="7" t="s">
        <v>458</v>
      </c>
      <c r="J255" s="7">
        <v>22.9</v>
      </c>
      <c r="K255" s="7" t="s">
        <v>122</v>
      </c>
      <c r="L255" s="7">
        <v>23.03</v>
      </c>
      <c r="M255" s="7" t="s">
        <v>457</v>
      </c>
      <c r="N255" s="7">
        <v>19.78</v>
      </c>
      <c r="O255" s="13"/>
      <c r="P255" s="13"/>
      <c r="Q255" s="13"/>
      <c r="R255" s="13"/>
      <c r="S255" s="18">
        <f t="shared" si="29"/>
        <v>19.78</v>
      </c>
      <c r="T255" s="14">
        <f t="shared" si="30"/>
        <v>21.9</v>
      </c>
      <c r="U255" s="14">
        <f t="shared" si="31"/>
        <v>22.9</v>
      </c>
      <c r="V255" s="15">
        <f t="shared" si="32"/>
        <v>8.4005892160191067E-2</v>
      </c>
      <c r="W255" s="9">
        <f t="shared" si="33"/>
        <v>21.9</v>
      </c>
      <c r="X255" s="9">
        <f t="shared" si="34"/>
        <v>306.59999999999997</v>
      </c>
      <c r="Y255" s="85"/>
    </row>
    <row r="256" spans="1:25" ht="31.5" x14ac:dyDescent="0.25">
      <c r="A256" s="90"/>
      <c r="B256" s="10">
        <v>226</v>
      </c>
      <c r="C256" s="33" t="s">
        <v>456</v>
      </c>
      <c r="D256" s="32" t="s">
        <v>25</v>
      </c>
      <c r="E256" s="12">
        <v>47678009</v>
      </c>
      <c r="F256" s="12" t="s">
        <v>121</v>
      </c>
      <c r="G256" s="12">
        <v>33903035</v>
      </c>
      <c r="H256" s="28">
        <v>12</v>
      </c>
      <c r="I256" s="7" t="s">
        <v>22</v>
      </c>
      <c r="J256" s="7">
        <v>18.149999999999999</v>
      </c>
      <c r="K256" s="7" t="s">
        <v>22</v>
      </c>
      <c r="L256" s="7">
        <v>11.55</v>
      </c>
      <c r="M256" s="7" t="s">
        <v>22</v>
      </c>
      <c r="N256" s="7">
        <v>38.200000000000003</v>
      </c>
      <c r="O256" s="13"/>
      <c r="P256" s="13"/>
      <c r="Q256" s="13"/>
      <c r="R256" s="13"/>
      <c r="S256" s="18">
        <f t="shared" si="29"/>
        <v>11.55</v>
      </c>
      <c r="T256" s="14">
        <f t="shared" si="30"/>
        <v>22.63</v>
      </c>
      <c r="U256" s="14">
        <f t="shared" si="31"/>
        <v>18.149999999999999</v>
      </c>
      <c r="V256" s="15">
        <f t="shared" si="32"/>
        <v>0.61321727676197468</v>
      </c>
      <c r="W256" s="9">
        <f t="shared" si="33"/>
        <v>18.149999999999999</v>
      </c>
      <c r="X256" s="9">
        <f t="shared" si="34"/>
        <v>217.79999999999998</v>
      </c>
      <c r="Y256" s="85"/>
    </row>
    <row r="257" spans="1:25" ht="47.25" x14ac:dyDescent="0.25">
      <c r="A257" s="90"/>
      <c r="B257" s="10">
        <v>227</v>
      </c>
      <c r="C257" s="33" t="s">
        <v>455</v>
      </c>
      <c r="D257" s="32" t="s">
        <v>25</v>
      </c>
      <c r="E257" s="12">
        <v>47678009</v>
      </c>
      <c r="F257" s="12" t="s">
        <v>121</v>
      </c>
      <c r="G257" s="12">
        <v>33903035</v>
      </c>
      <c r="H257" s="28">
        <v>11</v>
      </c>
      <c r="I257" s="7" t="s">
        <v>22</v>
      </c>
      <c r="J257" s="7">
        <v>23.66</v>
      </c>
      <c r="K257" s="7" t="s">
        <v>22</v>
      </c>
      <c r="L257" s="7">
        <v>22.67</v>
      </c>
      <c r="M257" s="7" t="s">
        <v>22</v>
      </c>
      <c r="N257" s="7">
        <v>21.98</v>
      </c>
      <c r="O257" s="13"/>
      <c r="P257" s="13"/>
      <c r="Q257" s="13"/>
      <c r="R257" s="13"/>
      <c r="S257" s="18">
        <f t="shared" si="29"/>
        <v>21.98</v>
      </c>
      <c r="T257" s="14">
        <f t="shared" si="30"/>
        <v>22.77</v>
      </c>
      <c r="U257" s="14">
        <f t="shared" si="31"/>
        <v>22.67</v>
      </c>
      <c r="V257" s="15">
        <f t="shared" si="32"/>
        <v>3.7086187322873679E-2</v>
      </c>
      <c r="W257" s="9">
        <f t="shared" si="33"/>
        <v>22.77</v>
      </c>
      <c r="X257" s="9">
        <f t="shared" si="34"/>
        <v>250.47</v>
      </c>
      <c r="Y257" s="85"/>
    </row>
    <row r="258" spans="1:25" ht="47.25" x14ac:dyDescent="0.25">
      <c r="A258" s="90"/>
      <c r="B258" s="10">
        <v>228</v>
      </c>
      <c r="C258" s="33" t="s">
        <v>454</v>
      </c>
      <c r="D258" s="32" t="s">
        <v>25</v>
      </c>
      <c r="E258" s="12">
        <v>47678009</v>
      </c>
      <c r="F258" s="12" t="s">
        <v>121</v>
      </c>
      <c r="G258" s="12">
        <v>33903035</v>
      </c>
      <c r="H258" s="28">
        <v>11</v>
      </c>
      <c r="I258" s="7" t="s">
        <v>447</v>
      </c>
      <c r="J258" s="7">
        <v>99.86</v>
      </c>
      <c r="K258" s="7" t="s">
        <v>176</v>
      </c>
      <c r="L258" s="7">
        <v>90.12</v>
      </c>
      <c r="M258" s="7" t="s">
        <v>51</v>
      </c>
      <c r="N258" s="7">
        <v>95.9</v>
      </c>
      <c r="O258" s="13"/>
      <c r="P258" s="13"/>
      <c r="Q258" s="13"/>
      <c r="R258" s="13"/>
      <c r="S258" s="18">
        <f t="shared" si="29"/>
        <v>90.12</v>
      </c>
      <c r="T258" s="14">
        <f t="shared" si="30"/>
        <v>95.29</v>
      </c>
      <c r="U258" s="14">
        <f t="shared" si="31"/>
        <v>95.9</v>
      </c>
      <c r="V258" s="15">
        <f t="shared" si="32"/>
        <v>5.1401897934317257E-2</v>
      </c>
      <c r="W258" s="9">
        <f t="shared" si="33"/>
        <v>95.29</v>
      </c>
      <c r="X258" s="9">
        <f t="shared" si="34"/>
        <v>1048.19</v>
      </c>
      <c r="Y258" s="85"/>
    </row>
    <row r="259" spans="1:25" ht="47.25" x14ac:dyDescent="0.25">
      <c r="A259" s="90"/>
      <c r="B259" s="10">
        <v>229</v>
      </c>
      <c r="C259" s="33" t="s">
        <v>453</v>
      </c>
      <c r="D259" s="32" t="s">
        <v>25</v>
      </c>
      <c r="E259" s="12">
        <v>47678009</v>
      </c>
      <c r="F259" s="12" t="s">
        <v>121</v>
      </c>
      <c r="G259" s="12">
        <v>33903035</v>
      </c>
      <c r="H259" s="28">
        <v>11</v>
      </c>
      <c r="I259" s="7" t="s">
        <v>452</v>
      </c>
      <c r="J259" s="7">
        <v>98</v>
      </c>
      <c r="K259" s="7" t="s">
        <v>123</v>
      </c>
      <c r="L259" s="7">
        <v>104.8</v>
      </c>
      <c r="M259" s="7" t="s">
        <v>141</v>
      </c>
      <c r="N259" s="7">
        <v>137.99</v>
      </c>
      <c r="O259" s="13"/>
      <c r="P259" s="13"/>
      <c r="Q259" s="13"/>
      <c r="R259" s="13"/>
      <c r="S259" s="18">
        <f t="shared" si="29"/>
        <v>98</v>
      </c>
      <c r="T259" s="14">
        <f t="shared" si="30"/>
        <v>113.59</v>
      </c>
      <c r="U259" s="14">
        <f t="shared" si="31"/>
        <v>104.8</v>
      </c>
      <c r="V259" s="15">
        <f t="shared" si="32"/>
        <v>0.18836031033643444</v>
      </c>
      <c r="W259" s="9">
        <f t="shared" si="33"/>
        <v>113.59</v>
      </c>
      <c r="X259" s="9">
        <f t="shared" si="34"/>
        <v>1249.49</v>
      </c>
      <c r="Y259" s="85"/>
    </row>
    <row r="260" spans="1:25" ht="47.25" x14ac:dyDescent="0.25">
      <c r="A260" s="90"/>
      <c r="B260" s="10">
        <v>230</v>
      </c>
      <c r="C260" s="33" t="s">
        <v>451</v>
      </c>
      <c r="D260" s="32" t="s">
        <v>25</v>
      </c>
      <c r="E260" s="12">
        <v>47678007</v>
      </c>
      <c r="F260" s="12" t="s">
        <v>121</v>
      </c>
      <c r="G260" s="12">
        <v>33903035</v>
      </c>
      <c r="H260" s="28">
        <v>10</v>
      </c>
      <c r="I260" s="7" t="s">
        <v>22</v>
      </c>
      <c r="J260" s="7">
        <v>215.4</v>
      </c>
      <c r="K260" s="7" t="s">
        <v>176</v>
      </c>
      <c r="L260" s="7">
        <v>168.43</v>
      </c>
      <c r="M260" s="7" t="s">
        <v>122</v>
      </c>
      <c r="N260" s="7">
        <v>157.5</v>
      </c>
      <c r="O260" s="13"/>
      <c r="P260" s="13"/>
      <c r="Q260" s="13"/>
      <c r="R260" s="13"/>
      <c r="S260" s="18">
        <f t="shared" si="29"/>
        <v>157.5</v>
      </c>
      <c r="T260" s="14">
        <f t="shared" si="30"/>
        <v>180.44</v>
      </c>
      <c r="U260" s="14">
        <f t="shared" si="31"/>
        <v>168.43</v>
      </c>
      <c r="V260" s="15">
        <f t="shared" si="32"/>
        <v>0.17048389603096262</v>
      </c>
      <c r="W260" s="9">
        <f t="shared" si="33"/>
        <v>180.44</v>
      </c>
      <c r="X260" s="9">
        <f t="shared" si="34"/>
        <v>1804.4</v>
      </c>
      <c r="Y260" s="85"/>
    </row>
    <row r="261" spans="1:25" ht="78.75" x14ac:dyDescent="0.25">
      <c r="A261" s="90"/>
      <c r="B261" s="10">
        <v>231</v>
      </c>
      <c r="C261" s="33" t="s">
        <v>450</v>
      </c>
      <c r="D261" s="32" t="s">
        <v>25</v>
      </c>
      <c r="E261" s="12">
        <v>47678007</v>
      </c>
      <c r="F261" s="12" t="s">
        <v>121</v>
      </c>
      <c r="G261" s="12">
        <v>33903035</v>
      </c>
      <c r="H261" s="28">
        <v>21</v>
      </c>
      <c r="I261" s="7" t="s">
        <v>30</v>
      </c>
      <c r="J261" s="7">
        <v>139.63999999999999</v>
      </c>
      <c r="K261" s="7" t="s">
        <v>449</v>
      </c>
      <c r="L261" s="7">
        <v>154</v>
      </c>
      <c r="M261" s="7" t="s">
        <v>268</v>
      </c>
      <c r="N261" s="7">
        <v>100</v>
      </c>
      <c r="O261" s="13"/>
      <c r="P261" s="13"/>
      <c r="Q261" s="13"/>
      <c r="R261" s="13"/>
      <c r="S261" s="18">
        <f t="shared" si="29"/>
        <v>100</v>
      </c>
      <c r="T261" s="14">
        <f t="shared" si="30"/>
        <v>131.21</v>
      </c>
      <c r="U261" s="14">
        <f t="shared" si="31"/>
        <v>139.63999999999999</v>
      </c>
      <c r="V261" s="15">
        <f t="shared" si="32"/>
        <v>0.21315554317709209</v>
      </c>
      <c r="W261" s="9">
        <f t="shared" si="33"/>
        <v>131.21</v>
      </c>
      <c r="X261" s="9">
        <f t="shared" si="34"/>
        <v>2755.4100000000003</v>
      </c>
      <c r="Y261" s="85"/>
    </row>
    <row r="262" spans="1:25" ht="31.5" x14ac:dyDescent="0.25">
      <c r="A262" s="90"/>
      <c r="B262" s="10">
        <v>232</v>
      </c>
      <c r="C262" s="33" t="s">
        <v>448</v>
      </c>
      <c r="D262" s="32" t="s">
        <v>25</v>
      </c>
      <c r="E262" s="12">
        <v>122483209</v>
      </c>
      <c r="F262" s="12" t="s">
        <v>121</v>
      </c>
      <c r="G262" s="12">
        <v>33903035</v>
      </c>
      <c r="H262" s="28">
        <v>30</v>
      </c>
      <c r="I262" s="7" t="s">
        <v>447</v>
      </c>
      <c r="J262" s="7">
        <v>22.41</v>
      </c>
      <c r="K262" s="7" t="s">
        <v>52</v>
      </c>
      <c r="L262" s="7">
        <v>20.84</v>
      </c>
      <c r="M262" s="7" t="s">
        <v>37</v>
      </c>
      <c r="N262" s="7">
        <v>19.11</v>
      </c>
      <c r="O262" s="13"/>
      <c r="P262" s="13"/>
      <c r="Q262" s="13"/>
      <c r="R262" s="13"/>
      <c r="S262" s="18">
        <f t="shared" si="29"/>
        <v>19.11</v>
      </c>
      <c r="T262" s="14">
        <f t="shared" si="30"/>
        <v>20.78</v>
      </c>
      <c r="U262" s="14">
        <f t="shared" si="31"/>
        <v>20.84</v>
      </c>
      <c r="V262" s="15">
        <f t="shared" si="32"/>
        <v>7.9408900162989876E-2</v>
      </c>
      <c r="W262" s="9">
        <f t="shared" si="33"/>
        <v>20.78</v>
      </c>
      <c r="X262" s="9">
        <f t="shared" si="34"/>
        <v>623.40000000000009</v>
      </c>
      <c r="Y262" s="85"/>
    </row>
    <row r="263" spans="1:25" ht="31.5" x14ac:dyDescent="0.25">
      <c r="A263" s="90"/>
      <c r="B263" s="10">
        <v>233</v>
      </c>
      <c r="C263" s="33" t="s">
        <v>446</v>
      </c>
      <c r="D263" s="32" t="s">
        <v>25</v>
      </c>
      <c r="E263" s="12">
        <v>47678007</v>
      </c>
      <c r="F263" s="12" t="s">
        <v>121</v>
      </c>
      <c r="G263" s="12">
        <v>33903035</v>
      </c>
      <c r="H263" s="28">
        <v>10</v>
      </c>
      <c r="I263" s="7" t="s">
        <v>48</v>
      </c>
      <c r="J263" s="7">
        <v>115.49</v>
      </c>
      <c r="K263" s="7" t="s">
        <v>445</v>
      </c>
      <c r="L263" s="7">
        <v>166.12</v>
      </c>
      <c r="M263" s="7" t="s">
        <v>46</v>
      </c>
      <c r="N263" s="7">
        <v>65.260000000000005</v>
      </c>
      <c r="O263" s="13"/>
      <c r="P263" s="13"/>
      <c r="Q263" s="13"/>
      <c r="R263" s="13"/>
      <c r="S263" s="18">
        <f t="shared" si="29"/>
        <v>65.260000000000005</v>
      </c>
      <c r="T263" s="14">
        <f t="shared" si="30"/>
        <v>115.62</v>
      </c>
      <c r="U263" s="14">
        <f t="shared" si="31"/>
        <v>115.49</v>
      </c>
      <c r="V263" s="15">
        <f t="shared" si="32"/>
        <v>0.43615878164387756</v>
      </c>
      <c r="W263" s="9">
        <f t="shared" si="33"/>
        <v>115.49</v>
      </c>
      <c r="X263" s="9">
        <f t="shared" si="34"/>
        <v>1154.8999999999999</v>
      </c>
      <c r="Y263" s="85"/>
    </row>
    <row r="264" spans="1:25" ht="78.75" x14ac:dyDescent="0.25">
      <c r="A264" s="90"/>
      <c r="B264" s="10">
        <v>234</v>
      </c>
      <c r="C264" s="11" t="s">
        <v>479</v>
      </c>
      <c r="D264" s="12" t="s">
        <v>25</v>
      </c>
      <c r="E264" s="12">
        <v>44830045</v>
      </c>
      <c r="F264" s="12" t="s">
        <v>121</v>
      </c>
      <c r="G264" s="12">
        <v>33903035</v>
      </c>
      <c r="H264" s="43">
        <v>4</v>
      </c>
      <c r="I264" s="7" t="s">
        <v>298</v>
      </c>
      <c r="J264" s="7">
        <v>88.94</v>
      </c>
      <c r="K264" s="7" t="s">
        <v>474</v>
      </c>
      <c r="L264" s="7">
        <v>105</v>
      </c>
      <c r="M264" s="7" t="s">
        <v>30</v>
      </c>
      <c r="N264" s="7">
        <v>63.26</v>
      </c>
      <c r="O264" s="7"/>
      <c r="P264" s="13"/>
      <c r="Q264" s="13"/>
      <c r="R264" s="13"/>
      <c r="S264" s="18">
        <f t="shared" si="29"/>
        <v>63.26</v>
      </c>
      <c r="T264" s="14">
        <f t="shared" si="30"/>
        <v>85.73</v>
      </c>
      <c r="U264" s="14">
        <f t="shared" si="31"/>
        <v>88.94</v>
      </c>
      <c r="V264" s="15">
        <f t="shared" si="32"/>
        <v>0.24557487847598666</v>
      </c>
      <c r="W264" s="9">
        <f t="shared" si="33"/>
        <v>85.73</v>
      </c>
      <c r="X264" s="9">
        <f t="shared" si="34"/>
        <v>342.92</v>
      </c>
      <c r="Y264" s="85"/>
    </row>
    <row r="265" spans="1:25" ht="78.75" x14ac:dyDescent="0.25">
      <c r="A265" s="90"/>
      <c r="B265" s="10">
        <v>235</v>
      </c>
      <c r="C265" s="11" t="s">
        <v>478</v>
      </c>
      <c r="D265" s="12" t="s">
        <v>25</v>
      </c>
      <c r="E265" s="12">
        <v>44830043</v>
      </c>
      <c r="F265" s="12" t="s">
        <v>121</v>
      </c>
      <c r="G265" s="12">
        <v>33903035</v>
      </c>
      <c r="H265" s="43">
        <v>7</v>
      </c>
      <c r="I265" s="21" t="s">
        <v>37</v>
      </c>
      <c r="J265" s="7">
        <v>61.2</v>
      </c>
      <c r="K265" s="7" t="s">
        <v>298</v>
      </c>
      <c r="L265" s="7">
        <v>88.94</v>
      </c>
      <c r="M265" s="7" t="s">
        <v>46</v>
      </c>
      <c r="N265" s="7">
        <v>43.55</v>
      </c>
      <c r="O265" s="7"/>
      <c r="P265" s="13"/>
      <c r="Q265" s="13"/>
      <c r="R265" s="13"/>
      <c r="S265" s="18">
        <f t="shared" si="29"/>
        <v>43.55</v>
      </c>
      <c r="T265" s="14">
        <f t="shared" si="30"/>
        <v>64.56</v>
      </c>
      <c r="U265" s="14">
        <f t="shared" si="31"/>
        <v>61.2</v>
      </c>
      <c r="V265" s="15">
        <f t="shared" si="32"/>
        <v>0.3543985261250418</v>
      </c>
      <c r="W265" s="9">
        <f t="shared" si="33"/>
        <v>61.2</v>
      </c>
      <c r="X265" s="9">
        <f t="shared" si="34"/>
        <v>428.40000000000003</v>
      </c>
      <c r="Y265" s="85"/>
    </row>
    <row r="266" spans="1:25" ht="78.75" x14ac:dyDescent="0.25">
      <c r="A266" s="90"/>
      <c r="B266" s="10">
        <v>236</v>
      </c>
      <c r="C266" s="11" t="s">
        <v>477</v>
      </c>
      <c r="D266" s="12" t="s">
        <v>25</v>
      </c>
      <c r="E266" s="12">
        <v>44830042</v>
      </c>
      <c r="F266" s="12" t="s">
        <v>121</v>
      </c>
      <c r="G266" s="12">
        <v>33903035</v>
      </c>
      <c r="H266" s="43">
        <v>4</v>
      </c>
      <c r="I266" s="21" t="s">
        <v>73</v>
      </c>
      <c r="J266" s="7">
        <v>53.33</v>
      </c>
      <c r="K266" s="7" t="s">
        <v>461</v>
      </c>
      <c r="L266" s="7">
        <v>95.74</v>
      </c>
      <c r="M266" s="7" t="s">
        <v>476</v>
      </c>
      <c r="N266" s="7">
        <v>53.41</v>
      </c>
      <c r="O266" s="7"/>
      <c r="P266" s="13"/>
      <c r="Q266" s="13"/>
      <c r="R266" s="13"/>
      <c r="S266" s="18">
        <f t="shared" si="29"/>
        <v>53.33</v>
      </c>
      <c r="T266" s="14">
        <f t="shared" si="30"/>
        <v>67.489999999999995</v>
      </c>
      <c r="U266" s="14">
        <f t="shared" si="31"/>
        <v>53.41</v>
      </c>
      <c r="V266" s="15">
        <f t="shared" si="32"/>
        <v>0.36244118345840071</v>
      </c>
      <c r="W266" s="9">
        <f t="shared" si="33"/>
        <v>53.41</v>
      </c>
      <c r="X266" s="9">
        <f t="shared" si="34"/>
        <v>213.64</v>
      </c>
      <c r="Y266" s="85"/>
    </row>
    <row r="267" spans="1:25" ht="78.75" x14ac:dyDescent="0.25">
      <c r="A267" s="90"/>
      <c r="B267" s="10">
        <v>237</v>
      </c>
      <c r="C267" s="11" t="s">
        <v>475</v>
      </c>
      <c r="D267" s="12" t="s">
        <v>25</v>
      </c>
      <c r="E267" s="12">
        <v>44830043</v>
      </c>
      <c r="F267" s="12" t="s">
        <v>121</v>
      </c>
      <c r="G267" s="12">
        <v>33903035</v>
      </c>
      <c r="H267" s="43">
        <v>4</v>
      </c>
      <c r="I267" s="21" t="s">
        <v>37</v>
      </c>
      <c r="J267" s="7">
        <v>24.5</v>
      </c>
      <c r="K267" s="7" t="s">
        <v>30</v>
      </c>
      <c r="L267" s="7">
        <v>35.909999999999997</v>
      </c>
      <c r="M267" s="7" t="s">
        <v>474</v>
      </c>
      <c r="N267" s="7">
        <v>46.5</v>
      </c>
      <c r="O267" s="7"/>
      <c r="P267" s="13"/>
      <c r="Q267" s="13"/>
      <c r="R267" s="13"/>
      <c r="S267" s="18">
        <f t="shared" si="29"/>
        <v>24.5</v>
      </c>
      <c r="T267" s="14">
        <f t="shared" si="30"/>
        <v>35.630000000000003</v>
      </c>
      <c r="U267" s="14">
        <f t="shared" si="31"/>
        <v>35.909999999999997</v>
      </c>
      <c r="V267" s="15">
        <f t="shared" si="32"/>
        <v>0.3087423068440493</v>
      </c>
      <c r="W267" s="9">
        <f t="shared" si="33"/>
        <v>35.909999999999997</v>
      </c>
      <c r="X267" s="9">
        <f t="shared" si="34"/>
        <v>143.63999999999999</v>
      </c>
      <c r="Y267" s="85"/>
    </row>
    <row r="268" spans="1:25" ht="110.25" x14ac:dyDescent="0.25">
      <c r="A268" s="90"/>
      <c r="B268" s="10">
        <v>238</v>
      </c>
      <c r="C268" s="11" t="s">
        <v>473</v>
      </c>
      <c r="D268" s="12" t="s">
        <v>25</v>
      </c>
      <c r="E268" s="12">
        <v>44830043</v>
      </c>
      <c r="F268" s="12" t="s">
        <v>121</v>
      </c>
      <c r="G268" s="12">
        <v>33903035</v>
      </c>
      <c r="H268" s="43">
        <v>4</v>
      </c>
      <c r="I268" s="21" t="s">
        <v>449</v>
      </c>
      <c r="J268" s="7">
        <v>65</v>
      </c>
      <c r="K268" s="7" t="s">
        <v>298</v>
      </c>
      <c r="L268" s="7">
        <v>88.94</v>
      </c>
      <c r="M268" s="7" t="s">
        <v>122</v>
      </c>
      <c r="N268" s="7">
        <v>76.349999999999994</v>
      </c>
      <c r="O268" s="7"/>
      <c r="P268" s="13"/>
      <c r="Q268" s="13"/>
      <c r="R268" s="13"/>
      <c r="S268" s="18">
        <f t="shared" si="29"/>
        <v>65</v>
      </c>
      <c r="T268" s="14">
        <f t="shared" si="30"/>
        <v>76.760000000000005</v>
      </c>
      <c r="U268" s="14">
        <f t="shared" si="31"/>
        <v>76.349999999999994</v>
      </c>
      <c r="V268" s="15">
        <f t="shared" si="32"/>
        <v>0.15600353128867692</v>
      </c>
      <c r="W268" s="9">
        <f t="shared" si="33"/>
        <v>76.760000000000005</v>
      </c>
      <c r="X268" s="9">
        <f t="shared" si="34"/>
        <v>307.04000000000002</v>
      </c>
      <c r="Y268" s="85"/>
    </row>
    <row r="269" spans="1:25" ht="94.5" x14ac:dyDescent="0.25">
      <c r="A269" s="90"/>
      <c r="B269" s="10">
        <v>239</v>
      </c>
      <c r="C269" s="11" t="s">
        <v>472</v>
      </c>
      <c r="D269" s="12" t="s">
        <v>25</v>
      </c>
      <c r="E269" s="12">
        <v>44830105</v>
      </c>
      <c r="F269" s="12" t="s">
        <v>121</v>
      </c>
      <c r="G269" s="12">
        <v>33903035</v>
      </c>
      <c r="H269" s="43">
        <v>4</v>
      </c>
      <c r="I269" s="21" t="s">
        <v>48</v>
      </c>
      <c r="J269" s="7">
        <v>30.38</v>
      </c>
      <c r="K269" s="7" t="s">
        <v>30</v>
      </c>
      <c r="L269" s="7">
        <v>60.15</v>
      </c>
      <c r="M269" s="7" t="s">
        <v>471</v>
      </c>
      <c r="N269" s="7">
        <v>29.78</v>
      </c>
      <c r="O269" s="7"/>
      <c r="P269" s="13"/>
      <c r="Q269" s="13"/>
      <c r="R269" s="13"/>
      <c r="S269" s="18">
        <f t="shared" si="29"/>
        <v>29.78</v>
      </c>
      <c r="T269" s="14">
        <f t="shared" si="30"/>
        <v>40.1</v>
      </c>
      <c r="U269" s="14">
        <f t="shared" si="31"/>
        <v>30.38</v>
      </c>
      <c r="V269" s="15">
        <f t="shared" si="32"/>
        <v>0.43296935655910274</v>
      </c>
      <c r="W269" s="9">
        <f t="shared" si="33"/>
        <v>30.38</v>
      </c>
      <c r="X269" s="9">
        <f t="shared" si="34"/>
        <v>121.52</v>
      </c>
      <c r="Y269" s="85"/>
    </row>
    <row r="270" spans="1:25" ht="31.5" x14ac:dyDescent="0.25">
      <c r="A270" s="90"/>
      <c r="B270" s="10">
        <v>240</v>
      </c>
      <c r="C270" s="11" t="s">
        <v>480</v>
      </c>
      <c r="D270" s="12" t="s">
        <v>25</v>
      </c>
      <c r="E270" s="12">
        <v>122483226</v>
      </c>
      <c r="F270" s="12" t="s">
        <v>20</v>
      </c>
      <c r="G270" s="12">
        <v>33903035</v>
      </c>
      <c r="H270" s="43">
        <v>2</v>
      </c>
      <c r="I270" s="21" t="s">
        <v>37</v>
      </c>
      <c r="J270" s="7">
        <v>189</v>
      </c>
      <c r="K270" s="7" t="s">
        <v>30</v>
      </c>
      <c r="L270" s="7">
        <v>173.8</v>
      </c>
      <c r="M270" s="7" t="s">
        <v>103</v>
      </c>
      <c r="N270" s="7">
        <v>140.6</v>
      </c>
      <c r="O270" s="13"/>
      <c r="P270" s="13"/>
      <c r="Q270" s="13"/>
      <c r="R270" s="13"/>
      <c r="S270" s="18">
        <f t="shared" si="29"/>
        <v>140.6</v>
      </c>
      <c r="T270" s="14">
        <f t="shared" si="30"/>
        <v>167.8</v>
      </c>
      <c r="U270" s="14">
        <f t="shared" si="31"/>
        <v>173.8</v>
      </c>
      <c r="V270" s="15">
        <f t="shared" si="32"/>
        <v>0.14750635045916632</v>
      </c>
      <c r="W270" s="9">
        <f t="shared" si="33"/>
        <v>167.8</v>
      </c>
      <c r="X270" s="9">
        <f t="shared" si="34"/>
        <v>335.6</v>
      </c>
      <c r="Y270" s="85"/>
    </row>
    <row r="271" spans="1:25" ht="31.5" x14ac:dyDescent="0.25">
      <c r="A271" s="90"/>
      <c r="B271" s="10">
        <v>241</v>
      </c>
      <c r="C271" s="11" t="s">
        <v>483</v>
      </c>
      <c r="D271" s="12" t="s">
        <v>24</v>
      </c>
      <c r="E271" s="12">
        <v>40452161</v>
      </c>
      <c r="F271" s="12" t="s">
        <v>20</v>
      </c>
      <c r="G271" s="12">
        <v>33903035</v>
      </c>
      <c r="H271" s="43">
        <v>10</v>
      </c>
      <c r="I271" s="21" t="s">
        <v>80</v>
      </c>
      <c r="J271" s="7">
        <v>8.99</v>
      </c>
      <c r="K271" s="7" t="s">
        <v>123</v>
      </c>
      <c r="L271" s="7">
        <v>13.65</v>
      </c>
      <c r="M271" s="7" t="s">
        <v>50</v>
      </c>
      <c r="N271" s="7">
        <v>13.18</v>
      </c>
      <c r="O271" s="13"/>
      <c r="P271" s="13"/>
      <c r="Q271" s="13"/>
      <c r="R271" s="13"/>
      <c r="S271" s="18">
        <f t="shared" si="29"/>
        <v>8.99</v>
      </c>
      <c r="T271" s="14">
        <f t="shared" si="30"/>
        <v>11.94</v>
      </c>
      <c r="U271" s="14">
        <f t="shared" si="31"/>
        <v>13.18</v>
      </c>
      <c r="V271" s="15">
        <f t="shared" si="32"/>
        <v>0.21487105256608099</v>
      </c>
      <c r="W271" s="9">
        <f t="shared" si="33"/>
        <v>11.94</v>
      </c>
      <c r="X271" s="9">
        <f t="shared" si="34"/>
        <v>119.39999999999999</v>
      </c>
      <c r="Y271" s="85"/>
    </row>
    <row r="272" spans="1:25" ht="31.5" x14ac:dyDescent="0.25">
      <c r="A272" s="90"/>
      <c r="B272" s="10">
        <v>242</v>
      </c>
      <c r="C272" s="11" t="s">
        <v>482</v>
      </c>
      <c r="D272" s="12" t="s">
        <v>24</v>
      </c>
      <c r="E272" s="12">
        <v>40452161</v>
      </c>
      <c r="F272" s="12" t="s">
        <v>20</v>
      </c>
      <c r="G272" s="12">
        <v>33903035</v>
      </c>
      <c r="H272" s="43">
        <v>6</v>
      </c>
      <c r="I272" s="21" t="s">
        <v>80</v>
      </c>
      <c r="J272" s="7">
        <v>7.99</v>
      </c>
      <c r="K272" s="7" t="s">
        <v>36</v>
      </c>
      <c r="L272" s="7">
        <v>16.25</v>
      </c>
      <c r="M272" s="7" t="s">
        <v>50</v>
      </c>
      <c r="N272" s="7">
        <v>12.03</v>
      </c>
      <c r="O272" s="13"/>
      <c r="P272" s="13"/>
      <c r="Q272" s="13"/>
      <c r="R272" s="13"/>
      <c r="S272" s="18">
        <f t="shared" si="29"/>
        <v>7.99</v>
      </c>
      <c r="T272" s="14">
        <f t="shared" si="30"/>
        <v>12.09</v>
      </c>
      <c r="U272" s="14">
        <f t="shared" si="31"/>
        <v>12.03</v>
      </c>
      <c r="V272" s="15">
        <f t="shared" si="32"/>
        <v>0.34163166778980242</v>
      </c>
      <c r="W272" s="9">
        <f t="shared" si="33"/>
        <v>12.03</v>
      </c>
      <c r="X272" s="9">
        <f t="shared" si="34"/>
        <v>72.179999999999993</v>
      </c>
      <c r="Y272" s="85"/>
    </row>
    <row r="273" spans="1:25" ht="31.5" x14ac:dyDescent="0.25">
      <c r="A273" s="89"/>
      <c r="B273" s="10">
        <v>243</v>
      </c>
      <c r="C273" s="11" t="s">
        <v>481</v>
      </c>
      <c r="D273" s="12" t="s">
        <v>25</v>
      </c>
      <c r="E273" s="12">
        <v>122483259</v>
      </c>
      <c r="F273" s="12" t="s">
        <v>20</v>
      </c>
      <c r="G273" s="12">
        <v>33903035</v>
      </c>
      <c r="H273" s="43">
        <v>4</v>
      </c>
      <c r="I273" s="21" t="s">
        <v>66</v>
      </c>
      <c r="J273" s="7">
        <v>27.41</v>
      </c>
      <c r="K273" s="7" t="s">
        <v>97</v>
      </c>
      <c r="L273" s="7">
        <v>28.66</v>
      </c>
      <c r="M273" s="7" t="s">
        <v>103</v>
      </c>
      <c r="N273" s="7">
        <v>37.770000000000003</v>
      </c>
      <c r="O273" s="13"/>
      <c r="P273" s="13"/>
      <c r="Q273" s="13"/>
      <c r="R273" s="13"/>
      <c r="S273" s="18">
        <f t="shared" si="29"/>
        <v>27.41</v>
      </c>
      <c r="T273" s="14">
        <f t="shared" si="30"/>
        <v>31.28</v>
      </c>
      <c r="U273" s="14">
        <f t="shared" si="31"/>
        <v>28.66</v>
      </c>
      <c r="V273" s="15">
        <f t="shared" si="32"/>
        <v>0.18079117957442967</v>
      </c>
      <c r="W273" s="9">
        <f t="shared" si="33"/>
        <v>31.28</v>
      </c>
      <c r="X273" s="9">
        <f t="shared" si="34"/>
        <v>125.12</v>
      </c>
      <c r="Y273" s="82"/>
    </row>
    <row r="274" spans="1:25" ht="15.75" customHeight="1" x14ac:dyDescent="0.25">
      <c r="A274" s="83"/>
      <c r="B274" s="83"/>
      <c r="C274" s="83"/>
      <c r="D274" s="83"/>
      <c r="E274" s="83"/>
      <c r="F274" s="83"/>
      <c r="G274" s="83"/>
      <c r="H274" s="83"/>
      <c r="I274" s="83"/>
      <c r="J274" s="83"/>
      <c r="K274" s="83"/>
      <c r="L274" s="83"/>
      <c r="M274" s="83"/>
      <c r="N274" s="83"/>
      <c r="O274" s="83"/>
      <c r="P274" s="83"/>
      <c r="Q274" s="83"/>
      <c r="R274" s="83"/>
      <c r="S274" s="83"/>
      <c r="T274" s="83"/>
      <c r="U274" s="83"/>
      <c r="V274" s="83"/>
      <c r="W274" s="83"/>
      <c r="X274" s="83"/>
      <c r="Y274" s="84"/>
    </row>
    <row r="275" spans="1:25" ht="94.5" x14ac:dyDescent="0.25">
      <c r="A275" s="88">
        <v>29</v>
      </c>
      <c r="B275" s="10">
        <v>244</v>
      </c>
      <c r="C275" s="33" t="s">
        <v>502</v>
      </c>
      <c r="D275" s="12" t="s">
        <v>25</v>
      </c>
      <c r="E275" s="12">
        <v>47660008</v>
      </c>
      <c r="F275" s="12" t="s">
        <v>20</v>
      </c>
      <c r="G275" s="12">
        <v>33903035</v>
      </c>
      <c r="H275" s="28">
        <v>3</v>
      </c>
      <c r="I275" s="7" t="s">
        <v>66</v>
      </c>
      <c r="J275" s="7">
        <v>155.94999999999999</v>
      </c>
      <c r="K275" s="7" t="s">
        <v>501</v>
      </c>
      <c r="L275" s="7">
        <v>158.13999999999999</v>
      </c>
      <c r="M275" s="7" t="s">
        <v>351</v>
      </c>
      <c r="N275" s="7">
        <v>185.65</v>
      </c>
      <c r="O275" s="13"/>
      <c r="P275" s="13"/>
      <c r="Q275" s="13"/>
      <c r="R275" s="13"/>
      <c r="S275" s="18">
        <f t="shared" si="29"/>
        <v>155.94999999999999</v>
      </c>
      <c r="T275" s="14">
        <f t="shared" si="30"/>
        <v>166.58</v>
      </c>
      <c r="U275" s="14">
        <f t="shared" si="31"/>
        <v>158.13999999999999</v>
      </c>
      <c r="V275" s="15">
        <f t="shared" si="32"/>
        <v>9.9359860142755149E-2</v>
      </c>
      <c r="W275" s="9">
        <f t="shared" si="33"/>
        <v>166.58</v>
      </c>
      <c r="X275" s="9">
        <f t="shared" si="34"/>
        <v>499.74</v>
      </c>
      <c r="Y275" s="81">
        <v>65594.42</v>
      </c>
    </row>
    <row r="276" spans="1:25" ht="204.75" x14ac:dyDescent="0.25">
      <c r="A276" s="90"/>
      <c r="B276" s="10">
        <v>245</v>
      </c>
      <c r="C276" s="11" t="s">
        <v>500</v>
      </c>
      <c r="D276" s="12" t="s">
        <v>497</v>
      </c>
      <c r="E276" s="12">
        <v>44822009</v>
      </c>
      <c r="F276" s="12" t="s">
        <v>20</v>
      </c>
      <c r="G276" s="12">
        <v>33903035</v>
      </c>
      <c r="H276" s="28">
        <v>2</v>
      </c>
      <c r="I276" s="38" t="s">
        <v>499</v>
      </c>
      <c r="J276" s="38">
        <v>3223.57</v>
      </c>
      <c r="K276" s="22" t="s">
        <v>495</v>
      </c>
      <c r="L276" s="22">
        <v>2225.5</v>
      </c>
      <c r="M276" s="39" t="s">
        <v>488</v>
      </c>
      <c r="N276" s="22">
        <v>3907.2</v>
      </c>
      <c r="O276" s="21" t="s">
        <v>485</v>
      </c>
      <c r="P276" s="38">
        <v>5611.85</v>
      </c>
      <c r="Q276" s="13"/>
      <c r="R276" s="13"/>
      <c r="S276" s="18">
        <f t="shared" si="29"/>
        <v>2225.5</v>
      </c>
      <c r="T276" s="14">
        <f t="shared" si="30"/>
        <v>3742.03</v>
      </c>
      <c r="U276" s="14">
        <f t="shared" si="31"/>
        <v>3565.38</v>
      </c>
      <c r="V276" s="15">
        <f t="shared" si="32"/>
        <v>0.38081862875350458</v>
      </c>
      <c r="W276" s="9">
        <f t="shared" si="33"/>
        <v>3565.38</v>
      </c>
      <c r="X276" s="9">
        <f>IF(V276&lt;=25%,T276,U276)*H276</f>
        <v>7130.76</v>
      </c>
      <c r="Y276" s="85"/>
    </row>
    <row r="277" spans="1:25" ht="204.75" x14ac:dyDescent="0.25">
      <c r="A277" s="90"/>
      <c r="B277" s="10">
        <v>246</v>
      </c>
      <c r="C277" s="11" t="s">
        <v>498</v>
      </c>
      <c r="D277" s="12" t="s">
        <v>497</v>
      </c>
      <c r="E277" s="12">
        <v>47660009</v>
      </c>
      <c r="F277" s="12" t="s">
        <v>20</v>
      </c>
      <c r="G277" s="12">
        <v>33903035</v>
      </c>
      <c r="H277" s="28">
        <v>2</v>
      </c>
      <c r="I277" s="20" t="s">
        <v>496</v>
      </c>
      <c r="J277" s="40">
        <v>1900</v>
      </c>
      <c r="K277" s="22" t="s">
        <v>495</v>
      </c>
      <c r="L277" s="22">
        <v>2225.5</v>
      </c>
      <c r="M277" s="39" t="s">
        <v>488</v>
      </c>
      <c r="N277" s="22">
        <v>3908.2</v>
      </c>
      <c r="O277" s="21" t="s">
        <v>485</v>
      </c>
      <c r="P277" s="38">
        <v>5612.85</v>
      </c>
      <c r="Q277" s="13"/>
      <c r="R277" s="13"/>
      <c r="S277" s="18">
        <f t="shared" si="29"/>
        <v>1900</v>
      </c>
      <c r="T277" s="14">
        <f t="shared" si="30"/>
        <v>3411.63</v>
      </c>
      <c r="U277" s="14">
        <f t="shared" si="31"/>
        <v>3066.85</v>
      </c>
      <c r="V277" s="15">
        <f t="shared" si="32"/>
        <v>0.50155632570142072</v>
      </c>
      <c r="W277" s="9">
        <f t="shared" si="33"/>
        <v>3066.85</v>
      </c>
      <c r="X277" s="9">
        <f t="shared" si="34"/>
        <v>6133.7</v>
      </c>
      <c r="Y277" s="85"/>
    </row>
    <row r="278" spans="1:25" ht="204.75" x14ac:dyDescent="0.25">
      <c r="A278" s="90"/>
      <c r="B278" s="10">
        <v>247</v>
      </c>
      <c r="C278" s="11" t="s">
        <v>494</v>
      </c>
      <c r="D278" s="12" t="s">
        <v>25</v>
      </c>
      <c r="E278" s="12">
        <v>47660019</v>
      </c>
      <c r="F278" s="12" t="s">
        <v>20</v>
      </c>
      <c r="G278" s="12">
        <v>33903035</v>
      </c>
      <c r="H278" s="28">
        <v>4</v>
      </c>
      <c r="I278" s="20" t="s">
        <v>486</v>
      </c>
      <c r="J278" s="40">
        <f>1699.23+180</f>
        <v>1879.23</v>
      </c>
      <c r="K278" s="21" t="s">
        <v>485</v>
      </c>
      <c r="L278" s="40">
        <v>1463.75</v>
      </c>
      <c r="M278" s="20" t="s">
        <v>402</v>
      </c>
      <c r="N278" s="40">
        <v>2022.7</v>
      </c>
      <c r="O278" s="21"/>
      <c r="P278" s="38"/>
      <c r="Q278" s="13"/>
      <c r="R278" s="13"/>
      <c r="S278" s="18">
        <f t="shared" si="29"/>
        <v>1463.75</v>
      </c>
      <c r="T278" s="14">
        <f t="shared" si="30"/>
        <v>1788.56</v>
      </c>
      <c r="U278" s="14">
        <f t="shared" si="31"/>
        <v>1879.23</v>
      </c>
      <c r="V278" s="15">
        <f t="shared" si="32"/>
        <v>0.16230739117354648</v>
      </c>
      <c r="W278" s="9">
        <f t="shared" si="33"/>
        <v>1788.56</v>
      </c>
      <c r="X278" s="9">
        <f t="shared" si="34"/>
        <v>7154.24</v>
      </c>
      <c r="Y278" s="85"/>
    </row>
    <row r="279" spans="1:25" ht="204.75" x14ac:dyDescent="0.25">
      <c r="A279" s="90"/>
      <c r="B279" s="10">
        <v>248</v>
      </c>
      <c r="C279" s="11" t="s">
        <v>493</v>
      </c>
      <c r="D279" s="12" t="s">
        <v>25</v>
      </c>
      <c r="E279" s="12">
        <v>47660022</v>
      </c>
      <c r="F279" s="12" t="s">
        <v>20</v>
      </c>
      <c r="G279" s="12">
        <v>33903035</v>
      </c>
      <c r="H279" s="28">
        <v>2</v>
      </c>
      <c r="I279" s="21" t="s">
        <v>139</v>
      </c>
      <c r="J279" s="38">
        <v>1476.79</v>
      </c>
      <c r="K279" s="20" t="s">
        <v>486</v>
      </c>
      <c r="L279" s="40">
        <f>1699.23+180</f>
        <v>1879.23</v>
      </c>
      <c r="M279" s="21" t="s">
        <v>485</v>
      </c>
      <c r="N279" s="40">
        <v>1463.75</v>
      </c>
      <c r="O279" s="21"/>
      <c r="P279" s="38"/>
      <c r="Q279" s="13"/>
      <c r="R279" s="13"/>
      <c r="S279" s="18">
        <f t="shared" si="29"/>
        <v>1463.75</v>
      </c>
      <c r="T279" s="14">
        <f t="shared" si="30"/>
        <v>1606.59</v>
      </c>
      <c r="U279" s="14">
        <f t="shared" si="31"/>
        <v>1476.79</v>
      </c>
      <c r="V279" s="15">
        <f t="shared" si="32"/>
        <v>0.14702143681553634</v>
      </c>
      <c r="W279" s="9">
        <f t="shared" si="33"/>
        <v>1606.59</v>
      </c>
      <c r="X279" s="9">
        <f t="shared" si="34"/>
        <v>3213.18</v>
      </c>
      <c r="Y279" s="85"/>
    </row>
    <row r="280" spans="1:25" ht="204.75" x14ac:dyDescent="0.25">
      <c r="A280" s="90"/>
      <c r="B280" s="10">
        <v>249</v>
      </c>
      <c r="C280" s="11" t="s">
        <v>492</v>
      </c>
      <c r="D280" s="12" t="s">
        <v>25</v>
      </c>
      <c r="E280" s="12">
        <v>47660022</v>
      </c>
      <c r="F280" s="12" t="s">
        <v>20</v>
      </c>
      <c r="G280" s="12">
        <v>33903035</v>
      </c>
      <c r="H280" s="28">
        <v>3</v>
      </c>
      <c r="I280" s="21" t="s">
        <v>139</v>
      </c>
      <c r="J280" s="38">
        <v>1476.79</v>
      </c>
      <c r="K280" s="20" t="s">
        <v>486</v>
      </c>
      <c r="L280" s="41">
        <f>1699.23+180</f>
        <v>1879.23</v>
      </c>
      <c r="M280" s="21" t="s">
        <v>485</v>
      </c>
      <c r="N280" s="40">
        <v>1463.75</v>
      </c>
      <c r="O280" s="21"/>
      <c r="P280" s="38"/>
      <c r="Q280" s="13"/>
      <c r="R280" s="13"/>
      <c r="S280" s="18">
        <f t="shared" si="29"/>
        <v>1463.75</v>
      </c>
      <c r="T280" s="14">
        <f t="shared" si="30"/>
        <v>1606.59</v>
      </c>
      <c r="U280" s="14">
        <f t="shared" si="31"/>
        <v>1476.79</v>
      </c>
      <c r="V280" s="15">
        <f t="shared" si="32"/>
        <v>0.14702143681553634</v>
      </c>
      <c r="W280" s="9">
        <f t="shared" si="33"/>
        <v>1606.59</v>
      </c>
      <c r="X280" s="9">
        <f t="shared" si="34"/>
        <v>4819.7699999999995</v>
      </c>
      <c r="Y280" s="85"/>
    </row>
    <row r="281" spans="1:25" ht="204.75" x14ac:dyDescent="0.25">
      <c r="A281" s="90"/>
      <c r="B281" s="10">
        <v>250</v>
      </c>
      <c r="C281" s="11" t="s">
        <v>491</v>
      </c>
      <c r="D281" s="12" t="s">
        <v>25</v>
      </c>
      <c r="E281" s="12">
        <v>47660022</v>
      </c>
      <c r="F281" s="12" t="s">
        <v>20</v>
      </c>
      <c r="G281" s="12">
        <v>33903035</v>
      </c>
      <c r="H281" s="28">
        <v>8</v>
      </c>
      <c r="I281" s="21" t="s">
        <v>139</v>
      </c>
      <c r="J281" s="38">
        <v>1476.79</v>
      </c>
      <c r="K281" s="20" t="s">
        <v>486</v>
      </c>
      <c r="L281" s="41">
        <f>1699.23+180</f>
        <v>1879.23</v>
      </c>
      <c r="M281" s="21" t="s">
        <v>485</v>
      </c>
      <c r="N281" s="40">
        <v>1463.75</v>
      </c>
      <c r="O281" s="40"/>
      <c r="P281" s="40"/>
      <c r="Q281" s="13"/>
      <c r="R281" s="13"/>
      <c r="S281" s="18">
        <f t="shared" ref="S281:S347" si="35">MIN(J281:R281)</f>
        <v>1463.75</v>
      </c>
      <c r="T281" s="14">
        <f t="shared" ref="T281:T347" si="36">ROUNDDOWN(AVERAGE(J281:R281),2)</f>
        <v>1606.59</v>
      </c>
      <c r="U281" s="14">
        <f t="shared" ref="U281:U347" si="37">ROUNDDOWN(MEDIAN(J281:R281),2)</f>
        <v>1476.79</v>
      </c>
      <c r="V281" s="15">
        <f t="shared" ref="V281:V347" si="38">STDEV(J281:R281)/AVERAGE(J281:R281)</f>
        <v>0.14702143681553634</v>
      </c>
      <c r="W281" s="9">
        <f t="shared" ref="W281:W347" si="39">IF(V281&lt;=25%,T281,U281)</f>
        <v>1606.59</v>
      </c>
      <c r="X281" s="9">
        <f t="shared" si="34"/>
        <v>12852.72</v>
      </c>
      <c r="Y281" s="85"/>
    </row>
    <row r="282" spans="1:25" ht="204.75" x14ac:dyDescent="0.25">
      <c r="A282" s="90"/>
      <c r="B282" s="10">
        <v>251</v>
      </c>
      <c r="C282" s="11" t="s">
        <v>490</v>
      </c>
      <c r="D282" s="12" t="s">
        <v>25</v>
      </c>
      <c r="E282" s="12">
        <v>47660022</v>
      </c>
      <c r="F282" s="12" t="s">
        <v>20</v>
      </c>
      <c r="G282" s="12">
        <v>33903035</v>
      </c>
      <c r="H282" s="28">
        <v>5</v>
      </c>
      <c r="I282" s="21" t="s">
        <v>139</v>
      </c>
      <c r="J282" s="38">
        <v>1612.3</v>
      </c>
      <c r="K282" s="20" t="s">
        <v>486</v>
      </c>
      <c r="L282" s="41">
        <f>1699.23+180</f>
        <v>1879.23</v>
      </c>
      <c r="M282" s="21" t="s">
        <v>485</v>
      </c>
      <c r="N282" s="40">
        <v>1463.75</v>
      </c>
      <c r="O282" s="40"/>
      <c r="P282" s="40"/>
      <c r="Q282" s="13"/>
      <c r="R282" s="13"/>
      <c r="S282" s="18">
        <f t="shared" si="35"/>
        <v>1463.75</v>
      </c>
      <c r="T282" s="14">
        <f t="shared" si="36"/>
        <v>1651.76</v>
      </c>
      <c r="U282" s="14">
        <f t="shared" si="37"/>
        <v>1612.3</v>
      </c>
      <c r="V282" s="15">
        <f t="shared" si="38"/>
        <v>0.12745919975074552</v>
      </c>
      <c r="W282" s="9">
        <f t="shared" si="39"/>
        <v>1651.76</v>
      </c>
      <c r="X282" s="9">
        <f t="shared" si="34"/>
        <v>8258.7999999999993</v>
      </c>
      <c r="Y282" s="85"/>
    </row>
    <row r="283" spans="1:25" ht="204.75" x14ac:dyDescent="0.25">
      <c r="A283" s="90"/>
      <c r="B283" s="10">
        <v>252</v>
      </c>
      <c r="C283" s="11" t="s">
        <v>489</v>
      </c>
      <c r="D283" s="12" t="s">
        <v>25</v>
      </c>
      <c r="E283" s="12">
        <v>47660022</v>
      </c>
      <c r="F283" s="12" t="s">
        <v>20</v>
      </c>
      <c r="G283" s="12">
        <v>33903035</v>
      </c>
      <c r="H283" s="28">
        <v>1</v>
      </c>
      <c r="I283" s="20" t="s">
        <v>486</v>
      </c>
      <c r="J283" s="20">
        <f>1699.23+180</f>
        <v>1879.23</v>
      </c>
      <c r="K283" s="39" t="s">
        <v>488</v>
      </c>
      <c r="L283" s="38">
        <v>2820</v>
      </c>
      <c r="M283" s="40" t="s">
        <v>402</v>
      </c>
      <c r="N283" s="40">
        <v>1845</v>
      </c>
      <c r="O283" s="21"/>
      <c r="P283" s="38"/>
      <c r="Q283" s="13"/>
      <c r="R283" s="13"/>
      <c r="S283" s="18">
        <f t="shared" si="35"/>
        <v>1845</v>
      </c>
      <c r="T283" s="14">
        <f t="shared" si="36"/>
        <v>2181.41</v>
      </c>
      <c r="U283" s="14">
        <f t="shared" si="37"/>
        <v>1879.23</v>
      </c>
      <c r="V283" s="15">
        <f t="shared" si="38"/>
        <v>0.25364325440529795</v>
      </c>
      <c r="W283" s="9">
        <f t="shared" si="39"/>
        <v>1879.23</v>
      </c>
      <c r="X283" s="9">
        <f t="shared" si="34"/>
        <v>1879.23</v>
      </c>
      <c r="Y283" s="85"/>
    </row>
    <row r="284" spans="1:25" ht="220.5" x14ac:dyDescent="0.25">
      <c r="A284" s="90"/>
      <c r="B284" s="10">
        <v>253</v>
      </c>
      <c r="C284" s="11" t="s">
        <v>487</v>
      </c>
      <c r="D284" s="12" t="s">
        <v>25</v>
      </c>
      <c r="E284" s="12">
        <v>47660011</v>
      </c>
      <c r="F284" s="12" t="s">
        <v>20</v>
      </c>
      <c r="G284" s="12">
        <v>33903035</v>
      </c>
      <c r="H284" s="28">
        <v>8</v>
      </c>
      <c r="I284" s="21" t="s">
        <v>139</v>
      </c>
      <c r="J284" s="38">
        <v>1476.79</v>
      </c>
      <c r="K284" s="20" t="s">
        <v>486</v>
      </c>
      <c r="L284" s="41">
        <v>1879.23</v>
      </c>
      <c r="M284" s="21" t="s">
        <v>485</v>
      </c>
      <c r="N284" s="40">
        <v>1463.75</v>
      </c>
      <c r="O284" s="40"/>
      <c r="P284" s="40"/>
      <c r="Q284" s="13"/>
      <c r="R284" s="13"/>
      <c r="S284" s="18">
        <f t="shared" si="35"/>
        <v>1463.75</v>
      </c>
      <c r="T284" s="14">
        <f t="shared" si="36"/>
        <v>1606.59</v>
      </c>
      <c r="U284" s="14">
        <f t="shared" si="37"/>
        <v>1476.79</v>
      </c>
      <c r="V284" s="15">
        <f t="shared" si="38"/>
        <v>0.14702143681553634</v>
      </c>
      <c r="W284" s="9">
        <f t="shared" si="39"/>
        <v>1606.59</v>
      </c>
      <c r="X284" s="9">
        <f t="shared" si="34"/>
        <v>12852.72</v>
      </c>
      <c r="Y284" s="85"/>
    </row>
    <row r="285" spans="1:25" ht="94.5" x14ac:dyDescent="0.25">
      <c r="A285" s="89"/>
      <c r="B285" s="10">
        <v>254</v>
      </c>
      <c r="C285" s="11" t="s">
        <v>484</v>
      </c>
      <c r="D285" s="12" t="s">
        <v>25</v>
      </c>
      <c r="E285" s="12">
        <v>47660022</v>
      </c>
      <c r="F285" s="12" t="s">
        <v>20</v>
      </c>
      <c r="G285" s="12">
        <v>33903035</v>
      </c>
      <c r="H285" s="28">
        <v>4</v>
      </c>
      <c r="I285" s="21" t="s">
        <v>80</v>
      </c>
      <c r="J285" s="38">
        <v>148.9</v>
      </c>
      <c r="K285" s="20" t="s">
        <v>52</v>
      </c>
      <c r="L285" s="41">
        <v>210</v>
      </c>
      <c r="M285" s="21" t="s">
        <v>26</v>
      </c>
      <c r="N285" s="42">
        <v>240.78</v>
      </c>
      <c r="O285" s="42"/>
      <c r="P285" s="42"/>
      <c r="Q285" s="13"/>
      <c r="R285" s="13"/>
      <c r="S285" s="18">
        <f t="shared" si="35"/>
        <v>148.9</v>
      </c>
      <c r="T285" s="14">
        <f t="shared" si="36"/>
        <v>199.89</v>
      </c>
      <c r="U285" s="14">
        <f t="shared" si="37"/>
        <v>210</v>
      </c>
      <c r="V285" s="15">
        <f t="shared" si="38"/>
        <v>0.23395656109925489</v>
      </c>
      <c r="W285" s="9">
        <f t="shared" si="39"/>
        <v>199.89</v>
      </c>
      <c r="X285" s="9">
        <f t="shared" si="34"/>
        <v>799.56</v>
      </c>
      <c r="Y285" s="82"/>
    </row>
    <row r="286" spans="1:25" ht="15.75" customHeight="1" x14ac:dyDescent="0.25">
      <c r="A286" s="83"/>
      <c r="B286" s="83"/>
      <c r="C286" s="83"/>
      <c r="D286" s="83"/>
      <c r="E286" s="83"/>
      <c r="F286" s="83"/>
      <c r="G286" s="83"/>
      <c r="H286" s="83"/>
      <c r="I286" s="83"/>
      <c r="J286" s="83"/>
      <c r="K286" s="83"/>
      <c r="L286" s="83"/>
      <c r="M286" s="83"/>
      <c r="N286" s="83"/>
      <c r="O286" s="83"/>
      <c r="P286" s="83"/>
      <c r="Q286" s="83"/>
      <c r="R286" s="83"/>
      <c r="S286" s="83"/>
      <c r="T286" s="83"/>
      <c r="U286" s="83"/>
      <c r="V286" s="83"/>
      <c r="W286" s="83"/>
      <c r="X286" s="83"/>
      <c r="Y286" s="84"/>
    </row>
    <row r="287" spans="1:25" ht="47.25" x14ac:dyDescent="0.25">
      <c r="A287" s="88">
        <v>30</v>
      </c>
      <c r="B287" s="10">
        <v>255</v>
      </c>
      <c r="C287" s="33" t="s">
        <v>512</v>
      </c>
      <c r="D287" s="32" t="s">
        <v>508</v>
      </c>
      <c r="E287" s="12">
        <v>63665036</v>
      </c>
      <c r="F287" s="12" t="s">
        <v>20</v>
      </c>
      <c r="G287" s="12">
        <v>33903013</v>
      </c>
      <c r="H287" s="28">
        <v>100</v>
      </c>
      <c r="I287" s="7" t="s">
        <v>504</v>
      </c>
      <c r="J287" s="7">
        <v>57.5</v>
      </c>
      <c r="K287" s="7" t="s">
        <v>506</v>
      </c>
      <c r="L287" s="7">
        <v>59.99</v>
      </c>
      <c r="M287" s="7" t="s">
        <v>507</v>
      </c>
      <c r="N287" s="7">
        <v>47.37</v>
      </c>
      <c r="O287" s="13"/>
      <c r="P287" s="13"/>
      <c r="Q287" s="13"/>
      <c r="R287" s="13"/>
      <c r="S287" s="18">
        <f t="shared" si="35"/>
        <v>47.37</v>
      </c>
      <c r="T287" s="14">
        <f t="shared" si="36"/>
        <v>54.95</v>
      </c>
      <c r="U287" s="14">
        <f t="shared" si="37"/>
        <v>57.5</v>
      </c>
      <c r="V287" s="15">
        <f t="shared" si="38"/>
        <v>0.12163643286327379</v>
      </c>
      <c r="W287" s="9">
        <f t="shared" si="39"/>
        <v>54.95</v>
      </c>
      <c r="X287" s="9">
        <f t="shared" si="34"/>
        <v>5495</v>
      </c>
      <c r="Y287" s="81">
        <v>24652.6</v>
      </c>
    </row>
    <row r="288" spans="1:25" ht="47.25" x14ac:dyDescent="0.25">
      <c r="A288" s="90"/>
      <c r="B288" s="10">
        <v>256</v>
      </c>
      <c r="C288" s="33" t="s">
        <v>511</v>
      </c>
      <c r="D288" s="32" t="s">
        <v>508</v>
      </c>
      <c r="E288" s="12">
        <v>63665036</v>
      </c>
      <c r="F288" s="12" t="s">
        <v>20</v>
      </c>
      <c r="G288" s="12">
        <v>33903013</v>
      </c>
      <c r="H288" s="28">
        <v>100</v>
      </c>
      <c r="I288" s="7" t="s">
        <v>504</v>
      </c>
      <c r="J288" s="7">
        <v>71.25</v>
      </c>
      <c r="K288" s="7" t="s">
        <v>506</v>
      </c>
      <c r="L288" s="7">
        <v>59.9</v>
      </c>
      <c r="M288" s="7" t="s">
        <v>510</v>
      </c>
      <c r="N288" s="7">
        <v>68.400000000000006</v>
      </c>
      <c r="O288" s="13"/>
      <c r="P288" s="13"/>
      <c r="Q288" s="13"/>
      <c r="R288" s="13"/>
      <c r="S288" s="18">
        <f t="shared" si="35"/>
        <v>59.9</v>
      </c>
      <c r="T288" s="14">
        <f t="shared" si="36"/>
        <v>66.510000000000005</v>
      </c>
      <c r="U288" s="14">
        <f t="shared" si="37"/>
        <v>68.400000000000006</v>
      </c>
      <c r="V288" s="15">
        <f t="shared" si="38"/>
        <v>8.8770680169620794E-2</v>
      </c>
      <c r="W288" s="9">
        <f t="shared" si="39"/>
        <v>66.510000000000005</v>
      </c>
      <c r="X288" s="9">
        <f t="shared" si="34"/>
        <v>6651.0000000000009</v>
      </c>
      <c r="Y288" s="85"/>
    </row>
    <row r="289" spans="1:25" ht="31.5" x14ac:dyDescent="0.25">
      <c r="A289" s="90"/>
      <c r="B289" s="10">
        <v>257</v>
      </c>
      <c r="C289" s="33" t="s">
        <v>509</v>
      </c>
      <c r="D289" s="32" t="s">
        <v>508</v>
      </c>
      <c r="E289" s="12">
        <v>63665035</v>
      </c>
      <c r="F289" s="12" t="s">
        <v>20</v>
      </c>
      <c r="G289" s="12">
        <v>33903013</v>
      </c>
      <c r="H289" s="28">
        <v>30</v>
      </c>
      <c r="I289" s="7" t="s">
        <v>504</v>
      </c>
      <c r="J289" s="7">
        <v>310</v>
      </c>
      <c r="K289" s="7" t="s">
        <v>507</v>
      </c>
      <c r="L289" s="7">
        <v>313.69</v>
      </c>
      <c r="M289" s="7" t="s">
        <v>506</v>
      </c>
      <c r="N289" s="7">
        <v>331.56</v>
      </c>
      <c r="O289" s="13"/>
      <c r="P289" s="13"/>
      <c r="Q289" s="13"/>
      <c r="R289" s="13"/>
      <c r="S289" s="18">
        <f t="shared" si="35"/>
        <v>310</v>
      </c>
      <c r="T289" s="14">
        <f t="shared" si="36"/>
        <v>318.41000000000003</v>
      </c>
      <c r="U289" s="14">
        <f t="shared" si="37"/>
        <v>313.69</v>
      </c>
      <c r="V289" s="15">
        <f t="shared" si="38"/>
        <v>3.6213620981954416E-2</v>
      </c>
      <c r="W289" s="9">
        <f t="shared" si="39"/>
        <v>318.41000000000003</v>
      </c>
      <c r="X289" s="9">
        <f t="shared" ref="X289:X347" si="40">IF(V289&lt;=25%,T289,U289)*H289</f>
        <v>9552.3000000000011</v>
      </c>
      <c r="Y289" s="85"/>
    </row>
    <row r="290" spans="1:25" ht="31.5" x14ac:dyDescent="0.25">
      <c r="A290" s="89"/>
      <c r="B290" s="10">
        <v>258</v>
      </c>
      <c r="C290" s="33" t="s">
        <v>505</v>
      </c>
      <c r="D290" s="32" t="s">
        <v>25</v>
      </c>
      <c r="E290" s="12">
        <v>122483284</v>
      </c>
      <c r="F290" s="12" t="s">
        <v>20</v>
      </c>
      <c r="G290" s="12">
        <v>33903035</v>
      </c>
      <c r="H290" s="28">
        <v>10</v>
      </c>
      <c r="I290" s="7" t="s">
        <v>504</v>
      </c>
      <c r="J290" s="7">
        <v>298.3</v>
      </c>
      <c r="K290" s="7" t="s">
        <v>503</v>
      </c>
      <c r="L290" s="7">
        <v>345</v>
      </c>
      <c r="M290" s="7" t="s">
        <v>141</v>
      </c>
      <c r="N290" s="7">
        <v>243.01</v>
      </c>
      <c r="O290" s="13"/>
      <c r="P290" s="13"/>
      <c r="Q290" s="13"/>
      <c r="R290" s="13"/>
      <c r="S290" s="18">
        <f t="shared" si="35"/>
        <v>243.01</v>
      </c>
      <c r="T290" s="14">
        <f t="shared" si="36"/>
        <v>295.43</v>
      </c>
      <c r="U290" s="14">
        <f t="shared" si="37"/>
        <v>298.3</v>
      </c>
      <c r="V290" s="15">
        <f t="shared" si="38"/>
        <v>0.17281285794475579</v>
      </c>
      <c r="W290" s="9">
        <f t="shared" si="39"/>
        <v>295.43</v>
      </c>
      <c r="X290" s="9">
        <f t="shared" si="40"/>
        <v>2954.3</v>
      </c>
      <c r="Y290" s="82"/>
    </row>
    <row r="291" spans="1:25" ht="15.75" customHeight="1" x14ac:dyDescent="0.25">
      <c r="A291" s="83"/>
      <c r="B291" s="83"/>
      <c r="C291" s="83"/>
      <c r="D291" s="83"/>
      <c r="E291" s="83"/>
      <c r="F291" s="83"/>
      <c r="G291" s="83"/>
      <c r="H291" s="83"/>
      <c r="I291" s="83"/>
      <c r="J291" s="83"/>
      <c r="K291" s="83"/>
      <c r="L291" s="83"/>
      <c r="M291" s="83"/>
      <c r="N291" s="83"/>
      <c r="O291" s="83"/>
      <c r="P291" s="83"/>
      <c r="Q291" s="83"/>
      <c r="R291" s="83"/>
      <c r="S291" s="83"/>
      <c r="T291" s="83"/>
      <c r="U291" s="83"/>
      <c r="V291" s="83"/>
      <c r="W291" s="83"/>
      <c r="X291" s="83"/>
      <c r="Y291" s="84"/>
    </row>
    <row r="292" spans="1:25" ht="47.25" x14ac:dyDescent="0.25">
      <c r="A292" s="88">
        <v>31</v>
      </c>
      <c r="B292" s="10">
        <v>259</v>
      </c>
      <c r="C292" s="33" t="s">
        <v>518</v>
      </c>
      <c r="D292" s="32" t="s">
        <v>24</v>
      </c>
      <c r="E292" s="12">
        <v>55417019</v>
      </c>
      <c r="F292" s="12" t="s">
        <v>121</v>
      </c>
      <c r="G292" s="12">
        <v>33903035</v>
      </c>
      <c r="H292" s="28">
        <v>100</v>
      </c>
      <c r="I292" s="7" t="s">
        <v>30</v>
      </c>
      <c r="J292" s="7">
        <v>66.69</v>
      </c>
      <c r="K292" s="7" t="s">
        <v>501</v>
      </c>
      <c r="L292" s="7">
        <v>47.8</v>
      </c>
      <c r="M292" s="7" t="s">
        <v>37</v>
      </c>
      <c r="N292" s="7">
        <v>77</v>
      </c>
      <c r="O292" s="13"/>
      <c r="P292" s="13"/>
      <c r="Q292" s="13"/>
      <c r="R292" s="13"/>
      <c r="S292" s="18">
        <f t="shared" si="35"/>
        <v>47.8</v>
      </c>
      <c r="T292" s="14">
        <f t="shared" si="36"/>
        <v>63.83</v>
      </c>
      <c r="U292" s="14">
        <f t="shared" si="37"/>
        <v>66.69</v>
      </c>
      <c r="V292" s="15">
        <f t="shared" si="38"/>
        <v>0.23200066159776292</v>
      </c>
      <c r="W292" s="9">
        <f t="shared" si="39"/>
        <v>63.83</v>
      </c>
      <c r="X292" s="9">
        <f t="shared" si="40"/>
        <v>6383</v>
      </c>
      <c r="Y292" s="81">
        <v>26390.04</v>
      </c>
    </row>
    <row r="293" spans="1:25" ht="47.25" x14ac:dyDescent="0.25">
      <c r="A293" s="90"/>
      <c r="B293" s="10">
        <v>260</v>
      </c>
      <c r="C293" s="33" t="s">
        <v>517</v>
      </c>
      <c r="D293" s="32" t="s">
        <v>24</v>
      </c>
      <c r="E293" s="12">
        <v>55417020</v>
      </c>
      <c r="F293" s="12" t="s">
        <v>121</v>
      </c>
      <c r="G293" s="12">
        <v>33903035</v>
      </c>
      <c r="H293" s="28">
        <v>51</v>
      </c>
      <c r="I293" s="7" t="s">
        <v>47</v>
      </c>
      <c r="J293" s="7">
        <v>123.19</v>
      </c>
      <c r="K293" s="7" t="s">
        <v>516</v>
      </c>
      <c r="L293" s="7">
        <v>118</v>
      </c>
      <c r="M293" s="7" t="s">
        <v>26</v>
      </c>
      <c r="N293" s="7">
        <v>121.95</v>
      </c>
      <c r="O293" s="13"/>
      <c r="P293" s="13"/>
      <c r="Q293" s="13"/>
      <c r="R293" s="13"/>
      <c r="S293" s="18">
        <f t="shared" si="35"/>
        <v>118</v>
      </c>
      <c r="T293" s="14">
        <f t="shared" si="36"/>
        <v>121.04</v>
      </c>
      <c r="U293" s="14">
        <f t="shared" si="37"/>
        <v>121.95</v>
      </c>
      <c r="V293" s="15">
        <f t="shared" si="38"/>
        <v>2.2391006334426804E-2</v>
      </c>
      <c r="W293" s="9">
        <f t="shared" si="39"/>
        <v>121.04</v>
      </c>
      <c r="X293" s="9">
        <f t="shared" si="40"/>
        <v>6173.04</v>
      </c>
      <c r="Y293" s="85"/>
    </row>
    <row r="294" spans="1:25" ht="47.25" x14ac:dyDescent="0.25">
      <c r="A294" s="89"/>
      <c r="B294" s="10">
        <v>261</v>
      </c>
      <c r="C294" s="33" t="s">
        <v>515</v>
      </c>
      <c r="D294" s="32" t="s">
        <v>24</v>
      </c>
      <c r="E294" s="12">
        <v>55417026</v>
      </c>
      <c r="F294" s="12" t="s">
        <v>121</v>
      </c>
      <c r="G294" s="12">
        <v>33903035</v>
      </c>
      <c r="H294" s="28">
        <v>50</v>
      </c>
      <c r="I294" s="7" t="s">
        <v>514</v>
      </c>
      <c r="J294" s="7">
        <v>296.60000000000002</v>
      </c>
      <c r="K294" s="7" t="s">
        <v>50</v>
      </c>
      <c r="L294" s="7">
        <v>275.55</v>
      </c>
      <c r="M294" s="7" t="s">
        <v>513</v>
      </c>
      <c r="N294" s="7">
        <v>257.89999999999998</v>
      </c>
      <c r="O294" s="13"/>
      <c r="P294" s="13"/>
      <c r="Q294" s="13"/>
      <c r="R294" s="13"/>
      <c r="S294" s="18">
        <f t="shared" si="35"/>
        <v>257.89999999999998</v>
      </c>
      <c r="T294" s="14">
        <f t="shared" si="36"/>
        <v>276.68</v>
      </c>
      <c r="U294" s="14">
        <f t="shared" si="37"/>
        <v>275.55</v>
      </c>
      <c r="V294" s="15">
        <f t="shared" si="38"/>
        <v>7.0025455130503372E-2</v>
      </c>
      <c r="W294" s="9">
        <f t="shared" si="39"/>
        <v>276.68</v>
      </c>
      <c r="X294" s="9">
        <f t="shared" si="40"/>
        <v>13834</v>
      </c>
      <c r="Y294" s="82"/>
    </row>
    <row r="295" spans="1:25" ht="15.75" customHeight="1" x14ac:dyDescent="0.25">
      <c r="A295" s="83"/>
      <c r="B295" s="83"/>
      <c r="C295" s="83"/>
      <c r="D295" s="83"/>
      <c r="E295" s="83"/>
      <c r="F295" s="83"/>
      <c r="G295" s="83"/>
      <c r="H295" s="83"/>
      <c r="I295" s="83"/>
      <c r="J295" s="83"/>
      <c r="K295" s="83"/>
      <c r="L295" s="83"/>
      <c r="M295" s="83"/>
      <c r="N295" s="83"/>
      <c r="O295" s="83"/>
      <c r="P295" s="83"/>
      <c r="Q295" s="83"/>
      <c r="R295" s="83"/>
      <c r="S295" s="83"/>
      <c r="T295" s="83"/>
      <c r="U295" s="83"/>
      <c r="V295" s="83"/>
      <c r="W295" s="83"/>
      <c r="X295" s="83"/>
      <c r="Y295" s="84"/>
    </row>
    <row r="296" spans="1:25" ht="31.5" x14ac:dyDescent="0.25">
      <c r="A296" s="76">
        <v>32</v>
      </c>
      <c r="B296" s="10">
        <v>262</v>
      </c>
      <c r="C296" s="33" t="s">
        <v>521</v>
      </c>
      <c r="D296" s="35" t="s">
        <v>24</v>
      </c>
      <c r="E296" s="12">
        <v>44849049</v>
      </c>
      <c r="F296" s="12" t="s">
        <v>20</v>
      </c>
      <c r="G296" s="12">
        <v>33903035</v>
      </c>
      <c r="H296" s="28">
        <v>10</v>
      </c>
      <c r="I296" s="7" t="s">
        <v>520</v>
      </c>
      <c r="J296" s="7">
        <v>83.8</v>
      </c>
      <c r="K296" s="7" t="s">
        <v>519</v>
      </c>
      <c r="L296" s="7">
        <v>116.09</v>
      </c>
      <c r="M296" s="7"/>
      <c r="N296" s="7"/>
      <c r="O296" s="13"/>
      <c r="P296" s="13"/>
      <c r="Q296" s="13"/>
      <c r="R296" s="13"/>
      <c r="S296" s="18">
        <f t="shared" si="35"/>
        <v>83.8</v>
      </c>
      <c r="T296" s="14">
        <f t="shared" si="36"/>
        <v>99.94</v>
      </c>
      <c r="U296" s="14">
        <f t="shared" si="37"/>
        <v>99.94</v>
      </c>
      <c r="V296" s="15">
        <f t="shared" si="38"/>
        <v>0.22845042738019589</v>
      </c>
      <c r="W296" s="9">
        <f>IF(V296&lt;=25%,T296,U296)</f>
        <v>99.94</v>
      </c>
      <c r="X296" s="9">
        <f>IF(V296&lt;=25%,T296,U296)*H296</f>
        <v>999.4</v>
      </c>
      <c r="Y296" s="9">
        <v>999.4</v>
      </c>
    </row>
    <row r="297" spans="1:25" ht="15.75" customHeight="1" x14ac:dyDescent="0.25">
      <c r="A297" s="79"/>
      <c r="B297" s="79"/>
      <c r="C297" s="83"/>
      <c r="D297" s="83"/>
      <c r="E297" s="83"/>
      <c r="F297" s="83"/>
      <c r="G297" s="83"/>
      <c r="H297" s="83"/>
      <c r="I297" s="83"/>
      <c r="J297" s="83"/>
      <c r="K297" s="83"/>
      <c r="L297" s="83"/>
      <c r="M297" s="83"/>
      <c r="N297" s="83"/>
      <c r="O297" s="83"/>
      <c r="P297" s="83"/>
      <c r="Q297" s="83"/>
      <c r="R297" s="83"/>
      <c r="S297" s="83"/>
      <c r="T297" s="83"/>
      <c r="U297" s="83"/>
      <c r="V297" s="83"/>
      <c r="W297" s="83"/>
      <c r="X297" s="83"/>
      <c r="Y297" s="84"/>
    </row>
    <row r="298" spans="1:25" ht="157.5" x14ac:dyDescent="0.25">
      <c r="A298" s="76">
        <v>33</v>
      </c>
      <c r="B298" s="10">
        <v>263</v>
      </c>
      <c r="C298" s="31" t="s">
        <v>524</v>
      </c>
      <c r="D298" s="32" t="s">
        <v>25</v>
      </c>
      <c r="E298" s="12">
        <v>504220748</v>
      </c>
      <c r="F298" s="12" t="s">
        <v>20</v>
      </c>
      <c r="G298" s="12">
        <v>33903035</v>
      </c>
      <c r="H298" s="28">
        <v>5</v>
      </c>
      <c r="I298" s="7" t="s">
        <v>523</v>
      </c>
      <c r="J298" s="7">
        <v>244.2</v>
      </c>
      <c r="K298" s="7" t="s">
        <v>522</v>
      </c>
      <c r="L298" s="7">
        <v>320.87</v>
      </c>
      <c r="M298" s="7" t="s">
        <v>26</v>
      </c>
      <c r="N298" s="7">
        <v>269</v>
      </c>
      <c r="O298" s="13"/>
      <c r="P298" s="13"/>
      <c r="Q298" s="13"/>
      <c r="R298" s="13"/>
      <c r="S298" s="18">
        <f t="shared" si="35"/>
        <v>244.2</v>
      </c>
      <c r="T298" s="14">
        <f t="shared" si="36"/>
        <v>278.02</v>
      </c>
      <c r="U298" s="14">
        <f t="shared" si="37"/>
        <v>269</v>
      </c>
      <c r="V298" s="15">
        <f t="shared" si="38"/>
        <v>0.1407197152141535</v>
      </c>
      <c r="W298" s="9">
        <f t="shared" si="39"/>
        <v>278.02</v>
      </c>
      <c r="X298" s="9">
        <f>IF(V298&lt;=25%,T298,U298)*H298</f>
        <v>1390.1</v>
      </c>
      <c r="Y298" s="9">
        <v>1390.1</v>
      </c>
    </row>
    <row r="299" spans="1:25" ht="15.75" customHeight="1" x14ac:dyDescent="0.25">
      <c r="A299" s="83"/>
      <c r="B299" s="83"/>
      <c r="C299" s="83"/>
      <c r="D299" s="83"/>
      <c r="E299" s="83"/>
      <c r="F299" s="83"/>
      <c r="G299" s="83"/>
      <c r="H299" s="83"/>
      <c r="I299" s="83"/>
      <c r="J299" s="83"/>
      <c r="K299" s="83"/>
      <c r="L299" s="83"/>
      <c r="M299" s="83"/>
      <c r="N299" s="83"/>
      <c r="O299" s="83"/>
      <c r="P299" s="83"/>
      <c r="Q299" s="83"/>
      <c r="R299" s="83"/>
      <c r="S299" s="83"/>
      <c r="T299" s="83"/>
      <c r="U299" s="83"/>
      <c r="V299" s="83"/>
      <c r="W299" s="83"/>
      <c r="X299" s="83"/>
      <c r="Y299" s="84"/>
    </row>
    <row r="300" spans="1:25" ht="38.25" x14ac:dyDescent="0.25">
      <c r="A300" s="88">
        <v>34</v>
      </c>
      <c r="B300" s="10">
        <v>264</v>
      </c>
      <c r="C300" s="11" t="s">
        <v>530</v>
      </c>
      <c r="D300" s="12" t="s">
        <v>24</v>
      </c>
      <c r="E300" s="12">
        <v>44849047</v>
      </c>
      <c r="F300" s="12" t="s">
        <v>121</v>
      </c>
      <c r="G300" s="12">
        <v>33903035</v>
      </c>
      <c r="H300" s="28">
        <v>10</v>
      </c>
      <c r="I300" s="21" t="s">
        <v>81</v>
      </c>
      <c r="J300" s="7">
        <v>8.9726009999999992</v>
      </c>
      <c r="K300" s="7" t="s">
        <v>37</v>
      </c>
      <c r="L300" s="7">
        <v>9.5</v>
      </c>
      <c r="M300" s="7" t="s">
        <v>30</v>
      </c>
      <c r="N300" s="42">
        <v>5.38</v>
      </c>
      <c r="O300" s="13"/>
      <c r="P300" s="13"/>
      <c r="Q300" s="13"/>
      <c r="R300" s="13"/>
      <c r="S300" s="18">
        <f t="shared" si="35"/>
        <v>5.38</v>
      </c>
      <c r="T300" s="14">
        <f t="shared" si="36"/>
        <v>7.95</v>
      </c>
      <c r="U300" s="14">
        <f t="shared" si="37"/>
        <v>8.9700000000000006</v>
      </c>
      <c r="V300" s="15">
        <f t="shared" si="38"/>
        <v>0.28198158190883948</v>
      </c>
      <c r="W300" s="9">
        <f t="shared" si="39"/>
        <v>8.9700000000000006</v>
      </c>
      <c r="X300" s="9">
        <f t="shared" si="40"/>
        <v>89.7</v>
      </c>
      <c r="Y300" s="81">
        <v>5325.1</v>
      </c>
    </row>
    <row r="301" spans="1:25" ht="47.25" x14ac:dyDescent="0.25">
      <c r="A301" s="90"/>
      <c r="B301" s="10">
        <v>265</v>
      </c>
      <c r="C301" s="11" t="s">
        <v>529</v>
      </c>
      <c r="D301" s="12" t="s">
        <v>24</v>
      </c>
      <c r="E301" s="12">
        <v>44849047</v>
      </c>
      <c r="F301" s="12" t="s">
        <v>20</v>
      </c>
      <c r="G301" s="12">
        <v>33903035</v>
      </c>
      <c r="H301" s="16">
        <v>700</v>
      </c>
      <c r="I301" s="21" t="s">
        <v>81</v>
      </c>
      <c r="J301" s="7">
        <v>5.6074999999999999</v>
      </c>
      <c r="K301" s="7" t="s">
        <v>80</v>
      </c>
      <c r="L301" s="7">
        <v>5.69</v>
      </c>
      <c r="M301" s="7" t="s">
        <v>21</v>
      </c>
      <c r="N301" s="42">
        <v>5.75</v>
      </c>
      <c r="O301" s="13"/>
      <c r="P301" s="13"/>
      <c r="Q301" s="13"/>
      <c r="R301" s="13"/>
      <c r="S301" s="18">
        <f t="shared" si="35"/>
        <v>5.6074999999999999</v>
      </c>
      <c r="T301" s="14">
        <f t="shared" si="36"/>
        <v>5.68</v>
      </c>
      <c r="U301" s="14">
        <f t="shared" si="37"/>
        <v>5.69</v>
      </c>
      <c r="V301" s="15">
        <f t="shared" si="38"/>
        <v>1.2590486600311654E-2</v>
      </c>
      <c r="W301" s="9">
        <f t="shared" si="39"/>
        <v>5.68</v>
      </c>
      <c r="X301" s="9">
        <f t="shared" si="40"/>
        <v>3976</v>
      </c>
      <c r="Y301" s="85"/>
    </row>
    <row r="302" spans="1:25" ht="25.5" x14ac:dyDescent="0.25">
      <c r="A302" s="90"/>
      <c r="B302" s="10">
        <v>266</v>
      </c>
      <c r="C302" s="11" t="s">
        <v>528</v>
      </c>
      <c r="D302" s="12" t="s">
        <v>24</v>
      </c>
      <c r="E302" s="12">
        <v>44849047</v>
      </c>
      <c r="F302" s="12" t="s">
        <v>20</v>
      </c>
      <c r="G302" s="12">
        <v>33903035</v>
      </c>
      <c r="H302" s="28">
        <v>10</v>
      </c>
      <c r="I302" s="21" t="s">
        <v>80</v>
      </c>
      <c r="J302" s="7">
        <v>6.29</v>
      </c>
      <c r="K302" s="7" t="s">
        <v>21</v>
      </c>
      <c r="L302" s="7">
        <v>6.52</v>
      </c>
      <c r="M302" s="7" t="s">
        <v>21</v>
      </c>
      <c r="N302" s="42">
        <v>6.53</v>
      </c>
      <c r="O302" s="13"/>
      <c r="P302" s="13"/>
      <c r="Q302" s="13"/>
      <c r="R302" s="13"/>
      <c r="S302" s="18">
        <f t="shared" si="35"/>
        <v>6.29</v>
      </c>
      <c r="T302" s="14">
        <f t="shared" si="36"/>
        <v>6.44</v>
      </c>
      <c r="U302" s="14">
        <f t="shared" si="37"/>
        <v>6.52</v>
      </c>
      <c r="V302" s="15">
        <f t="shared" si="38"/>
        <v>2.1060405226904132E-2</v>
      </c>
      <c r="W302" s="9">
        <f t="shared" si="39"/>
        <v>6.44</v>
      </c>
      <c r="X302" s="9">
        <f t="shared" si="40"/>
        <v>64.400000000000006</v>
      </c>
      <c r="Y302" s="85"/>
    </row>
    <row r="303" spans="1:25" ht="25.5" x14ac:dyDescent="0.25">
      <c r="A303" s="90"/>
      <c r="B303" s="10">
        <v>267</v>
      </c>
      <c r="C303" s="11" t="s">
        <v>527</v>
      </c>
      <c r="D303" s="12" t="s">
        <v>24</v>
      </c>
      <c r="E303" s="12">
        <v>44849047</v>
      </c>
      <c r="F303" s="12" t="s">
        <v>20</v>
      </c>
      <c r="G303" s="12">
        <v>33903035</v>
      </c>
      <c r="H303" s="28">
        <v>45</v>
      </c>
      <c r="I303" s="21" t="s">
        <v>21</v>
      </c>
      <c r="J303" s="7">
        <v>9</v>
      </c>
      <c r="K303" s="21" t="s">
        <v>21</v>
      </c>
      <c r="L303" s="7">
        <v>14.5</v>
      </c>
      <c r="M303" s="21" t="s">
        <v>21</v>
      </c>
      <c r="N303" s="42">
        <v>8.9</v>
      </c>
      <c r="O303" s="13"/>
      <c r="P303" s="13"/>
      <c r="Q303" s="13"/>
      <c r="R303" s="13"/>
      <c r="S303" s="18">
        <f t="shared" si="35"/>
        <v>8.9</v>
      </c>
      <c r="T303" s="14">
        <f t="shared" si="36"/>
        <v>10.8</v>
      </c>
      <c r="U303" s="14">
        <f t="shared" si="37"/>
        <v>9</v>
      </c>
      <c r="V303" s="15">
        <f t="shared" si="38"/>
        <v>0.29673000664744581</v>
      </c>
      <c r="W303" s="9">
        <f t="shared" si="39"/>
        <v>9</v>
      </c>
      <c r="X303" s="9">
        <f t="shared" si="40"/>
        <v>405</v>
      </c>
      <c r="Y303" s="85"/>
    </row>
    <row r="304" spans="1:25" ht="38.25" x14ac:dyDescent="0.25">
      <c r="A304" s="89"/>
      <c r="B304" s="10">
        <v>268</v>
      </c>
      <c r="C304" s="11" t="s">
        <v>526</v>
      </c>
      <c r="D304" s="12" t="s">
        <v>24</v>
      </c>
      <c r="E304" s="12">
        <v>44849047</v>
      </c>
      <c r="F304" s="12" t="s">
        <v>20</v>
      </c>
      <c r="G304" s="12">
        <v>33903035</v>
      </c>
      <c r="H304" s="28">
        <v>4</v>
      </c>
      <c r="I304" s="21" t="s">
        <v>81</v>
      </c>
      <c r="J304" s="7">
        <v>223.33</v>
      </c>
      <c r="K304" s="7" t="s">
        <v>80</v>
      </c>
      <c r="L304" s="7">
        <f>42*3.8</f>
        <v>159.6</v>
      </c>
      <c r="M304" s="7" t="s">
        <v>525</v>
      </c>
      <c r="N304" s="42">
        <f>4.99*42</f>
        <v>209.58</v>
      </c>
      <c r="O304" s="13"/>
      <c r="P304" s="13"/>
      <c r="Q304" s="13"/>
      <c r="R304" s="13"/>
      <c r="S304" s="18">
        <f t="shared" si="35"/>
        <v>159.6</v>
      </c>
      <c r="T304" s="14">
        <f t="shared" si="36"/>
        <v>197.5</v>
      </c>
      <c r="U304" s="14">
        <f t="shared" si="37"/>
        <v>209.58</v>
      </c>
      <c r="V304" s="15">
        <f t="shared" si="38"/>
        <v>0.16980716454987418</v>
      </c>
      <c r="W304" s="9">
        <f t="shared" si="39"/>
        <v>197.5</v>
      </c>
      <c r="X304" s="9">
        <f t="shared" si="40"/>
        <v>790</v>
      </c>
      <c r="Y304" s="82"/>
    </row>
    <row r="305" spans="1:25" ht="15.75" customHeight="1" x14ac:dyDescent="0.25">
      <c r="A305" s="79"/>
      <c r="B305" s="79"/>
      <c r="C305" s="79"/>
      <c r="D305" s="79"/>
      <c r="E305" s="79"/>
      <c r="F305" s="79"/>
      <c r="G305" s="79"/>
      <c r="H305" s="79"/>
      <c r="I305" s="79"/>
      <c r="J305" s="79"/>
      <c r="K305" s="79"/>
      <c r="L305" s="79"/>
      <c r="M305" s="79"/>
      <c r="N305" s="79"/>
      <c r="O305" s="79"/>
      <c r="P305" s="79"/>
      <c r="Q305" s="79"/>
      <c r="R305" s="79"/>
      <c r="S305" s="79"/>
      <c r="T305" s="79"/>
      <c r="U305" s="79"/>
      <c r="V305" s="80"/>
      <c r="W305" s="75"/>
      <c r="X305" s="74"/>
      <c r="Y305" s="74"/>
    </row>
    <row r="306" spans="1:25" ht="31.5" x14ac:dyDescent="0.25">
      <c r="A306" s="88">
        <v>35</v>
      </c>
      <c r="B306" s="10">
        <v>269</v>
      </c>
      <c r="C306" s="33" t="s">
        <v>534</v>
      </c>
      <c r="D306" s="32" t="s">
        <v>25</v>
      </c>
      <c r="E306" s="12">
        <v>52647025</v>
      </c>
      <c r="F306" s="12" t="s">
        <v>20</v>
      </c>
      <c r="G306" s="12">
        <v>33903035</v>
      </c>
      <c r="H306" s="28">
        <v>4</v>
      </c>
      <c r="I306" s="7" t="s">
        <v>176</v>
      </c>
      <c r="J306" s="7">
        <v>300</v>
      </c>
      <c r="K306" s="7" t="s">
        <v>22</v>
      </c>
      <c r="L306" s="7">
        <v>292.63</v>
      </c>
      <c r="M306" s="7" t="s">
        <v>22</v>
      </c>
      <c r="N306" s="7">
        <v>259.16000000000003</v>
      </c>
      <c r="O306" s="13"/>
      <c r="P306" s="13"/>
      <c r="Q306" s="13"/>
      <c r="R306" s="13"/>
      <c r="S306" s="18">
        <f t="shared" si="35"/>
        <v>259.16000000000003</v>
      </c>
      <c r="T306" s="14">
        <f t="shared" si="36"/>
        <v>283.93</v>
      </c>
      <c r="U306" s="14">
        <f t="shared" si="37"/>
        <v>292.63</v>
      </c>
      <c r="V306" s="15">
        <f t="shared" si="38"/>
        <v>7.6658538129572878E-2</v>
      </c>
      <c r="W306" s="9">
        <f t="shared" si="39"/>
        <v>283.93</v>
      </c>
      <c r="X306" s="9">
        <f t="shared" si="40"/>
        <v>1135.72</v>
      </c>
      <c r="Y306" s="81">
        <v>2775.25</v>
      </c>
    </row>
    <row r="307" spans="1:25" ht="31.5" x14ac:dyDescent="0.25">
      <c r="A307" s="90"/>
      <c r="B307" s="10">
        <v>270</v>
      </c>
      <c r="C307" s="33" t="s">
        <v>533</v>
      </c>
      <c r="D307" s="32" t="s">
        <v>25</v>
      </c>
      <c r="E307" s="12">
        <v>52647025</v>
      </c>
      <c r="F307" s="12" t="s">
        <v>20</v>
      </c>
      <c r="G307" s="12">
        <v>33903035</v>
      </c>
      <c r="H307" s="28">
        <v>10</v>
      </c>
      <c r="I307" s="7" t="s">
        <v>49</v>
      </c>
      <c r="J307" s="7">
        <v>38.409999999999997</v>
      </c>
      <c r="K307" s="7" t="s">
        <v>22</v>
      </c>
      <c r="L307" s="7">
        <v>37.99</v>
      </c>
      <c r="M307" s="7" t="s">
        <v>22</v>
      </c>
      <c r="N307" s="7">
        <v>43.75</v>
      </c>
      <c r="O307" s="13"/>
      <c r="P307" s="13"/>
      <c r="Q307" s="13"/>
      <c r="R307" s="13"/>
      <c r="S307" s="18">
        <f t="shared" si="35"/>
        <v>37.99</v>
      </c>
      <c r="T307" s="14">
        <f t="shared" si="36"/>
        <v>40.049999999999997</v>
      </c>
      <c r="U307" s="14">
        <f t="shared" si="37"/>
        <v>38.409999999999997</v>
      </c>
      <c r="V307" s="15">
        <f t="shared" si="38"/>
        <v>8.0178976574252742E-2</v>
      </c>
      <c r="W307" s="9">
        <f t="shared" si="39"/>
        <v>40.049999999999997</v>
      </c>
      <c r="X307" s="9">
        <f t="shared" si="40"/>
        <v>400.5</v>
      </c>
      <c r="Y307" s="85"/>
    </row>
    <row r="308" spans="1:25" ht="78.75" x14ac:dyDescent="0.25">
      <c r="A308" s="90"/>
      <c r="B308" s="10">
        <v>271</v>
      </c>
      <c r="C308" s="33" t="s">
        <v>532</v>
      </c>
      <c r="D308" s="32" t="s">
        <v>25</v>
      </c>
      <c r="E308" s="12">
        <v>52647025</v>
      </c>
      <c r="F308" s="12" t="s">
        <v>20</v>
      </c>
      <c r="G308" s="12">
        <v>33903035</v>
      </c>
      <c r="H308" s="28">
        <v>10</v>
      </c>
      <c r="I308" s="7" t="s">
        <v>476</v>
      </c>
      <c r="J308" s="7">
        <v>22.12</v>
      </c>
      <c r="K308" s="7" t="s">
        <v>531</v>
      </c>
      <c r="L308" s="7">
        <v>17.54</v>
      </c>
      <c r="M308" s="7" t="s">
        <v>457</v>
      </c>
      <c r="N308" s="7">
        <v>18.3</v>
      </c>
      <c r="O308" s="13"/>
      <c r="P308" s="13"/>
      <c r="Q308" s="13"/>
      <c r="R308" s="13"/>
      <c r="S308" s="18">
        <f t="shared" si="35"/>
        <v>17.54</v>
      </c>
      <c r="T308" s="14">
        <f t="shared" si="36"/>
        <v>19.32</v>
      </c>
      <c r="U308" s="14">
        <f t="shared" si="37"/>
        <v>18.3</v>
      </c>
      <c r="V308" s="15">
        <f t="shared" si="38"/>
        <v>0.12704271835182229</v>
      </c>
      <c r="W308" s="9">
        <f t="shared" si="39"/>
        <v>19.32</v>
      </c>
      <c r="X308" s="9">
        <f t="shared" si="40"/>
        <v>193.2</v>
      </c>
      <c r="Y308" s="85"/>
    </row>
    <row r="309" spans="1:25" ht="63" x14ac:dyDescent="0.25">
      <c r="A309" s="90"/>
      <c r="B309" s="10">
        <v>272</v>
      </c>
      <c r="C309" s="11" t="s">
        <v>538</v>
      </c>
      <c r="D309" s="12" t="s">
        <v>25</v>
      </c>
      <c r="E309" s="12">
        <v>122483271</v>
      </c>
      <c r="F309" s="12" t="s">
        <v>20</v>
      </c>
      <c r="G309" s="12">
        <v>33903035</v>
      </c>
      <c r="H309" s="43">
        <v>3</v>
      </c>
      <c r="I309" s="21" t="s">
        <v>30</v>
      </c>
      <c r="J309" s="7">
        <v>15.25</v>
      </c>
      <c r="K309" s="7" t="s">
        <v>476</v>
      </c>
      <c r="L309" s="7">
        <v>18.46</v>
      </c>
      <c r="M309" s="7" t="s">
        <v>351</v>
      </c>
      <c r="N309" s="7">
        <v>9.98</v>
      </c>
      <c r="O309" s="13"/>
      <c r="P309" s="13"/>
      <c r="Q309" s="13"/>
      <c r="R309" s="13"/>
      <c r="S309" s="18">
        <f t="shared" si="35"/>
        <v>9.98</v>
      </c>
      <c r="T309" s="14">
        <f t="shared" si="36"/>
        <v>14.56</v>
      </c>
      <c r="U309" s="14">
        <f t="shared" si="37"/>
        <v>15.25</v>
      </c>
      <c r="V309" s="15">
        <f t="shared" si="38"/>
        <v>0.29399168862656139</v>
      </c>
      <c r="W309" s="9">
        <f t="shared" si="39"/>
        <v>15.25</v>
      </c>
      <c r="X309" s="9">
        <f t="shared" si="40"/>
        <v>45.75</v>
      </c>
      <c r="Y309" s="85"/>
    </row>
    <row r="310" spans="1:25" ht="110.25" x14ac:dyDescent="0.25">
      <c r="A310" s="90"/>
      <c r="B310" s="10">
        <v>273</v>
      </c>
      <c r="C310" s="11" t="s">
        <v>537</v>
      </c>
      <c r="D310" s="12" t="s">
        <v>25</v>
      </c>
      <c r="E310" s="12">
        <v>122483271</v>
      </c>
      <c r="F310" s="12" t="s">
        <v>20</v>
      </c>
      <c r="G310" s="12">
        <v>33903035</v>
      </c>
      <c r="H310" s="43">
        <v>2</v>
      </c>
      <c r="I310" s="21" t="s">
        <v>535</v>
      </c>
      <c r="J310" s="7">
        <v>63.21</v>
      </c>
      <c r="K310" s="7" t="s">
        <v>30</v>
      </c>
      <c r="L310" s="7">
        <v>99.24</v>
      </c>
      <c r="M310" s="7" t="s">
        <v>97</v>
      </c>
      <c r="N310" s="7">
        <v>77.03</v>
      </c>
      <c r="O310" s="13"/>
      <c r="P310" s="13"/>
      <c r="Q310" s="13"/>
      <c r="R310" s="13"/>
      <c r="S310" s="18">
        <f t="shared" si="35"/>
        <v>63.21</v>
      </c>
      <c r="T310" s="14">
        <f t="shared" si="36"/>
        <v>79.819999999999993</v>
      </c>
      <c r="U310" s="14">
        <f t="shared" si="37"/>
        <v>77.03</v>
      </c>
      <c r="V310" s="15">
        <f t="shared" si="38"/>
        <v>0.22770686349793767</v>
      </c>
      <c r="W310" s="9">
        <f t="shared" si="39"/>
        <v>79.819999999999993</v>
      </c>
      <c r="X310" s="9">
        <f t="shared" si="40"/>
        <v>159.63999999999999</v>
      </c>
      <c r="Y310" s="85"/>
    </row>
    <row r="311" spans="1:25" ht="63" x14ac:dyDescent="0.25">
      <c r="A311" s="90"/>
      <c r="B311" s="10">
        <v>274</v>
      </c>
      <c r="C311" s="11" t="s">
        <v>536</v>
      </c>
      <c r="D311" s="12" t="s">
        <v>25</v>
      </c>
      <c r="E311" s="12">
        <v>122483271</v>
      </c>
      <c r="F311" s="12" t="s">
        <v>20</v>
      </c>
      <c r="G311" s="12">
        <v>33903035</v>
      </c>
      <c r="H311" s="43">
        <v>4</v>
      </c>
      <c r="I311" s="21" t="s">
        <v>476</v>
      </c>
      <c r="J311" s="7">
        <v>28.13</v>
      </c>
      <c r="K311" s="7" t="s">
        <v>30</v>
      </c>
      <c r="L311" s="7">
        <v>20.04</v>
      </c>
      <c r="M311" s="7" t="s">
        <v>535</v>
      </c>
      <c r="N311" s="7">
        <v>22.35</v>
      </c>
      <c r="O311" s="13"/>
      <c r="P311" s="13"/>
      <c r="Q311" s="13"/>
      <c r="R311" s="13"/>
      <c r="S311" s="18">
        <f t="shared" si="35"/>
        <v>20.04</v>
      </c>
      <c r="T311" s="14">
        <f t="shared" si="36"/>
        <v>23.5</v>
      </c>
      <c r="U311" s="14">
        <f t="shared" si="37"/>
        <v>22.35</v>
      </c>
      <c r="V311" s="15">
        <f t="shared" si="38"/>
        <v>0.17727674281291134</v>
      </c>
      <c r="W311" s="9">
        <f t="shared" si="39"/>
        <v>23.5</v>
      </c>
      <c r="X311" s="9">
        <f t="shared" si="40"/>
        <v>94</v>
      </c>
      <c r="Y311" s="85"/>
    </row>
    <row r="312" spans="1:25" ht="31.5" x14ac:dyDescent="0.25">
      <c r="A312" s="90"/>
      <c r="B312" s="10">
        <v>275</v>
      </c>
      <c r="C312" s="11" t="s">
        <v>541</v>
      </c>
      <c r="D312" s="12" t="s">
        <v>25</v>
      </c>
      <c r="E312" s="12">
        <v>122483284</v>
      </c>
      <c r="F312" s="12" t="s">
        <v>20</v>
      </c>
      <c r="G312" s="12">
        <v>33903035</v>
      </c>
      <c r="H312" s="43">
        <v>4</v>
      </c>
      <c r="I312" s="21" t="s">
        <v>21</v>
      </c>
      <c r="J312" s="7">
        <v>50.49</v>
      </c>
      <c r="K312" s="21" t="s">
        <v>21</v>
      </c>
      <c r="L312" s="7">
        <v>50</v>
      </c>
      <c r="M312" s="21" t="s">
        <v>21</v>
      </c>
      <c r="N312" s="7">
        <v>46.48</v>
      </c>
      <c r="O312" s="13"/>
      <c r="P312" s="13"/>
      <c r="Q312" s="13"/>
      <c r="R312" s="13"/>
      <c r="S312" s="18">
        <f t="shared" si="35"/>
        <v>46.48</v>
      </c>
      <c r="T312" s="14">
        <f t="shared" si="36"/>
        <v>48.99</v>
      </c>
      <c r="U312" s="14">
        <f t="shared" si="37"/>
        <v>50</v>
      </c>
      <c r="V312" s="15">
        <f t="shared" si="38"/>
        <v>4.4651707344751185E-2</v>
      </c>
      <c r="W312" s="9">
        <f t="shared" si="39"/>
        <v>48.99</v>
      </c>
      <c r="X312" s="9">
        <f t="shared" si="40"/>
        <v>195.96</v>
      </c>
      <c r="Y312" s="85"/>
    </row>
    <row r="313" spans="1:25" ht="31.5" x14ac:dyDescent="0.25">
      <c r="A313" s="90"/>
      <c r="B313" s="10">
        <v>276</v>
      </c>
      <c r="C313" s="11" t="s">
        <v>540</v>
      </c>
      <c r="D313" s="12" t="s">
        <v>25</v>
      </c>
      <c r="E313" s="12">
        <v>122483284</v>
      </c>
      <c r="F313" s="12" t="s">
        <v>20</v>
      </c>
      <c r="G313" s="12">
        <v>33903035</v>
      </c>
      <c r="H313" s="43">
        <v>4</v>
      </c>
      <c r="I313" s="21" t="s">
        <v>36</v>
      </c>
      <c r="J313" s="7">
        <v>44.21</v>
      </c>
      <c r="K313" s="7" t="s">
        <v>539</v>
      </c>
      <c r="L313" s="7">
        <v>30</v>
      </c>
      <c r="M313" s="7" t="s">
        <v>63</v>
      </c>
      <c r="N313" s="7">
        <v>49.9</v>
      </c>
      <c r="O313" s="13"/>
      <c r="P313" s="13"/>
      <c r="Q313" s="13"/>
      <c r="R313" s="13"/>
      <c r="S313" s="18">
        <f t="shared" si="35"/>
        <v>30</v>
      </c>
      <c r="T313" s="14">
        <f t="shared" si="36"/>
        <v>41.37</v>
      </c>
      <c r="U313" s="14">
        <f t="shared" si="37"/>
        <v>44.21</v>
      </c>
      <c r="V313" s="15">
        <f t="shared" si="38"/>
        <v>0.24775134535151042</v>
      </c>
      <c r="W313" s="9">
        <f t="shared" si="39"/>
        <v>41.37</v>
      </c>
      <c r="X313" s="9">
        <f t="shared" si="40"/>
        <v>165.48</v>
      </c>
      <c r="Y313" s="85"/>
    </row>
    <row r="314" spans="1:25" ht="63" x14ac:dyDescent="0.25">
      <c r="A314" s="89"/>
      <c r="B314" s="10">
        <v>277</v>
      </c>
      <c r="C314" s="33" t="s">
        <v>542</v>
      </c>
      <c r="D314" s="32" t="s">
        <v>25</v>
      </c>
      <c r="E314" s="12">
        <v>122483114</v>
      </c>
      <c r="F314" s="12" t="s">
        <v>20</v>
      </c>
      <c r="G314" s="12">
        <v>33903035</v>
      </c>
      <c r="H314" s="28">
        <v>22</v>
      </c>
      <c r="I314" s="7" t="s">
        <v>52</v>
      </c>
      <c r="J314" s="7">
        <v>21.89</v>
      </c>
      <c r="K314" s="7" t="s">
        <v>50</v>
      </c>
      <c r="L314" s="7">
        <v>16.420000000000002</v>
      </c>
      <c r="M314" s="7" t="s">
        <v>122</v>
      </c>
      <c r="N314" s="7">
        <v>14.21</v>
      </c>
      <c r="O314" s="13"/>
      <c r="P314" s="13"/>
      <c r="Q314" s="13"/>
      <c r="R314" s="13"/>
      <c r="S314" s="18">
        <f t="shared" si="35"/>
        <v>14.21</v>
      </c>
      <c r="T314" s="14">
        <f t="shared" si="36"/>
        <v>17.5</v>
      </c>
      <c r="U314" s="14">
        <f t="shared" si="37"/>
        <v>16.420000000000002</v>
      </c>
      <c r="V314" s="15">
        <f t="shared" si="38"/>
        <v>0.22583599340176497</v>
      </c>
      <c r="W314" s="9">
        <f t="shared" si="39"/>
        <v>17.5</v>
      </c>
      <c r="X314" s="9">
        <f t="shared" si="40"/>
        <v>385</v>
      </c>
      <c r="Y314" s="82"/>
    </row>
    <row r="315" spans="1:25" ht="15.75" customHeight="1" x14ac:dyDescent="0.25">
      <c r="A315" s="83"/>
      <c r="B315" s="83"/>
      <c r="C315" s="83"/>
      <c r="D315" s="83"/>
      <c r="E315" s="83"/>
      <c r="F315" s="83"/>
      <c r="G315" s="83"/>
      <c r="H315" s="83"/>
      <c r="I315" s="83"/>
      <c r="J315" s="83"/>
      <c r="K315" s="83"/>
      <c r="L315" s="83"/>
      <c r="M315" s="83"/>
      <c r="N315" s="83"/>
      <c r="O315" s="83"/>
      <c r="P315" s="83"/>
      <c r="Q315" s="83"/>
      <c r="R315" s="83"/>
      <c r="S315" s="83"/>
      <c r="T315" s="83"/>
      <c r="U315" s="83"/>
      <c r="V315" s="83"/>
      <c r="W315" s="83"/>
      <c r="X315" s="83"/>
      <c r="Y315" s="84"/>
    </row>
    <row r="316" spans="1:25" ht="15.75" x14ac:dyDescent="0.25">
      <c r="A316" s="76">
        <v>36</v>
      </c>
      <c r="B316" s="10">
        <v>278</v>
      </c>
      <c r="C316" s="11" t="s">
        <v>545</v>
      </c>
      <c r="D316" s="12" t="s">
        <v>349</v>
      </c>
      <c r="E316" s="12">
        <v>38466009</v>
      </c>
      <c r="F316" s="12" t="s">
        <v>20</v>
      </c>
      <c r="G316" s="12">
        <v>33903035</v>
      </c>
      <c r="H316" s="43">
        <v>5</v>
      </c>
      <c r="I316" s="21" t="s">
        <v>73</v>
      </c>
      <c r="J316" s="7">
        <v>343</v>
      </c>
      <c r="K316" s="7" t="s">
        <v>544</v>
      </c>
      <c r="L316" s="7">
        <v>303.18</v>
      </c>
      <c r="M316" s="7" t="s">
        <v>543</v>
      </c>
      <c r="N316" s="7">
        <v>307</v>
      </c>
      <c r="O316" s="13"/>
      <c r="P316" s="13"/>
      <c r="Q316" s="13"/>
      <c r="R316" s="13"/>
      <c r="S316" s="18">
        <f t="shared" si="35"/>
        <v>303.18</v>
      </c>
      <c r="T316" s="14">
        <f t="shared" si="36"/>
        <v>317.72000000000003</v>
      </c>
      <c r="U316" s="14">
        <f t="shared" si="37"/>
        <v>307</v>
      </c>
      <c r="V316" s="15">
        <f t="shared" si="38"/>
        <v>6.9149149410284508E-2</v>
      </c>
      <c r="W316" s="9">
        <f t="shared" si="39"/>
        <v>317.72000000000003</v>
      </c>
      <c r="X316" s="9">
        <f t="shared" si="40"/>
        <v>1588.6000000000001</v>
      </c>
      <c r="Y316" s="9">
        <v>1588.6</v>
      </c>
    </row>
    <row r="317" spans="1:25" ht="15.75" customHeight="1" x14ac:dyDescent="0.25">
      <c r="A317" s="83"/>
      <c r="B317" s="83"/>
      <c r="C317" s="83"/>
      <c r="D317" s="83"/>
      <c r="E317" s="83"/>
      <c r="F317" s="83"/>
      <c r="G317" s="83"/>
      <c r="H317" s="83"/>
      <c r="I317" s="83"/>
      <c r="J317" s="83"/>
      <c r="K317" s="83"/>
      <c r="L317" s="83"/>
      <c r="M317" s="83"/>
      <c r="N317" s="83"/>
      <c r="O317" s="83"/>
      <c r="P317" s="83"/>
      <c r="Q317" s="83"/>
      <c r="R317" s="83"/>
      <c r="S317" s="83"/>
      <c r="T317" s="83"/>
      <c r="U317" s="83"/>
      <c r="V317" s="83"/>
      <c r="W317" s="83"/>
      <c r="X317" s="83"/>
      <c r="Y317" s="84"/>
    </row>
    <row r="318" spans="1:25" ht="25.5" x14ac:dyDescent="0.25">
      <c r="A318" s="76">
        <v>37</v>
      </c>
      <c r="B318" s="10">
        <v>279</v>
      </c>
      <c r="C318" s="11" t="s">
        <v>546</v>
      </c>
      <c r="D318" s="12" t="s">
        <v>25</v>
      </c>
      <c r="E318" s="12">
        <v>55700001</v>
      </c>
      <c r="F318" s="12" t="s">
        <v>20</v>
      </c>
      <c r="G318" s="12">
        <v>33903016</v>
      </c>
      <c r="H318" s="43">
        <v>3</v>
      </c>
      <c r="I318" s="21" t="s">
        <v>21</v>
      </c>
      <c r="J318" s="7">
        <v>269.89999999999998</v>
      </c>
      <c r="K318" s="21" t="s">
        <v>21</v>
      </c>
      <c r="L318" s="7">
        <v>276.45</v>
      </c>
      <c r="M318" s="7" t="s">
        <v>21</v>
      </c>
      <c r="N318" s="7">
        <v>239</v>
      </c>
      <c r="O318" s="13"/>
      <c r="P318" s="13"/>
      <c r="Q318" s="13"/>
      <c r="R318" s="13"/>
      <c r="S318" s="18">
        <f t="shared" si="35"/>
        <v>239</v>
      </c>
      <c r="T318" s="14">
        <f t="shared" si="36"/>
        <v>261.77999999999997</v>
      </c>
      <c r="U318" s="14">
        <f t="shared" si="37"/>
        <v>269.89999999999998</v>
      </c>
      <c r="V318" s="15">
        <f t="shared" si="38"/>
        <v>7.640247970944658E-2</v>
      </c>
      <c r="W318" s="9">
        <f t="shared" si="39"/>
        <v>261.77999999999997</v>
      </c>
      <c r="X318" s="9">
        <f t="shared" si="40"/>
        <v>785.33999999999992</v>
      </c>
      <c r="Y318" s="9">
        <v>785.34</v>
      </c>
    </row>
    <row r="319" spans="1:25" ht="15.75" customHeight="1" x14ac:dyDescent="0.25">
      <c r="A319" s="79"/>
      <c r="B319" s="79"/>
      <c r="C319" s="79"/>
      <c r="D319" s="79"/>
      <c r="E319" s="79"/>
      <c r="F319" s="79"/>
      <c r="G319" s="79"/>
      <c r="H319" s="79"/>
      <c r="I319" s="79"/>
      <c r="J319" s="79"/>
      <c r="K319" s="79"/>
      <c r="L319" s="79"/>
      <c r="M319" s="79"/>
      <c r="N319" s="79"/>
      <c r="O319" s="79"/>
      <c r="P319" s="79"/>
      <c r="Q319" s="79"/>
      <c r="R319" s="79"/>
      <c r="S319" s="79"/>
      <c r="T319" s="79"/>
      <c r="U319" s="79"/>
      <c r="V319" s="80"/>
      <c r="W319" s="75"/>
      <c r="X319" s="74"/>
      <c r="Y319" s="74"/>
    </row>
    <row r="320" spans="1:25" ht="31.5" x14ac:dyDescent="0.25">
      <c r="A320" s="76">
        <v>38</v>
      </c>
      <c r="B320" s="10">
        <v>280</v>
      </c>
      <c r="C320" s="11" t="s">
        <v>547</v>
      </c>
      <c r="D320" s="12" t="s">
        <v>25</v>
      </c>
      <c r="E320" s="12">
        <v>122483284</v>
      </c>
      <c r="F320" s="12" t="s">
        <v>20</v>
      </c>
      <c r="G320" s="12">
        <v>33903035</v>
      </c>
      <c r="H320" s="43">
        <v>3</v>
      </c>
      <c r="I320" s="21" t="s">
        <v>36</v>
      </c>
      <c r="J320" s="7">
        <v>138.69</v>
      </c>
      <c r="K320" s="7" t="s">
        <v>123</v>
      </c>
      <c r="L320" s="7">
        <v>140.80000000000001</v>
      </c>
      <c r="M320" s="7" t="s">
        <v>379</v>
      </c>
      <c r="N320" s="7">
        <v>124.43</v>
      </c>
      <c r="O320" s="13"/>
      <c r="P320" s="13"/>
      <c r="Q320" s="13"/>
      <c r="R320" s="13"/>
      <c r="S320" s="18">
        <f t="shared" si="35"/>
        <v>124.43</v>
      </c>
      <c r="T320" s="14">
        <f t="shared" si="36"/>
        <v>134.63999999999999</v>
      </c>
      <c r="U320" s="14">
        <f t="shared" si="37"/>
        <v>138.69</v>
      </c>
      <c r="V320" s="15">
        <f t="shared" si="38"/>
        <v>6.6138114712632659E-2</v>
      </c>
      <c r="W320" s="9">
        <f t="shared" si="39"/>
        <v>134.63999999999999</v>
      </c>
      <c r="X320" s="9">
        <f t="shared" si="40"/>
        <v>403.91999999999996</v>
      </c>
      <c r="Y320" s="9">
        <v>403.92</v>
      </c>
    </row>
    <row r="321" spans="1:25" ht="15.75" customHeight="1" x14ac:dyDescent="0.25">
      <c r="A321" s="83"/>
      <c r="B321" s="83"/>
      <c r="C321" s="83"/>
      <c r="D321" s="83"/>
      <c r="E321" s="83"/>
      <c r="F321" s="83"/>
      <c r="G321" s="83"/>
      <c r="H321" s="83"/>
      <c r="I321" s="83"/>
      <c r="J321" s="83"/>
      <c r="K321" s="83"/>
      <c r="L321" s="83"/>
      <c r="M321" s="83"/>
      <c r="N321" s="83"/>
      <c r="O321" s="83"/>
      <c r="P321" s="83"/>
      <c r="Q321" s="83"/>
      <c r="R321" s="83"/>
      <c r="S321" s="83"/>
      <c r="T321" s="83"/>
      <c r="U321" s="83"/>
      <c r="V321" s="84"/>
      <c r="W321" s="75"/>
      <c r="X321" s="74"/>
      <c r="Y321" s="74"/>
    </row>
    <row r="322" spans="1:25" ht="31.5" x14ac:dyDescent="0.25">
      <c r="A322" s="76">
        <v>39</v>
      </c>
      <c r="B322" s="10">
        <v>281</v>
      </c>
      <c r="C322" s="33" t="s">
        <v>548</v>
      </c>
      <c r="D322" s="12" t="s">
        <v>25</v>
      </c>
      <c r="E322" s="12">
        <v>122483235</v>
      </c>
      <c r="F322" s="12" t="s">
        <v>20</v>
      </c>
      <c r="G322" s="12">
        <v>33903035</v>
      </c>
      <c r="H322" s="28">
        <v>4</v>
      </c>
      <c r="I322" s="7" t="s">
        <v>21</v>
      </c>
      <c r="J322" s="7">
        <v>254.24</v>
      </c>
      <c r="K322" s="7" t="s">
        <v>172</v>
      </c>
      <c r="L322" s="7">
        <v>276.83999999999997</v>
      </c>
      <c r="M322" s="7" t="s">
        <v>36</v>
      </c>
      <c r="N322" s="7">
        <v>247.22</v>
      </c>
      <c r="O322" s="13"/>
      <c r="P322" s="13"/>
      <c r="Q322" s="13"/>
      <c r="R322" s="13"/>
      <c r="S322" s="18">
        <f t="shared" si="35"/>
        <v>247.22</v>
      </c>
      <c r="T322" s="14">
        <f t="shared" si="36"/>
        <v>259.43</v>
      </c>
      <c r="U322" s="14">
        <f t="shared" si="37"/>
        <v>254.24</v>
      </c>
      <c r="V322" s="15">
        <f t="shared" si="38"/>
        <v>5.9660257442353905E-2</v>
      </c>
      <c r="W322" s="9">
        <f t="shared" si="39"/>
        <v>259.43</v>
      </c>
      <c r="X322" s="9">
        <f>IF(V322&lt;=25%,T322,U322)*H322</f>
        <v>1037.72</v>
      </c>
      <c r="Y322" s="9">
        <v>1037.72</v>
      </c>
    </row>
    <row r="323" spans="1:25" ht="15.75" customHeight="1" x14ac:dyDescent="0.25">
      <c r="A323" s="93"/>
      <c r="B323" s="93"/>
      <c r="C323" s="93"/>
      <c r="D323" s="93"/>
      <c r="E323" s="93"/>
      <c r="F323" s="93"/>
      <c r="G323" s="93"/>
      <c r="H323" s="93"/>
      <c r="I323" s="93"/>
      <c r="J323" s="93"/>
      <c r="K323" s="93"/>
      <c r="L323" s="93"/>
      <c r="M323" s="93"/>
      <c r="N323" s="93"/>
      <c r="O323" s="93"/>
      <c r="P323" s="93"/>
      <c r="Q323" s="93"/>
      <c r="R323" s="93"/>
      <c r="S323" s="93"/>
      <c r="T323" s="93"/>
      <c r="U323" s="93"/>
      <c r="V323" s="93"/>
      <c r="W323" s="93"/>
      <c r="X323" s="93"/>
      <c r="Y323" s="94"/>
    </row>
    <row r="324" spans="1:25" ht="31.5" x14ac:dyDescent="0.25">
      <c r="A324" s="76">
        <v>40</v>
      </c>
      <c r="B324" s="10">
        <v>282</v>
      </c>
      <c r="C324" s="33" t="s">
        <v>549</v>
      </c>
      <c r="D324" s="12" t="s">
        <v>24</v>
      </c>
      <c r="E324" s="12">
        <v>55379006</v>
      </c>
      <c r="F324" s="12" t="s">
        <v>20</v>
      </c>
      <c r="G324" s="12">
        <v>33903035</v>
      </c>
      <c r="H324" s="28">
        <v>7</v>
      </c>
      <c r="I324" s="7" t="s">
        <v>52</v>
      </c>
      <c r="J324" s="7">
        <v>440</v>
      </c>
      <c r="K324" s="7" t="s">
        <v>66</v>
      </c>
      <c r="L324" s="7">
        <v>527.30999999999995</v>
      </c>
      <c r="M324" s="7" t="s">
        <v>40</v>
      </c>
      <c r="N324" s="7">
        <v>370.5</v>
      </c>
      <c r="O324" s="13"/>
      <c r="P324" s="13"/>
      <c r="Q324" s="13"/>
      <c r="R324" s="13"/>
      <c r="S324" s="18">
        <f t="shared" si="35"/>
        <v>370.5</v>
      </c>
      <c r="T324" s="14">
        <f t="shared" si="36"/>
        <v>445.93</v>
      </c>
      <c r="U324" s="14">
        <f t="shared" si="37"/>
        <v>440</v>
      </c>
      <c r="V324" s="15">
        <f t="shared" si="38"/>
        <v>0.17619853258301441</v>
      </c>
      <c r="W324" s="9">
        <f t="shared" si="39"/>
        <v>445.93</v>
      </c>
      <c r="X324" s="9">
        <f t="shared" si="40"/>
        <v>3121.51</v>
      </c>
      <c r="Y324" s="9">
        <v>3121.51</v>
      </c>
    </row>
    <row r="325" spans="1:25" ht="15.75" customHeight="1" x14ac:dyDescent="0.25">
      <c r="A325" s="95"/>
      <c r="B325" s="95"/>
      <c r="C325" s="95"/>
      <c r="D325" s="95"/>
      <c r="E325" s="95"/>
      <c r="F325" s="95"/>
      <c r="G325" s="95"/>
      <c r="H325" s="95"/>
      <c r="I325" s="95"/>
      <c r="J325" s="95"/>
      <c r="K325" s="95"/>
      <c r="L325" s="95"/>
      <c r="M325" s="95"/>
      <c r="N325" s="95"/>
      <c r="O325" s="95"/>
      <c r="P325" s="95"/>
      <c r="Q325" s="95"/>
      <c r="R325" s="95"/>
      <c r="S325" s="95"/>
      <c r="T325" s="95"/>
      <c r="U325" s="95"/>
      <c r="V325" s="95"/>
      <c r="W325" s="95"/>
      <c r="X325" s="95"/>
      <c r="Y325" s="96"/>
    </row>
    <row r="326" spans="1:25" ht="15.75" x14ac:dyDescent="0.25">
      <c r="A326" s="76">
        <v>41</v>
      </c>
      <c r="B326" s="10">
        <v>283</v>
      </c>
      <c r="C326" s="33" t="s">
        <v>552</v>
      </c>
      <c r="D326" s="32" t="s">
        <v>25</v>
      </c>
      <c r="E326" s="12">
        <v>122483317</v>
      </c>
      <c r="F326" s="12" t="s">
        <v>20</v>
      </c>
      <c r="G326" s="12">
        <v>33903035</v>
      </c>
      <c r="H326" s="28">
        <v>5</v>
      </c>
      <c r="I326" s="7" t="s">
        <v>551</v>
      </c>
      <c r="J326" s="7">
        <v>644</v>
      </c>
      <c r="K326" s="7" t="s">
        <v>550</v>
      </c>
      <c r="L326" s="7">
        <v>1332.4</v>
      </c>
      <c r="M326" s="7"/>
      <c r="N326" s="7"/>
      <c r="O326" s="13"/>
      <c r="P326" s="13"/>
      <c r="Q326" s="13"/>
      <c r="R326" s="13"/>
      <c r="S326" s="18">
        <f t="shared" si="35"/>
        <v>644</v>
      </c>
      <c r="T326" s="14">
        <f t="shared" si="36"/>
        <v>988.2</v>
      </c>
      <c r="U326" s="14">
        <f t="shared" si="37"/>
        <v>988.2</v>
      </c>
      <c r="V326" s="15">
        <f t="shared" si="38"/>
        <v>0.49258480891400458</v>
      </c>
      <c r="W326" s="9">
        <f t="shared" si="39"/>
        <v>988.2</v>
      </c>
      <c r="X326" s="9">
        <f t="shared" si="40"/>
        <v>4941</v>
      </c>
      <c r="Y326" s="9">
        <v>4941</v>
      </c>
    </row>
    <row r="327" spans="1:25" ht="15.75" customHeight="1" x14ac:dyDescent="0.25">
      <c r="A327" s="83"/>
      <c r="B327" s="83"/>
      <c r="C327" s="83"/>
      <c r="D327" s="83"/>
      <c r="E327" s="83"/>
      <c r="F327" s="83"/>
      <c r="G327" s="83"/>
      <c r="H327" s="83"/>
      <c r="I327" s="83"/>
      <c r="J327" s="83"/>
      <c r="K327" s="83"/>
      <c r="L327" s="83"/>
      <c r="M327" s="83"/>
      <c r="N327" s="83"/>
      <c r="O327" s="83"/>
      <c r="P327" s="83"/>
      <c r="Q327" s="83"/>
      <c r="R327" s="83"/>
      <c r="S327" s="83"/>
      <c r="T327" s="83"/>
      <c r="U327" s="83"/>
      <c r="V327" s="83"/>
      <c r="W327" s="83"/>
      <c r="X327" s="83"/>
      <c r="Y327" s="84"/>
    </row>
    <row r="328" spans="1:25" ht="31.5" x14ac:dyDescent="0.25">
      <c r="A328" s="88">
        <v>42</v>
      </c>
      <c r="B328" s="10">
        <v>284</v>
      </c>
      <c r="C328" s="33" t="s">
        <v>555</v>
      </c>
      <c r="D328" s="32" t="s">
        <v>25</v>
      </c>
      <c r="E328" s="12">
        <v>122483287</v>
      </c>
      <c r="F328" s="12" t="s">
        <v>20</v>
      </c>
      <c r="G328" s="12">
        <v>33903035</v>
      </c>
      <c r="H328" s="28">
        <v>14</v>
      </c>
      <c r="I328" s="7" t="s">
        <v>47</v>
      </c>
      <c r="J328" s="7">
        <v>1355.49</v>
      </c>
      <c r="K328" s="7" t="s">
        <v>37</v>
      </c>
      <c r="L328" s="7">
        <v>1241.18</v>
      </c>
      <c r="M328" s="7" t="s">
        <v>30</v>
      </c>
      <c r="N328" s="7">
        <v>1132.51</v>
      </c>
      <c r="O328" s="13"/>
      <c r="P328" s="13"/>
      <c r="Q328" s="13"/>
      <c r="R328" s="13"/>
      <c r="S328" s="18">
        <f t="shared" si="35"/>
        <v>1132.51</v>
      </c>
      <c r="T328" s="14">
        <f t="shared" si="36"/>
        <v>1243.06</v>
      </c>
      <c r="U328" s="14">
        <f t="shared" si="37"/>
        <v>1241.18</v>
      </c>
      <c r="V328" s="15">
        <f t="shared" si="38"/>
        <v>8.9699521686782094E-2</v>
      </c>
      <c r="W328" s="9">
        <f t="shared" si="39"/>
        <v>1243.06</v>
      </c>
      <c r="X328" s="9">
        <f t="shared" si="40"/>
        <v>17402.84</v>
      </c>
      <c r="Y328" s="81">
        <v>24492.29</v>
      </c>
    </row>
    <row r="329" spans="1:25" ht="15.75" x14ac:dyDescent="0.25">
      <c r="A329" s="89"/>
      <c r="B329" s="10">
        <v>285</v>
      </c>
      <c r="C329" s="33" t="s">
        <v>554</v>
      </c>
      <c r="D329" s="32" t="s">
        <v>25</v>
      </c>
      <c r="E329" s="12">
        <v>122483287</v>
      </c>
      <c r="F329" s="12" t="s">
        <v>20</v>
      </c>
      <c r="G329" s="12">
        <v>33903035</v>
      </c>
      <c r="H329" s="28">
        <v>5</v>
      </c>
      <c r="I329" s="7" t="s">
        <v>464</v>
      </c>
      <c r="J329" s="7">
        <v>1382.76</v>
      </c>
      <c r="K329" s="7" t="s">
        <v>553</v>
      </c>
      <c r="L329" s="7">
        <v>1515.44</v>
      </c>
      <c r="M329" s="7" t="s">
        <v>48</v>
      </c>
      <c r="N329" s="7">
        <v>1355.49</v>
      </c>
      <c r="O329" s="13"/>
      <c r="P329" s="13"/>
      <c r="Q329" s="13"/>
      <c r="R329" s="13"/>
      <c r="S329" s="18">
        <f t="shared" si="35"/>
        <v>1355.49</v>
      </c>
      <c r="T329" s="14">
        <f t="shared" si="36"/>
        <v>1417.89</v>
      </c>
      <c r="U329" s="14">
        <f t="shared" si="37"/>
        <v>1382.76</v>
      </c>
      <c r="V329" s="15">
        <f t="shared" si="38"/>
        <v>6.0348779381425958E-2</v>
      </c>
      <c r="W329" s="9">
        <f t="shared" si="39"/>
        <v>1417.89</v>
      </c>
      <c r="X329" s="9">
        <f t="shared" si="40"/>
        <v>7089.4500000000007</v>
      </c>
      <c r="Y329" s="82"/>
    </row>
    <row r="330" spans="1:25" ht="15.75" customHeight="1" x14ac:dyDescent="0.25">
      <c r="A330" s="83"/>
      <c r="B330" s="83"/>
      <c r="C330" s="83"/>
      <c r="D330" s="83"/>
      <c r="E330" s="83"/>
      <c r="F330" s="83"/>
      <c r="G330" s="83"/>
      <c r="H330" s="83"/>
      <c r="I330" s="83"/>
      <c r="J330" s="83"/>
      <c r="K330" s="83"/>
      <c r="L330" s="83"/>
      <c r="M330" s="83"/>
      <c r="N330" s="83"/>
      <c r="O330" s="83"/>
      <c r="P330" s="83"/>
      <c r="Q330" s="83"/>
      <c r="R330" s="83"/>
      <c r="S330" s="83"/>
      <c r="T330" s="83"/>
      <c r="U330" s="83"/>
      <c r="V330" s="83"/>
      <c r="W330" s="83"/>
      <c r="X330" s="83"/>
      <c r="Y330" s="84"/>
    </row>
    <row r="331" spans="1:25" ht="47.25" x14ac:dyDescent="0.25">
      <c r="A331" s="88">
        <v>43</v>
      </c>
      <c r="B331" s="10">
        <v>286</v>
      </c>
      <c r="C331" s="33" t="s">
        <v>560</v>
      </c>
      <c r="D331" s="32" t="s">
        <v>25</v>
      </c>
      <c r="E331" s="12">
        <v>117366117</v>
      </c>
      <c r="F331" s="12" t="s">
        <v>20</v>
      </c>
      <c r="G331" s="12">
        <v>33903035</v>
      </c>
      <c r="H331" s="28">
        <v>2</v>
      </c>
      <c r="I331" s="7" t="s">
        <v>558</v>
      </c>
      <c r="J331" s="7">
        <v>1273</v>
      </c>
      <c r="K331" s="7" t="s">
        <v>557</v>
      </c>
      <c r="L331" s="7">
        <v>444.14</v>
      </c>
      <c r="M331" s="7" t="s">
        <v>556</v>
      </c>
      <c r="N331" s="7">
        <v>942</v>
      </c>
      <c r="O331" s="13"/>
      <c r="P331" s="13"/>
      <c r="Q331" s="13"/>
      <c r="R331" s="13"/>
      <c r="S331" s="18">
        <f t="shared" si="35"/>
        <v>444.14</v>
      </c>
      <c r="T331" s="14">
        <f t="shared" si="36"/>
        <v>886.38</v>
      </c>
      <c r="U331" s="14">
        <f t="shared" si="37"/>
        <v>942</v>
      </c>
      <c r="V331" s="15">
        <f t="shared" si="38"/>
        <v>0.47070089797075348</v>
      </c>
      <c r="W331" s="9">
        <f t="shared" si="39"/>
        <v>942</v>
      </c>
      <c r="X331" s="9">
        <f t="shared" si="40"/>
        <v>1884</v>
      </c>
      <c r="Y331" s="81">
        <v>3768</v>
      </c>
    </row>
    <row r="332" spans="1:25" ht="47.25" x14ac:dyDescent="0.25">
      <c r="A332" s="89"/>
      <c r="B332" s="10">
        <v>287</v>
      </c>
      <c r="C332" s="33" t="s">
        <v>559</v>
      </c>
      <c r="D332" s="32" t="s">
        <v>25</v>
      </c>
      <c r="E332" s="12">
        <v>117366117</v>
      </c>
      <c r="F332" s="12" t="s">
        <v>20</v>
      </c>
      <c r="G332" s="12">
        <v>33903035</v>
      </c>
      <c r="H332" s="28">
        <v>2</v>
      </c>
      <c r="I332" s="7" t="s">
        <v>558</v>
      </c>
      <c r="J332" s="7">
        <v>1330</v>
      </c>
      <c r="K332" s="7" t="s">
        <v>557</v>
      </c>
      <c r="L332" s="7">
        <v>457.92</v>
      </c>
      <c r="M332" s="7" t="s">
        <v>556</v>
      </c>
      <c r="N332" s="7">
        <v>942</v>
      </c>
      <c r="O332" s="13"/>
      <c r="P332" s="13"/>
      <c r="Q332" s="13"/>
      <c r="R332" s="13"/>
      <c r="S332" s="18">
        <f t="shared" si="35"/>
        <v>457.92</v>
      </c>
      <c r="T332" s="14">
        <f t="shared" si="36"/>
        <v>909.97</v>
      </c>
      <c r="U332" s="14">
        <f t="shared" si="37"/>
        <v>942</v>
      </c>
      <c r="V332" s="15">
        <f t="shared" si="38"/>
        <v>0.48014729117314664</v>
      </c>
      <c r="W332" s="9">
        <f t="shared" si="39"/>
        <v>942</v>
      </c>
      <c r="X332" s="9">
        <f t="shared" si="40"/>
        <v>1884</v>
      </c>
      <c r="Y332" s="82"/>
    </row>
    <row r="333" spans="1:25" ht="15.75" customHeight="1" x14ac:dyDescent="0.25">
      <c r="A333" s="83"/>
      <c r="B333" s="83"/>
      <c r="C333" s="83"/>
      <c r="D333" s="83"/>
      <c r="E333" s="83"/>
      <c r="F333" s="83"/>
      <c r="G333" s="83"/>
      <c r="H333" s="83"/>
      <c r="I333" s="83"/>
      <c r="J333" s="83"/>
      <c r="K333" s="83"/>
      <c r="L333" s="83"/>
      <c r="M333" s="83"/>
      <c r="N333" s="83"/>
      <c r="O333" s="83"/>
      <c r="P333" s="83"/>
      <c r="Q333" s="83"/>
      <c r="R333" s="83"/>
      <c r="S333" s="83"/>
      <c r="T333" s="83"/>
      <c r="U333" s="83"/>
      <c r="V333" s="83"/>
      <c r="W333" s="83"/>
      <c r="X333" s="83"/>
      <c r="Y333" s="84"/>
    </row>
    <row r="334" spans="1:25" ht="157.5" x14ac:dyDescent="0.25">
      <c r="A334" s="76">
        <v>44</v>
      </c>
      <c r="B334" s="10">
        <v>288</v>
      </c>
      <c r="C334" s="11" t="s">
        <v>562</v>
      </c>
      <c r="D334" s="12" t="s">
        <v>165</v>
      </c>
      <c r="E334" s="12">
        <v>78794062</v>
      </c>
      <c r="F334" s="12" t="s">
        <v>20</v>
      </c>
      <c r="G334" s="5">
        <v>33903036</v>
      </c>
      <c r="H334" s="27" t="s">
        <v>201</v>
      </c>
      <c r="I334" s="17" t="s">
        <v>265</v>
      </c>
      <c r="J334" s="8">
        <v>664</v>
      </c>
      <c r="K334" s="17" t="s">
        <v>561</v>
      </c>
      <c r="L334" s="8">
        <v>610</v>
      </c>
      <c r="M334" s="17" t="s">
        <v>21</v>
      </c>
      <c r="N334" s="7">
        <v>599</v>
      </c>
      <c r="O334" s="13"/>
      <c r="P334" s="13"/>
      <c r="Q334" s="13"/>
      <c r="R334" s="13"/>
      <c r="S334" s="18">
        <f t="shared" si="35"/>
        <v>599</v>
      </c>
      <c r="T334" s="14">
        <f t="shared" si="36"/>
        <v>624.33000000000004</v>
      </c>
      <c r="U334" s="14">
        <f t="shared" si="37"/>
        <v>610</v>
      </c>
      <c r="V334" s="15">
        <f t="shared" si="38"/>
        <v>5.5723190488581459E-2</v>
      </c>
      <c r="W334" s="9">
        <f t="shared" si="39"/>
        <v>624.33000000000004</v>
      </c>
      <c r="X334" s="9">
        <f t="shared" si="40"/>
        <v>2497.3200000000002</v>
      </c>
      <c r="Y334" s="9">
        <v>2497.3200000000002</v>
      </c>
    </row>
    <row r="335" spans="1:25" ht="15.75" customHeight="1" x14ac:dyDescent="0.25">
      <c r="A335" s="83"/>
      <c r="B335" s="83"/>
      <c r="C335" s="83"/>
      <c r="D335" s="83"/>
      <c r="E335" s="83"/>
      <c r="F335" s="83"/>
      <c r="G335" s="83"/>
      <c r="H335" s="83"/>
      <c r="I335" s="83"/>
      <c r="J335" s="83"/>
      <c r="K335" s="83"/>
      <c r="L335" s="83"/>
      <c r="M335" s="83"/>
      <c r="N335" s="83"/>
      <c r="O335" s="83"/>
      <c r="P335" s="83"/>
      <c r="Q335" s="83"/>
      <c r="R335" s="83"/>
      <c r="S335" s="83"/>
      <c r="T335" s="83"/>
      <c r="U335" s="83"/>
      <c r="V335" s="83"/>
      <c r="W335" s="83"/>
      <c r="X335" s="83"/>
      <c r="Y335" s="84"/>
    </row>
    <row r="336" spans="1:25" ht="126" x14ac:dyDescent="0.25">
      <c r="A336" s="76">
        <v>45</v>
      </c>
      <c r="B336" s="10">
        <v>289</v>
      </c>
      <c r="C336" s="11" t="s">
        <v>564</v>
      </c>
      <c r="D336" s="12" t="s">
        <v>157</v>
      </c>
      <c r="E336" s="12">
        <v>41203035</v>
      </c>
      <c r="F336" s="12" t="s">
        <v>121</v>
      </c>
      <c r="G336" s="5">
        <v>33903036</v>
      </c>
      <c r="H336" s="28">
        <v>2</v>
      </c>
      <c r="I336" s="17" t="s">
        <v>154</v>
      </c>
      <c r="J336" s="8">
        <f>4.38*100</f>
        <v>438</v>
      </c>
      <c r="K336" s="17" t="s">
        <v>563</v>
      </c>
      <c r="L336" s="8">
        <f>4.5*100</f>
        <v>450</v>
      </c>
      <c r="M336" s="17" t="s">
        <v>154</v>
      </c>
      <c r="N336" s="29">
        <f>3.83*100</f>
        <v>383</v>
      </c>
      <c r="O336" s="13"/>
      <c r="P336" s="13"/>
      <c r="Q336" s="13"/>
      <c r="R336" s="13"/>
      <c r="S336" s="18">
        <f t="shared" si="35"/>
        <v>383</v>
      </c>
      <c r="T336" s="14">
        <f t="shared" si="36"/>
        <v>423.66</v>
      </c>
      <c r="U336" s="14">
        <f t="shared" si="37"/>
        <v>438</v>
      </c>
      <c r="V336" s="15">
        <f t="shared" si="38"/>
        <v>8.4325273796777123E-2</v>
      </c>
      <c r="W336" s="9">
        <f t="shared" si="39"/>
        <v>423.66</v>
      </c>
      <c r="X336" s="9">
        <f t="shared" si="40"/>
        <v>847.32</v>
      </c>
      <c r="Y336" s="9">
        <v>847.32</v>
      </c>
    </row>
    <row r="337" spans="1:25" ht="15.75" customHeight="1" x14ac:dyDescent="0.25">
      <c r="A337" s="83"/>
      <c r="B337" s="83"/>
      <c r="C337" s="83"/>
      <c r="D337" s="83"/>
      <c r="E337" s="83"/>
      <c r="F337" s="83"/>
      <c r="G337" s="83"/>
      <c r="H337" s="83"/>
      <c r="I337" s="83"/>
      <c r="J337" s="83"/>
      <c r="K337" s="83"/>
      <c r="L337" s="83"/>
      <c r="M337" s="83"/>
      <c r="N337" s="83"/>
      <c r="O337" s="83"/>
      <c r="P337" s="83"/>
      <c r="Q337" s="83"/>
      <c r="R337" s="83"/>
      <c r="S337" s="83"/>
      <c r="T337" s="83"/>
      <c r="U337" s="83"/>
      <c r="V337" s="83"/>
      <c r="W337" s="83"/>
      <c r="X337" s="83"/>
      <c r="Y337" s="84"/>
    </row>
    <row r="338" spans="1:25" ht="47.25" x14ac:dyDescent="0.25">
      <c r="A338" s="88">
        <v>46</v>
      </c>
      <c r="B338" s="10">
        <v>290</v>
      </c>
      <c r="C338" s="11" t="s">
        <v>565</v>
      </c>
      <c r="D338" s="12" t="s">
        <v>25</v>
      </c>
      <c r="E338" s="12">
        <v>122483175</v>
      </c>
      <c r="F338" s="12" t="s">
        <v>121</v>
      </c>
      <c r="G338" s="12">
        <v>33903035</v>
      </c>
      <c r="H338" s="28">
        <v>9</v>
      </c>
      <c r="I338" s="21" t="s">
        <v>52</v>
      </c>
      <c r="J338" s="7">
        <v>57.81</v>
      </c>
      <c r="K338" s="7" t="s">
        <v>37</v>
      </c>
      <c r="L338" s="7">
        <v>63.4</v>
      </c>
      <c r="M338" s="7" t="s">
        <v>46</v>
      </c>
      <c r="N338" s="7">
        <v>64.569999999999993</v>
      </c>
      <c r="O338" s="13"/>
      <c r="P338" s="13"/>
      <c r="Q338" s="13"/>
      <c r="R338" s="13"/>
      <c r="S338" s="18">
        <f t="shared" si="35"/>
        <v>57.81</v>
      </c>
      <c r="T338" s="14">
        <f t="shared" si="36"/>
        <v>61.92</v>
      </c>
      <c r="U338" s="14">
        <f t="shared" si="37"/>
        <v>63.4</v>
      </c>
      <c r="V338" s="15">
        <f t="shared" si="38"/>
        <v>5.8340216710567536E-2</v>
      </c>
      <c r="W338" s="9">
        <f t="shared" si="39"/>
        <v>61.92</v>
      </c>
      <c r="X338" s="9">
        <f t="shared" si="40"/>
        <v>557.28</v>
      </c>
      <c r="Y338" s="81">
        <v>690.4</v>
      </c>
    </row>
    <row r="339" spans="1:25" ht="15.75" x14ac:dyDescent="0.25">
      <c r="A339" s="89"/>
      <c r="B339" s="10">
        <v>291</v>
      </c>
      <c r="C339" s="11" t="s">
        <v>566</v>
      </c>
      <c r="D339" s="12" t="s">
        <v>25</v>
      </c>
      <c r="E339" s="12">
        <v>30236027</v>
      </c>
      <c r="F339" s="12" t="s">
        <v>121</v>
      </c>
      <c r="G339" s="12">
        <v>33903035</v>
      </c>
      <c r="H339" s="43">
        <v>4</v>
      </c>
      <c r="I339" s="21" t="s">
        <v>52</v>
      </c>
      <c r="J339" s="7">
        <v>42</v>
      </c>
      <c r="K339" s="7" t="s">
        <v>36</v>
      </c>
      <c r="L339" s="7">
        <v>30</v>
      </c>
      <c r="M339" s="7" t="s">
        <v>51</v>
      </c>
      <c r="N339" s="7">
        <v>27.85</v>
      </c>
      <c r="O339" s="13"/>
      <c r="P339" s="13"/>
      <c r="Q339" s="13"/>
      <c r="R339" s="13"/>
      <c r="S339" s="18">
        <f t="shared" si="35"/>
        <v>27.85</v>
      </c>
      <c r="T339" s="14">
        <f t="shared" si="36"/>
        <v>33.28</v>
      </c>
      <c r="U339" s="14">
        <f t="shared" si="37"/>
        <v>30</v>
      </c>
      <c r="V339" s="15">
        <f t="shared" si="38"/>
        <v>0.22909405091206664</v>
      </c>
      <c r="W339" s="9">
        <f t="shared" si="39"/>
        <v>33.28</v>
      </c>
      <c r="X339" s="9">
        <f t="shared" si="40"/>
        <v>133.12</v>
      </c>
      <c r="Y339" s="82"/>
    </row>
    <row r="340" spans="1:25" ht="15.75" customHeight="1" x14ac:dyDescent="0.25">
      <c r="A340" s="83"/>
      <c r="B340" s="83"/>
      <c r="C340" s="83"/>
      <c r="D340" s="83"/>
      <c r="E340" s="83"/>
      <c r="F340" s="83"/>
      <c r="G340" s="83"/>
      <c r="H340" s="83"/>
      <c r="I340" s="83"/>
      <c r="J340" s="83"/>
      <c r="K340" s="83"/>
      <c r="L340" s="83"/>
      <c r="M340" s="83"/>
      <c r="N340" s="83"/>
      <c r="O340" s="83"/>
      <c r="P340" s="83"/>
      <c r="Q340" s="83"/>
      <c r="R340" s="83"/>
      <c r="S340" s="83"/>
      <c r="T340" s="83"/>
      <c r="U340" s="83"/>
      <c r="V340" s="83"/>
      <c r="W340" s="83"/>
      <c r="X340" s="83"/>
      <c r="Y340" s="84"/>
    </row>
    <row r="341" spans="1:25" ht="63" x14ac:dyDescent="0.25">
      <c r="A341" s="88">
        <v>47</v>
      </c>
      <c r="B341" s="10">
        <v>292</v>
      </c>
      <c r="C341" s="11" t="s">
        <v>568</v>
      </c>
      <c r="D341" s="12" t="s">
        <v>349</v>
      </c>
      <c r="E341" s="12">
        <v>89060021</v>
      </c>
      <c r="F341" s="12" t="s">
        <v>121</v>
      </c>
      <c r="G341" s="12">
        <v>33903035</v>
      </c>
      <c r="H341" s="27">
        <v>5</v>
      </c>
      <c r="I341" s="21" t="s">
        <v>449</v>
      </c>
      <c r="J341" s="7">
        <v>273.77999999999997</v>
      </c>
      <c r="K341" s="7" t="s">
        <v>21</v>
      </c>
      <c r="L341" s="7">
        <v>269.44</v>
      </c>
      <c r="M341" s="7" t="s">
        <v>52</v>
      </c>
      <c r="N341" s="7">
        <v>262.51</v>
      </c>
      <c r="O341" s="13"/>
      <c r="P341" s="13"/>
      <c r="Q341" s="13"/>
      <c r="R341" s="13"/>
      <c r="S341" s="18">
        <f t="shared" si="35"/>
        <v>262.51</v>
      </c>
      <c r="T341" s="14">
        <f t="shared" si="36"/>
        <v>268.57</v>
      </c>
      <c r="U341" s="14">
        <f t="shared" si="37"/>
        <v>269.44</v>
      </c>
      <c r="V341" s="15">
        <f t="shared" si="38"/>
        <v>2.1164850673660359E-2</v>
      </c>
      <c r="W341" s="9">
        <f t="shared" si="39"/>
        <v>268.57</v>
      </c>
      <c r="X341" s="9">
        <f t="shared" si="40"/>
        <v>1342.85</v>
      </c>
      <c r="Y341" s="81">
        <v>3895.65</v>
      </c>
    </row>
    <row r="342" spans="1:25" ht="94.5" x14ac:dyDescent="0.25">
      <c r="A342" s="89"/>
      <c r="B342" s="10">
        <v>293</v>
      </c>
      <c r="C342" s="11" t="s">
        <v>567</v>
      </c>
      <c r="D342" s="12" t="s">
        <v>349</v>
      </c>
      <c r="E342" s="12">
        <v>89060021</v>
      </c>
      <c r="F342" s="12" t="s">
        <v>121</v>
      </c>
      <c r="G342" s="12">
        <v>33903035</v>
      </c>
      <c r="H342" s="27">
        <v>5</v>
      </c>
      <c r="I342" s="21" t="s">
        <v>176</v>
      </c>
      <c r="J342" s="7">
        <v>438.19</v>
      </c>
      <c r="K342" s="7" t="s">
        <v>37</v>
      </c>
      <c r="L342" s="7">
        <v>590.25</v>
      </c>
      <c r="M342" s="7" t="s">
        <v>30</v>
      </c>
      <c r="N342" s="7">
        <v>503.26</v>
      </c>
      <c r="O342" s="13"/>
      <c r="P342" s="13"/>
      <c r="Q342" s="13"/>
      <c r="R342" s="13"/>
      <c r="S342" s="18">
        <f t="shared" si="35"/>
        <v>438.19</v>
      </c>
      <c r="T342" s="14">
        <f t="shared" si="36"/>
        <v>510.56</v>
      </c>
      <c r="U342" s="14">
        <f t="shared" si="37"/>
        <v>503.26</v>
      </c>
      <c r="V342" s="15">
        <f t="shared" si="38"/>
        <v>0.1494278243822777</v>
      </c>
      <c r="W342" s="9">
        <f t="shared" si="39"/>
        <v>510.56</v>
      </c>
      <c r="X342" s="9">
        <f t="shared" si="40"/>
        <v>2552.8000000000002</v>
      </c>
      <c r="Y342" s="82"/>
    </row>
    <row r="343" spans="1:25" ht="15.75" customHeight="1" x14ac:dyDescent="0.25">
      <c r="A343" s="83"/>
      <c r="B343" s="83"/>
      <c r="C343" s="83"/>
      <c r="D343" s="83"/>
      <c r="E343" s="83"/>
      <c r="F343" s="83"/>
      <c r="G343" s="83"/>
      <c r="H343" s="83"/>
      <c r="I343" s="83"/>
      <c r="J343" s="83"/>
      <c r="K343" s="83"/>
      <c r="L343" s="83"/>
      <c r="M343" s="83"/>
      <c r="N343" s="83"/>
      <c r="O343" s="83"/>
      <c r="P343" s="83"/>
      <c r="Q343" s="83"/>
      <c r="R343" s="83"/>
      <c r="S343" s="83"/>
      <c r="T343" s="83"/>
      <c r="U343" s="83"/>
      <c r="V343" s="83"/>
      <c r="W343" s="83"/>
      <c r="X343" s="83"/>
      <c r="Y343" s="84"/>
    </row>
    <row r="344" spans="1:25" ht="31.5" x14ac:dyDescent="0.25">
      <c r="A344" s="88">
        <v>48</v>
      </c>
      <c r="B344" s="10">
        <v>294</v>
      </c>
      <c r="C344" s="73" t="s">
        <v>576</v>
      </c>
      <c r="D344" s="5" t="s">
        <v>165</v>
      </c>
      <c r="E344" s="5">
        <v>78794105</v>
      </c>
      <c r="F344" s="5" t="s">
        <v>575</v>
      </c>
      <c r="G344" s="5">
        <v>33903036</v>
      </c>
      <c r="H344" s="44">
        <v>2</v>
      </c>
      <c r="I344" s="45" t="s">
        <v>571</v>
      </c>
      <c r="J344" s="46">
        <v>2394.6999999999998</v>
      </c>
      <c r="K344" s="45" t="s">
        <v>570</v>
      </c>
      <c r="L344" s="47">
        <v>2105</v>
      </c>
      <c r="M344" s="47" t="s">
        <v>574</v>
      </c>
      <c r="N344" s="47">
        <v>1749</v>
      </c>
      <c r="O344" s="47"/>
      <c r="P344" s="47"/>
      <c r="Q344" s="47"/>
      <c r="R344" s="47"/>
      <c r="S344" s="18">
        <f t="shared" si="35"/>
        <v>1749</v>
      </c>
      <c r="T344" s="14">
        <f t="shared" si="36"/>
        <v>2082.9</v>
      </c>
      <c r="U344" s="14">
        <f t="shared" si="37"/>
        <v>2105</v>
      </c>
      <c r="V344" s="15">
        <f t="shared" si="38"/>
        <v>0.15527236323231666</v>
      </c>
      <c r="W344" s="9">
        <f t="shared" si="39"/>
        <v>2082.9</v>
      </c>
      <c r="X344" s="9">
        <f t="shared" si="40"/>
        <v>4165.8</v>
      </c>
      <c r="Y344" s="81">
        <v>4357.92</v>
      </c>
    </row>
    <row r="345" spans="1:25" ht="15.75" x14ac:dyDescent="0.25">
      <c r="A345" s="89"/>
      <c r="B345" s="10">
        <v>295</v>
      </c>
      <c r="C345" s="11" t="s">
        <v>573</v>
      </c>
      <c r="D345" s="48" t="s">
        <v>165</v>
      </c>
      <c r="E345" s="48">
        <v>78794106</v>
      </c>
      <c r="F345" s="48" t="s">
        <v>572</v>
      </c>
      <c r="G345" s="48">
        <v>33903036</v>
      </c>
      <c r="H345" s="16">
        <v>2</v>
      </c>
      <c r="I345" s="17" t="s">
        <v>571</v>
      </c>
      <c r="J345" s="7">
        <v>107</v>
      </c>
      <c r="K345" s="17" t="s">
        <v>570</v>
      </c>
      <c r="L345" s="49">
        <v>76.2</v>
      </c>
      <c r="M345" s="49" t="s">
        <v>569</v>
      </c>
      <c r="N345" s="49">
        <v>105</v>
      </c>
      <c r="O345" s="49"/>
      <c r="P345" s="49"/>
      <c r="Q345" s="50"/>
      <c r="R345" s="50"/>
      <c r="S345" s="18">
        <f t="shared" si="35"/>
        <v>76.2</v>
      </c>
      <c r="T345" s="14">
        <f t="shared" si="36"/>
        <v>96.06</v>
      </c>
      <c r="U345" s="14">
        <f t="shared" si="37"/>
        <v>105</v>
      </c>
      <c r="V345" s="15">
        <f t="shared" si="38"/>
        <v>0.1793970309629572</v>
      </c>
      <c r="W345" s="9">
        <f t="shared" si="39"/>
        <v>96.06</v>
      </c>
      <c r="X345" s="9">
        <f t="shared" si="40"/>
        <v>192.12</v>
      </c>
      <c r="Y345" s="82"/>
    </row>
    <row r="346" spans="1:25" ht="15.75" customHeight="1" x14ac:dyDescent="0.25">
      <c r="A346" s="83"/>
      <c r="B346" s="83"/>
      <c r="C346" s="83"/>
      <c r="D346" s="83"/>
      <c r="E346" s="83"/>
      <c r="F346" s="83"/>
      <c r="G346" s="83"/>
      <c r="H346" s="83"/>
      <c r="I346" s="83"/>
      <c r="J346" s="83"/>
      <c r="K346" s="83"/>
      <c r="L346" s="83"/>
      <c r="M346" s="83"/>
      <c r="N346" s="83"/>
      <c r="O346" s="83"/>
      <c r="P346" s="83"/>
      <c r="Q346" s="83"/>
      <c r="R346" s="83"/>
      <c r="S346" s="83"/>
      <c r="T346" s="83"/>
      <c r="U346" s="83"/>
      <c r="V346" s="83"/>
      <c r="W346" s="83"/>
      <c r="X346" s="83"/>
      <c r="Y346" s="84"/>
    </row>
    <row r="347" spans="1:25" ht="31.5" x14ac:dyDescent="0.25">
      <c r="A347" s="76">
        <v>49</v>
      </c>
      <c r="B347" s="51">
        <v>296</v>
      </c>
      <c r="C347" s="11" t="s">
        <v>577</v>
      </c>
      <c r="D347" s="12" t="s">
        <v>25</v>
      </c>
      <c r="E347" s="12">
        <v>117366012</v>
      </c>
      <c r="F347" s="12" t="s">
        <v>20</v>
      </c>
      <c r="G347" s="12">
        <v>33903035</v>
      </c>
      <c r="H347" s="27">
        <v>4</v>
      </c>
      <c r="I347" s="21" t="s">
        <v>263</v>
      </c>
      <c r="J347" s="7">
        <v>374.34</v>
      </c>
      <c r="K347" s="7" t="s">
        <v>36</v>
      </c>
      <c r="L347" s="7">
        <v>341.94</v>
      </c>
      <c r="M347" s="7" t="s">
        <v>379</v>
      </c>
      <c r="N347" s="7">
        <v>381.61</v>
      </c>
      <c r="O347" s="13"/>
      <c r="P347" s="13"/>
      <c r="Q347" s="13"/>
      <c r="R347" s="13"/>
      <c r="S347" s="18">
        <f t="shared" si="35"/>
        <v>341.94</v>
      </c>
      <c r="T347" s="14">
        <f t="shared" si="36"/>
        <v>365.96</v>
      </c>
      <c r="U347" s="14">
        <f t="shared" si="37"/>
        <v>374.34</v>
      </c>
      <c r="V347" s="15">
        <f t="shared" si="38"/>
        <v>5.7710650018871684E-2</v>
      </c>
      <c r="W347" s="9">
        <f t="shared" si="39"/>
        <v>365.96</v>
      </c>
      <c r="X347" s="9">
        <f t="shared" si="40"/>
        <v>1463.84</v>
      </c>
      <c r="Y347" s="9">
        <v>1463.84</v>
      </c>
    </row>
    <row r="348" spans="1:25" ht="15.75" customHeight="1" x14ac:dyDescent="0.25">
      <c r="A348" s="125" t="s">
        <v>603</v>
      </c>
      <c r="B348" s="125"/>
      <c r="C348" s="125"/>
      <c r="D348" s="125"/>
      <c r="E348" s="125"/>
      <c r="F348" s="125"/>
      <c r="G348" s="125"/>
      <c r="H348" s="125"/>
      <c r="I348" s="125"/>
      <c r="J348" s="125"/>
      <c r="K348" s="125"/>
      <c r="L348" s="125"/>
      <c r="M348" s="125"/>
      <c r="N348" s="125"/>
      <c r="O348" s="125"/>
      <c r="P348" s="125"/>
      <c r="Q348" s="125"/>
      <c r="R348" s="125"/>
      <c r="S348" s="125"/>
      <c r="T348" s="125"/>
      <c r="U348" s="125"/>
      <c r="V348" s="125"/>
      <c r="W348" s="125"/>
      <c r="X348" s="125"/>
      <c r="Y348" s="126"/>
    </row>
  </sheetData>
  <mergeCells count="134">
    <mergeCell ref="Y107:Y111"/>
    <mergeCell ref="Y113:Y114"/>
    <mergeCell ref="Y116:Y123"/>
    <mergeCell ref="Y125:Y137"/>
    <mergeCell ref="Y139:Y143"/>
    <mergeCell ref="Y145:Y155"/>
    <mergeCell ref="Y157:Y165"/>
    <mergeCell ref="Y167:Y169"/>
    <mergeCell ref="Y4:Y23"/>
    <mergeCell ref="Y25:Y45"/>
    <mergeCell ref="Y47:Y59"/>
    <mergeCell ref="Y61:Y64"/>
    <mergeCell ref="Y66:Y72"/>
    <mergeCell ref="Y76:Y78"/>
    <mergeCell ref="Y80:Y82"/>
    <mergeCell ref="Y84:Y88"/>
    <mergeCell ref="Y92:Y105"/>
    <mergeCell ref="A112:V112"/>
    <mergeCell ref="A124:V124"/>
    <mergeCell ref="A196:A211"/>
    <mergeCell ref="A213:A215"/>
    <mergeCell ref="A217:A238"/>
    <mergeCell ref="A145:A155"/>
    <mergeCell ref="A157:A165"/>
    <mergeCell ref="A176:V176"/>
    <mergeCell ref="A170:V170"/>
    <mergeCell ref="A166:V166"/>
    <mergeCell ref="A138:V138"/>
    <mergeCell ref="A144:V144"/>
    <mergeCell ref="A156:V156"/>
    <mergeCell ref="A177:A182"/>
    <mergeCell ref="A184:A194"/>
    <mergeCell ref="A183:V183"/>
    <mergeCell ref="A167:A169"/>
    <mergeCell ref="A171:A172"/>
    <mergeCell ref="A174:A175"/>
    <mergeCell ref="T2:T3"/>
    <mergeCell ref="U2:U3"/>
    <mergeCell ref="V2:V3"/>
    <mergeCell ref="W2:W3"/>
    <mergeCell ref="X2:X3"/>
    <mergeCell ref="Y2:Y3"/>
    <mergeCell ref="A1:Y1"/>
    <mergeCell ref="A2:A3"/>
    <mergeCell ref="A4:A23"/>
    <mergeCell ref="B2:B3"/>
    <mergeCell ref="C2:C3"/>
    <mergeCell ref="H2:H3"/>
    <mergeCell ref="I2:J2"/>
    <mergeCell ref="K2:L2"/>
    <mergeCell ref="M2:N2"/>
    <mergeCell ref="O2:P2"/>
    <mergeCell ref="Q2:R2"/>
    <mergeCell ref="S2:S3"/>
    <mergeCell ref="A113:A114"/>
    <mergeCell ref="A116:A123"/>
    <mergeCell ref="A125:A137"/>
    <mergeCell ref="A139:A143"/>
    <mergeCell ref="A317:Y317"/>
    <mergeCell ref="A323:Y323"/>
    <mergeCell ref="A325:Y325"/>
    <mergeCell ref="A327:Y327"/>
    <mergeCell ref="A330:Y330"/>
    <mergeCell ref="Y328:Y329"/>
    <mergeCell ref="A287:A290"/>
    <mergeCell ref="A321:V321"/>
    <mergeCell ref="A248:V248"/>
    <mergeCell ref="A306:A314"/>
    <mergeCell ref="A328:A329"/>
    <mergeCell ref="A240:A247"/>
    <mergeCell ref="A249:A273"/>
    <mergeCell ref="A275:A285"/>
    <mergeCell ref="A25:A45"/>
    <mergeCell ref="A47:A59"/>
    <mergeCell ref="A61:A64"/>
    <mergeCell ref="A66:A72"/>
    <mergeCell ref="A76:A78"/>
    <mergeCell ref="A80:A82"/>
    <mergeCell ref="A84:A88"/>
    <mergeCell ref="A92:A105"/>
    <mergeCell ref="A107:A111"/>
    <mergeCell ref="A91:V91"/>
    <mergeCell ref="A106:V106"/>
    <mergeCell ref="A73:V73"/>
    <mergeCell ref="A75:V75"/>
    <mergeCell ref="A79:V79"/>
    <mergeCell ref="A83:V83"/>
    <mergeCell ref="A89:V89"/>
    <mergeCell ref="A24:V24"/>
    <mergeCell ref="A46:V46"/>
    <mergeCell ref="A60:V60"/>
    <mergeCell ref="A65:V65"/>
    <mergeCell ref="A341:A342"/>
    <mergeCell ref="A344:A345"/>
    <mergeCell ref="A292:A294"/>
    <mergeCell ref="A300:A304"/>
    <mergeCell ref="Y171:Y172"/>
    <mergeCell ref="Y174:Y175"/>
    <mergeCell ref="Y177:Y182"/>
    <mergeCell ref="Y184:Y194"/>
    <mergeCell ref="A195:Y195"/>
    <mergeCell ref="Y196:Y211"/>
    <mergeCell ref="A212:Y212"/>
    <mergeCell ref="Y213:Y215"/>
    <mergeCell ref="A216:Y216"/>
    <mergeCell ref="Y217:Y238"/>
    <mergeCell ref="A239:Y239"/>
    <mergeCell ref="Y240:Y247"/>
    <mergeCell ref="Y249:Y273"/>
    <mergeCell ref="A274:Y274"/>
    <mergeCell ref="Y275:Y285"/>
    <mergeCell ref="A286:Y286"/>
    <mergeCell ref="Y338:Y339"/>
    <mergeCell ref="A340:Y340"/>
    <mergeCell ref="Y341:Y342"/>
    <mergeCell ref="A343:Y343"/>
    <mergeCell ref="Y344:Y345"/>
    <mergeCell ref="A346:Y346"/>
    <mergeCell ref="A348:Y348"/>
    <mergeCell ref="Y287:Y290"/>
    <mergeCell ref="A291:Y291"/>
    <mergeCell ref="Y292:Y294"/>
    <mergeCell ref="A295:Y295"/>
    <mergeCell ref="A299:Y299"/>
    <mergeCell ref="Y300:Y304"/>
    <mergeCell ref="C297:Y297"/>
    <mergeCell ref="Y306:Y314"/>
    <mergeCell ref="A315:Y315"/>
    <mergeCell ref="Y331:Y332"/>
    <mergeCell ref="A333:Y333"/>
    <mergeCell ref="A335:Y335"/>
    <mergeCell ref="A337:Y337"/>
    <mergeCell ref="A338:A339"/>
    <mergeCell ref="A331:A332"/>
  </mergeCells>
  <conditionalFormatting sqref="T76:T77">
    <cfRule type="expression" dxfId="309" priority="312">
      <formula>$V76&lt;0.25</formula>
    </cfRule>
  </conditionalFormatting>
  <conditionalFormatting sqref="U76:U77">
    <cfRule type="expression" dxfId="308" priority="311">
      <formula>$V76&gt;=0.25</formula>
    </cfRule>
  </conditionalFormatting>
  <conditionalFormatting sqref="T4">
    <cfRule type="expression" dxfId="307" priority="310">
      <formula>$V4&lt;0.25</formula>
    </cfRule>
  </conditionalFormatting>
  <conditionalFormatting sqref="U4">
    <cfRule type="expression" dxfId="306" priority="309">
      <formula>$V4&gt;=0.25</formula>
    </cfRule>
  </conditionalFormatting>
  <conditionalFormatting sqref="T5">
    <cfRule type="expression" dxfId="305" priority="308">
      <formula>$V5&lt;0.25</formula>
    </cfRule>
  </conditionalFormatting>
  <conditionalFormatting sqref="U5">
    <cfRule type="expression" dxfId="304" priority="307">
      <formula>$V5&gt;=0.25</formula>
    </cfRule>
  </conditionalFormatting>
  <conditionalFormatting sqref="T6:T7">
    <cfRule type="expression" dxfId="303" priority="306">
      <formula>$V6&lt;0.25</formula>
    </cfRule>
  </conditionalFormatting>
  <conditionalFormatting sqref="U6:U7">
    <cfRule type="expression" dxfId="302" priority="305">
      <formula>$V6&gt;=0.25</formula>
    </cfRule>
  </conditionalFormatting>
  <conditionalFormatting sqref="T8">
    <cfRule type="expression" dxfId="301" priority="304">
      <formula>$V8&lt;0.25</formula>
    </cfRule>
  </conditionalFormatting>
  <conditionalFormatting sqref="U8">
    <cfRule type="expression" dxfId="300" priority="303">
      <formula>$V8&gt;=0.25</formula>
    </cfRule>
  </conditionalFormatting>
  <conditionalFormatting sqref="T9">
    <cfRule type="expression" dxfId="299" priority="302">
      <formula>$V9&lt;0.25</formula>
    </cfRule>
  </conditionalFormatting>
  <conditionalFormatting sqref="U9">
    <cfRule type="expression" dxfId="298" priority="301">
      <formula>$V9&gt;=0.25</formula>
    </cfRule>
  </conditionalFormatting>
  <conditionalFormatting sqref="T10:T11">
    <cfRule type="expression" dxfId="297" priority="300">
      <formula>$V10&lt;0.25</formula>
    </cfRule>
  </conditionalFormatting>
  <conditionalFormatting sqref="U10:U11">
    <cfRule type="expression" dxfId="296" priority="299">
      <formula>$V10&gt;=0.25</formula>
    </cfRule>
  </conditionalFormatting>
  <conditionalFormatting sqref="T12">
    <cfRule type="expression" dxfId="295" priority="298">
      <formula>$V12&lt;0.25</formula>
    </cfRule>
  </conditionalFormatting>
  <conditionalFormatting sqref="U12">
    <cfRule type="expression" dxfId="294" priority="297">
      <formula>$V12&gt;=0.25</formula>
    </cfRule>
  </conditionalFormatting>
  <conditionalFormatting sqref="T13:T15">
    <cfRule type="expression" dxfId="293" priority="296">
      <formula>$V13&lt;0.25</formula>
    </cfRule>
  </conditionalFormatting>
  <conditionalFormatting sqref="U13:U15">
    <cfRule type="expression" dxfId="292" priority="295">
      <formula>$V13&gt;=0.25</formula>
    </cfRule>
  </conditionalFormatting>
  <conditionalFormatting sqref="T16">
    <cfRule type="expression" dxfId="291" priority="294">
      <formula>$V16&lt;0.25</formula>
    </cfRule>
  </conditionalFormatting>
  <conditionalFormatting sqref="U16">
    <cfRule type="expression" dxfId="290" priority="293">
      <formula>$V16&gt;=0.25</formula>
    </cfRule>
  </conditionalFormatting>
  <conditionalFormatting sqref="T17:T18">
    <cfRule type="expression" dxfId="289" priority="292">
      <formula>$V17&lt;0.25</formula>
    </cfRule>
  </conditionalFormatting>
  <conditionalFormatting sqref="U17:U18">
    <cfRule type="expression" dxfId="288" priority="291">
      <formula>$V17&gt;=0.25</formula>
    </cfRule>
  </conditionalFormatting>
  <conditionalFormatting sqref="T19:T20">
    <cfRule type="expression" dxfId="287" priority="290">
      <formula>$V19&lt;0.25</formula>
    </cfRule>
  </conditionalFormatting>
  <conditionalFormatting sqref="U19:U20">
    <cfRule type="expression" dxfId="286" priority="289">
      <formula>$V19&gt;=0.25</formula>
    </cfRule>
  </conditionalFormatting>
  <conditionalFormatting sqref="T21">
    <cfRule type="expression" dxfId="285" priority="288">
      <formula>$V21&lt;0.25</formula>
    </cfRule>
  </conditionalFormatting>
  <conditionalFormatting sqref="U21">
    <cfRule type="expression" dxfId="284" priority="287">
      <formula>$V21&gt;=0.25</formula>
    </cfRule>
  </conditionalFormatting>
  <conditionalFormatting sqref="T22">
    <cfRule type="expression" dxfId="283" priority="286">
      <formula>$V22&lt;0.25</formula>
    </cfRule>
  </conditionalFormatting>
  <conditionalFormatting sqref="U22">
    <cfRule type="expression" dxfId="282" priority="285">
      <formula>$V22&gt;=0.25</formula>
    </cfRule>
  </conditionalFormatting>
  <conditionalFormatting sqref="T23">
    <cfRule type="expression" dxfId="281" priority="284">
      <formula>$V23&lt;0.25</formula>
    </cfRule>
  </conditionalFormatting>
  <conditionalFormatting sqref="U23">
    <cfRule type="expression" dxfId="280" priority="283">
      <formula>$V23&gt;=0.25</formula>
    </cfRule>
  </conditionalFormatting>
  <conditionalFormatting sqref="U25 U27">
    <cfRule type="expression" dxfId="279" priority="281">
      <formula>$U25&gt;=0.25</formula>
    </cfRule>
  </conditionalFormatting>
  <conditionalFormatting sqref="T25 T27">
    <cfRule type="expression" dxfId="278" priority="282">
      <formula>$U25&lt;0.25</formula>
    </cfRule>
  </conditionalFormatting>
  <conditionalFormatting sqref="U28:U29">
    <cfRule type="expression" dxfId="277" priority="279">
      <formula>$U28&gt;=0.25</formula>
    </cfRule>
  </conditionalFormatting>
  <conditionalFormatting sqref="T28:T29">
    <cfRule type="expression" dxfId="276" priority="280">
      <formula>$U28&lt;0.25</formula>
    </cfRule>
  </conditionalFormatting>
  <conditionalFormatting sqref="U30">
    <cfRule type="expression" dxfId="275" priority="277">
      <formula>$U30&gt;=0.25</formula>
    </cfRule>
  </conditionalFormatting>
  <conditionalFormatting sqref="T30">
    <cfRule type="expression" dxfId="274" priority="278">
      <formula>$U30&lt;0.25</formula>
    </cfRule>
  </conditionalFormatting>
  <conditionalFormatting sqref="U31:U33">
    <cfRule type="expression" dxfId="273" priority="275">
      <formula>$U31&gt;=0.25</formula>
    </cfRule>
  </conditionalFormatting>
  <conditionalFormatting sqref="T31:T33">
    <cfRule type="expression" dxfId="272" priority="276">
      <formula>$U31&lt;0.25</formula>
    </cfRule>
  </conditionalFormatting>
  <conditionalFormatting sqref="U34">
    <cfRule type="expression" dxfId="271" priority="273">
      <formula>$U34&gt;=0.25</formula>
    </cfRule>
  </conditionalFormatting>
  <conditionalFormatting sqref="T34">
    <cfRule type="expression" dxfId="270" priority="274">
      <formula>$U34&lt;0.25</formula>
    </cfRule>
  </conditionalFormatting>
  <conditionalFormatting sqref="U35">
    <cfRule type="expression" dxfId="269" priority="271">
      <formula>$U35&gt;=0.25</formula>
    </cfRule>
  </conditionalFormatting>
  <conditionalFormatting sqref="T35">
    <cfRule type="expression" dxfId="268" priority="272">
      <formula>$U35&lt;0.25</formula>
    </cfRule>
  </conditionalFormatting>
  <conditionalFormatting sqref="U36">
    <cfRule type="expression" dxfId="267" priority="269">
      <formula>$U36&gt;=0.25</formula>
    </cfRule>
  </conditionalFormatting>
  <conditionalFormatting sqref="T36">
    <cfRule type="expression" dxfId="266" priority="270">
      <formula>$U36&lt;0.25</formula>
    </cfRule>
  </conditionalFormatting>
  <conditionalFormatting sqref="U37">
    <cfRule type="expression" dxfId="265" priority="267">
      <formula>$U37&gt;=0.25</formula>
    </cfRule>
  </conditionalFormatting>
  <conditionalFormatting sqref="T37">
    <cfRule type="expression" dxfId="264" priority="268">
      <formula>$U37&lt;0.25</formula>
    </cfRule>
  </conditionalFormatting>
  <conditionalFormatting sqref="U38:U39">
    <cfRule type="expression" dxfId="263" priority="265">
      <formula>$U38&gt;=0.25</formula>
    </cfRule>
  </conditionalFormatting>
  <conditionalFormatting sqref="T38:T39">
    <cfRule type="expression" dxfId="262" priority="266">
      <formula>$U38&lt;0.25</formula>
    </cfRule>
  </conditionalFormatting>
  <conditionalFormatting sqref="U40">
    <cfRule type="expression" dxfId="261" priority="263">
      <formula>$U40&gt;=0.25</formula>
    </cfRule>
  </conditionalFormatting>
  <conditionalFormatting sqref="T40">
    <cfRule type="expression" dxfId="260" priority="264">
      <formula>$U40&lt;0.25</formula>
    </cfRule>
  </conditionalFormatting>
  <conditionalFormatting sqref="U41">
    <cfRule type="expression" dxfId="259" priority="261">
      <formula>$U41&gt;=0.25</formula>
    </cfRule>
  </conditionalFormatting>
  <conditionalFormatting sqref="T41">
    <cfRule type="expression" dxfId="258" priority="262">
      <formula>$U41&lt;0.25</formula>
    </cfRule>
  </conditionalFormatting>
  <conditionalFormatting sqref="U42">
    <cfRule type="expression" dxfId="257" priority="259">
      <formula>$U42&gt;=0.25</formula>
    </cfRule>
  </conditionalFormatting>
  <conditionalFormatting sqref="T42">
    <cfRule type="expression" dxfId="256" priority="260">
      <formula>$U42&lt;0.25</formula>
    </cfRule>
  </conditionalFormatting>
  <conditionalFormatting sqref="U43:U44">
    <cfRule type="expression" dxfId="255" priority="257">
      <formula>$U43&gt;=0.25</formula>
    </cfRule>
  </conditionalFormatting>
  <conditionalFormatting sqref="T43:T44">
    <cfRule type="expression" dxfId="254" priority="258">
      <formula>$U43&lt;0.25</formula>
    </cfRule>
  </conditionalFormatting>
  <conditionalFormatting sqref="U45">
    <cfRule type="expression" dxfId="253" priority="255">
      <formula>$U45&gt;=0.25</formula>
    </cfRule>
  </conditionalFormatting>
  <conditionalFormatting sqref="T45">
    <cfRule type="expression" dxfId="252" priority="256">
      <formula>$U45&lt;0.25</formula>
    </cfRule>
  </conditionalFormatting>
  <conditionalFormatting sqref="U47:U48">
    <cfRule type="expression" dxfId="251" priority="253">
      <formula>$U47&gt;=0.25</formula>
    </cfRule>
  </conditionalFormatting>
  <conditionalFormatting sqref="T47:T48">
    <cfRule type="expression" dxfId="250" priority="254">
      <formula>$U47&lt;0.25</formula>
    </cfRule>
  </conditionalFormatting>
  <conditionalFormatting sqref="U49">
    <cfRule type="expression" dxfId="249" priority="251">
      <formula>$U49&gt;=0.25</formula>
    </cfRule>
  </conditionalFormatting>
  <conditionalFormatting sqref="T49">
    <cfRule type="expression" dxfId="248" priority="252">
      <formula>$U49&lt;0.25</formula>
    </cfRule>
  </conditionalFormatting>
  <conditionalFormatting sqref="U50">
    <cfRule type="expression" dxfId="247" priority="249">
      <formula>$U50&gt;=0.25</formula>
    </cfRule>
  </conditionalFormatting>
  <conditionalFormatting sqref="T50">
    <cfRule type="expression" dxfId="246" priority="250">
      <formula>$U50&lt;0.25</formula>
    </cfRule>
  </conditionalFormatting>
  <conditionalFormatting sqref="U51:U52">
    <cfRule type="expression" dxfId="245" priority="247">
      <formula>$U51&gt;=0.25</formula>
    </cfRule>
  </conditionalFormatting>
  <conditionalFormatting sqref="T51:T52">
    <cfRule type="expression" dxfId="244" priority="248">
      <formula>$U51&lt;0.25</formula>
    </cfRule>
  </conditionalFormatting>
  <conditionalFormatting sqref="U53:U57">
    <cfRule type="expression" dxfId="243" priority="245">
      <formula>$U53&gt;=0.25</formula>
    </cfRule>
  </conditionalFormatting>
  <conditionalFormatting sqref="T53:T57">
    <cfRule type="expression" dxfId="242" priority="246">
      <formula>$U53&lt;0.25</formula>
    </cfRule>
  </conditionalFormatting>
  <conditionalFormatting sqref="U58:U59">
    <cfRule type="expression" dxfId="241" priority="243">
      <formula>$U58&gt;=0.25</formula>
    </cfRule>
  </conditionalFormatting>
  <conditionalFormatting sqref="T58:T59">
    <cfRule type="expression" dxfId="240" priority="244">
      <formula>$U58&lt;0.25</formula>
    </cfRule>
  </conditionalFormatting>
  <conditionalFormatting sqref="T61">
    <cfRule type="expression" dxfId="239" priority="242">
      <formula>$U61&lt;0.25</formula>
    </cfRule>
  </conditionalFormatting>
  <conditionalFormatting sqref="U61">
    <cfRule type="expression" dxfId="238" priority="241">
      <formula>$U61&gt;=0.25</formula>
    </cfRule>
  </conditionalFormatting>
  <conditionalFormatting sqref="T62">
    <cfRule type="expression" dxfId="237" priority="240">
      <formula>$U62&lt;0.25</formula>
    </cfRule>
  </conditionalFormatting>
  <conditionalFormatting sqref="U62">
    <cfRule type="expression" dxfId="236" priority="239">
      <formula>$U62&gt;=0.25</formula>
    </cfRule>
  </conditionalFormatting>
  <conditionalFormatting sqref="T63">
    <cfRule type="expression" dxfId="235" priority="238">
      <formula>$U63&lt;0.25</formula>
    </cfRule>
  </conditionalFormatting>
  <conditionalFormatting sqref="U63">
    <cfRule type="expression" dxfId="234" priority="237">
      <formula>$U63&gt;=0.25</formula>
    </cfRule>
  </conditionalFormatting>
  <conditionalFormatting sqref="T64">
    <cfRule type="expression" dxfId="233" priority="236">
      <formula>$U64&lt;0.25</formula>
    </cfRule>
  </conditionalFormatting>
  <conditionalFormatting sqref="U64">
    <cfRule type="expression" dxfId="232" priority="235">
      <formula>$U64&gt;=0.25</formula>
    </cfRule>
  </conditionalFormatting>
  <conditionalFormatting sqref="T66:T67">
    <cfRule type="expression" dxfId="231" priority="234">
      <formula>$U66&lt;0.25</formula>
    </cfRule>
  </conditionalFormatting>
  <conditionalFormatting sqref="U66:U67">
    <cfRule type="expression" dxfId="230" priority="233">
      <formula>$U66&gt;=0.25</formula>
    </cfRule>
  </conditionalFormatting>
  <conditionalFormatting sqref="T68:T71">
    <cfRule type="expression" dxfId="229" priority="232">
      <formula>$U68&lt;0.25</formula>
    </cfRule>
  </conditionalFormatting>
  <conditionalFormatting sqref="U68:U71">
    <cfRule type="expression" dxfId="228" priority="231">
      <formula>$U68&gt;=0.25</formula>
    </cfRule>
  </conditionalFormatting>
  <conditionalFormatting sqref="T72">
    <cfRule type="expression" dxfId="227" priority="230">
      <formula>$U72&lt;0.25</formula>
    </cfRule>
  </conditionalFormatting>
  <conditionalFormatting sqref="U72">
    <cfRule type="expression" dxfId="226" priority="229">
      <formula>$U72&gt;=0.25</formula>
    </cfRule>
  </conditionalFormatting>
  <conditionalFormatting sqref="T74">
    <cfRule type="expression" dxfId="225" priority="228">
      <formula>$U74&lt;0.25</formula>
    </cfRule>
  </conditionalFormatting>
  <conditionalFormatting sqref="U74">
    <cfRule type="expression" dxfId="224" priority="227">
      <formula>$U74&gt;=0.25</formula>
    </cfRule>
  </conditionalFormatting>
  <conditionalFormatting sqref="U78">
    <cfRule type="expression" dxfId="223" priority="223">
      <formula>$U78&gt;=0.25</formula>
    </cfRule>
  </conditionalFormatting>
  <conditionalFormatting sqref="T78">
    <cfRule type="expression" dxfId="222" priority="224">
      <formula>$U78&lt;0.25</formula>
    </cfRule>
  </conditionalFormatting>
  <conditionalFormatting sqref="T80:T82">
    <cfRule type="expression" dxfId="221" priority="222">
      <formula>$U80&lt;0.25</formula>
    </cfRule>
  </conditionalFormatting>
  <conditionalFormatting sqref="U80:U82">
    <cfRule type="expression" dxfId="220" priority="221">
      <formula>$U80&gt;=0.25</formula>
    </cfRule>
  </conditionalFormatting>
  <conditionalFormatting sqref="T84:T87">
    <cfRule type="expression" dxfId="219" priority="220">
      <formula>$U84&lt;0.25</formula>
    </cfRule>
  </conditionalFormatting>
  <conditionalFormatting sqref="U84:U87">
    <cfRule type="expression" dxfId="218" priority="219">
      <formula>$U84&gt;=0.25</formula>
    </cfRule>
  </conditionalFormatting>
  <conditionalFormatting sqref="T88">
    <cfRule type="expression" dxfId="217" priority="218">
      <formula>$U88&lt;0.25</formula>
    </cfRule>
  </conditionalFormatting>
  <conditionalFormatting sqref="U88">
    <cfRule type="expression" dxfId="216" priority="217">
      <formula>$U88&gt;=0.25</formula>
    </cfRule>
  </conditionalFormatting>
  <conditionalFormatting sqref="T90">
    <cfRule type="expression" dxfId="215" priority="216">
      <formula>$U90&lt;0.25</formula>
    </cfRule>
  </conditionalFormatting>
  <conditionalFormatting sqref="U90">
    <cfRule type="expression" dxfId="214" priority="215">
      <formula>$U90&gt;=0.25</formula>
    </cfRule>
  </conditionalFormatting>
  <conditionalFormatting sqref="T92">
    <cfRule type="expression" dxfId="213" priority="214">
      <formula>$U92&lt;0.25</formula>
    </cfRule>
  </conditionalFormatting>
  <conditionalFormatting sqref="U92">
    <cfRule type="expression" dxfId="212" priority="213">
      <formula>$U92&gt;=0.25</formula>
    </cfRule>
  </conditionalFormatting>
  <conditionalFormatting sqref="T93">
    <cfRule type="expression" dxfId="211" priority="212">
      <formula>$U93&lt;0.25</formula>
    </cfRule>
  </conditionalFormatting>
  <conditionalFormatting sqref="U93">
    <cfRule type="expression" dxfId="210" priority="211">
      <formula>$U93&gt;=0.25</formula>
    </cfRule>
  </conditionalFormatting>
  <conditionalFormatting sqref="T94">
    <cfRule type="expression" dxfId="209" priority="210">
      <formula>$U94&lt;0.25</formula>
    </cfRule>
  </conditionalFormatting>
  <conditionalFormatting sqref="U94">
    <cfRule type="expression" dxfId="208" priority="209">
      <formula>$U94&gt;=0.25</formula>
    </cfRule>
  </conditionalFormatting>
  <conditionalFormatting sqref="T95">
    <cfRule type="expression" dxfId="207" priority="208">
      <formula>$U95&lt;0.25</formula>
    </cfRule>
  </conditionalFormatting>
  <conditionalFormatting sqref="U95">
    <cfRule type="expression" dxfId="206" priority="207">
      <formula>$U95&gt;=0.25</formula>
    </cfRule>
  </conditionalFormatting>
  <conditionalFormatting sqref="T96">
    <cfRule type="expression" dxfId="205" priority="206">
      <formula>$U96&lt;0.25</formula>
    </cfRule>
  </conditionalFormatting>
  <conditionalFormatting sqref="U96">
    <cfRule type="expression" dxfId="204" priority="205">
      <formula>$U96&gt;=0.25</formula>
    </cfRule>
  </conditionalFormatting>
  <conditionalFormatting sqref="T97">
    <cfRule type="expression" dxfId="203" priority="204">
      <formula>$U97&lt;0.25</formula>
    </cfRule>
  </conditionalFormatting>
  <conditionalFormatting sqref="U97">
    <cfRule type="expression" dxfId="202" priority="203">
      <formula>$U97&gt;=0.25</formula>
    </cfRule>
  </conditionalFormatting>
  <conditionalFormatting sqref="T98">
    <cfRule type="expression" dxfId="201" priority="202">
      <formula>$U98&lt;0.25</formula>
    </cfRule>
  </conditionalFormatting>
  <conditionalFormatting sqref="U98">
    <cfRule type="expression" dxfId="200" priority="201">
      <formula>$U98&gt;=0.25</formula>
    </cfRule>
  </conditionalFormatting>
  <conditionalFormatting sqref="T100">
    <cfRule type="expression" dxfId="199" priority="200">
      <formula>$U100&lt;0.25</formula>
    </cfRule>
  </conditionalFormatting>
  <conditionalFormatting sqref="U100">
    <cfRule type="expression" dxfId="198" priority="199">
      <formula>$U100&gt;=0.25</formula>
    </cfRule>
  </conditionalFormatting>
  <conditionalFormatting sqref="T101:T103">
    <cfRule type="expression" dxfId="197" priority="198">
      <formula>$U101&lt;0.25</formula>
    </cfRule>
  </conditionalFormatting>
  <conditionalFormatting sqref="U101:U103">
    <cfRule type="expression" dxfId="196" priority="197">
      <formula>$U101&gt;=0.25</formula>
    </cfRule>
  </conditionalFormatting>
  <conditionalFormatting sqref="T105">
    <cfRule type="expression" dxfId="195" priority="196">
      <formula>$U105&lt;0.25</formula>
    </cfRule>
  </conditionalFormatting>
  <conditionalFormatting sqref="U105">
    <cfRule type="expression" dxfId="194" priority="195">
      <formula>$U105&gt;=0.25</formula>
    </cfRule>
  </conditionalFormatting>
  <conditionalFormatting sqref="T107:T109">
    <cfRule type="expression" dxfId="193" priority="194">
      <formula>$U107&lt;0.25</formula>
    </cfRule>
  </conditionalFormatting>
  <conditionalFormatting sqref="U107:U109">
    <cfRule type="expression" dxfId="192" priority="193">
      <formula>$U107&gt;=0.25</formula>
    </cfRule>
  </conditionalFormatting>
  <conditionalFormatting sqref="T110">
    <cfRule type="expression" dxfId="191" priority="192">
      <formula>$U110&lt;0.25</formula>
    </cfRule>
  </conditionalFormatting>
  <conditionalFormatting sqref="U110">
    <cfRule type="expression" dxfId="190" priority="191">
      <formula>$U110&gt;=0.25</formula>
    </cfRule>
  </conditionalFormatting>
  <conditionalFormatting sqref="T111">
    <cfRule type="expression" dxfId="189" priority="190">
      <formula>$U111&lt;0.25</formula>
    </cfRule>
  </conditionalFormatting>
  <conditionalFormatting sqref="U111">
    <cfRule type="expression" dxfId="188" priority="189">
      <formula>$U111&gt;=0.25</formula>
    </cfRule>
  </conditionalFormatting>
  <conditionalFormatting sqref="T113:T114">
    <cfRule type="expression" dxfId="187" priority="188">
      <formula>$U113&lt;0.25</formula>
    </cfRule>
  </conditionalFormatting>
  <conditionalFormatting sqref="U113:U114">
    <cfRule type="expression" dxfId="186" priority="187">
      <formula>$U113&gt;=0.25</formula>
    </cfRule>
  </conditionalFormatting>
  <conditionalFormatting sqref="T116:T117">
    <cfRule type="expression" dxfId="185" priority="186">
      <formula>$U116&lt;0.25</formula>
    </cfRule>
  </conditionalFormatting>
  <conditionalFormatting sqref="U116:U117">
    <cfRule type="expression" dxfId="184" priority="185">
      <formula>$U116&gt;=0.25</formula>
    </cfRule>
  </conditionalFormatting>
  <conditionalFormatting sqref="T118:T123">
    <cfRule type="expression" dxfId="183" priority="184">
      <formula>$U118&lt;0.25</formula>
    </cfRule>
  </conditionalFormatting>
  <conditionalFormatting sqref="U118:U123">
    <cfRule type="expression" dxfId="182" priority="183">
      <formula>$U118&gt;=0.25</formula>
    </cfRule>
  </conditionalFormatting>
  <conditionalFormatting sqref="T125:T126">
    <cfRule type="expression" dxfId="181" priority="182">
      <formula>$U125&lt;0.25</formula>
    </cfRule>
  </conditionalFormatting>
  <conditionalFormatting sqref="U125:U126">
    <cfRule type="expression" dxfId="180" priority="181">
      <formula>$U125&gt;=0.25</formula>
    </cfRule>
  </conditionalFormatting>
  <conditionalFormatting sqref="T127">
    <cfRule type="expression" dxfId="179" priority="180">
      <formula>$U127&lt;0.25</formula>
    </cfRule>
  </conditionalFormatting>
  <conditionalFormatting sqref="U127">
    <cfRule type="expression" dxfId="178" priority="179">
      <formula>$U127&gt;=0.25</formula>
    </cfRule>
  </conditionalFormatting>
  <conditionalFormatting sqref="T128:T132">
    <cfRule type="expression" dxfId="177" priority="178">
      <formula>$U128&lt;0.25</formula>
    </cfRule>
  </conditionalFormatting>
  <conditionalFormatting sqref="U128:U132">
    <cfRule type="expression" dxfId="176" priority="177">
      <formula>$U128&gt;=0.25</formula>
    </cfRule>
  </conditionalFormatting>
  <conditionalFormatting sqref="T133:T136">
    <cfRule type="expression" dxfId="175" priority="176">
      <formula>$U133&lt;0.25</formula>
    </cfRule>
  </conditionalFormatting>
  <conditionalFormatting sqref="U133:U136">
    <cfRule type="expression" dxfId="174" priority="175">
      <formula>$U133&gt;=0.25</formula>
    </cfRule>
  </conditionalFormatting>
  <conditionalFormatting sqref="T137">
    <cfRule type="expression" dxfId="173" priority="174">
      <formula>$U137&lt;0.25</formula>
    </cfRule>
  </conditionalFormatting>
  <conditionalFormatting sqref="U137">
    <cfRule type="expression" dxfId="172" priority="173">
      <formula>$U137&gt;=0.25</formula>
    </cfRule>
  </conditionalFormatting>
  <conditionalFormatting sqref="T139">
    <cfRule type="expression" dxfId="171" priority="172">
      <formula>$U139&lt;0.25</formula>
    </cfRule>
  </conditionalFormatting>
  <conditionalFormatting sqref="U139">
    <cfRule type="expression" dxfId="170" priority="171">
      <formula>$U139&gt;=0.25</formula>
    </cfRule>
  </conditionalFormatting>
  <conditionalFormatting sqref="T140:T141">
    <cfRule type="expression" dxfId="169" priority="170">
      <formula>$U140&lt;0.25</formula>
    </cfRule>
  </conditionalFormatting>
  <conditionalFormatting sqref="U140:U141">
    <cfRule type="expression" dxfId="168" priority="169">
      <formula>$U140&gt;=0.25</formula>
    </cfRule>
  </conditionalFormatting>
  <conditionalFormatting sqref="T142:T143">
    <cfRule type="expression" dxfId="167" priority="168">
      <formula>$U142&lt;0.25</formula>
    </cfRule>
  </conditionalFormatting>
  <conditionalFormatting sqref="U142:U143">
    <cfRule type="expression" dxfId="166" priority="167">
      <formula>$U142&gt;=0.25</formula>
    </cfRule>
  </conditionalFormatting>
  <conditionalFormatting sqref="T145:T149">
    <cfRule type="expression" dxfId="165" priority="166">
      <formula>$U145&lt;0.25</formula>
    </cfRule>
  </conditionalFormatting>
  <conditionalFormatting sqref="U145:U149">
    <cfRule type="expression" dxfId="164" priority="165">
      <formula>$U145&gt;=0.25</formula>
    </cfRule>
  </conditionalFormatting>
  <conditionalFormatting sqref="T150:T155">
    <cfRule type="expression" dxfId="163" priority="164">
      <formula>$U150&lt;0.25</formula>
    </cfRule>
  </conditionalFormatting>
  <conditionalFormatting sqref="U150:U155">
    <cfRule type="expression" dxfId="162" priority="163">
      <formula>$U150&gt;=0.25</formula>
    </cfRule>
  </conditionalFormatting>
  <conditionalFormatting sqref="T157:T159">
    <cfRule type="expression" dxfId="161" priority="162">
      <formula>$U157&lt;0.25</formula>
    </cfRule>
  </conditionalFormatting>
  <conditionalFormatting sqref="U157:U159">
    <cfRule type="expression" dxfId="160" priority="161">
      <formula>$U157&gt;=0.25</formula>
    </cfRule>
  </conditionalFormatting>
  <conditionalFormatting sqref="T160:T163">
    <cfRule type="expression" dxfId="159" priority="160">
      <formula>$U160&lt;0.25</formula>
    </cfRule>
  </conditionalFormatting>
  <conditionalFormatting sqref="U160:U163">
    <cfRule type="expression" dxfId="158" priority="159">
      <formula>$U160&gt;=0.25</formula>
    </cfRule>
  </conditionalFormatting>
  <conditionalFormatting sqref="T164">
    <cfRule type="expression" dxfId="157" priority="158">
      <formula>$U164&lt;0.25</formula>
    </cfRule>
  </conditionalFormatting>
  <conditionalFormatting sqref="U164">
    <cfRule type="expression" dxfId="156" priority="157">
      <formula>$U164&gt;=0.25</formula>
    </cfRule>
  </conditionalFormatting>
  <conditionalFormatting sqref="T165">
    <cfRule type="expression" dxfId="155" priority="156">
      <formula>$U165&lt;0.25</formula>
    </cfRule>
  </conditionalFormatting>
  <conditionalFormatting sqref="U165">
    <cfRule type="expression" dxfId="154" priority="155">
      <formula>$U165&gt;=0.25</formula>
    </cfRule>
  </conditionalFormatting>
  <conditionalFormatting sqref="T167">
    <cfRule type="expression" dxfId="153" priority="154">
      <formula>$U167&lt;0.25</formula>
    </cfRule>
  </conditionalFormatting>
  <conditionalFormatting sqref="U167">
    <cfRule type="expression" dxfId="152" priority="153">
      <formula>$U167&gt;=0.25</formula>
    </cfRule>
  </conditionalFormatting>
  <conditionalFormatting sqref="T168">
    <cfRule type="expression" dxfId="151" priority="152">
      <formula>$U168&lt;0.25</formula>
    </cfRule>
  </conditionalFormatting>
  <conditionalFormatting sqref="U168">
    <cfRule type="expression" dxfId="150" priority="151">
      <formula>$U168&gt;=0.25</formula>
    </cfRule>
  </conditionalFormatting>
  <conditionalFormatting sqref="T169">
    <cfRule type="expression" dxfId="149" priority="150">
      <formula>$U169&lt;0.25</formula>
    </cfRule>
  </conditionalFormatting>
  <conditionalFormatting sqref="U169">
    <cfRule type="expression" dxfId="148" priority="149">
      <formula>$U169&gt;=0.25</formula>
    </cfRule>
  </conditionalFormatting>
  <conditionalFormatting sqref="T171:T172">
    <cfRule type="expression" dxfId="147" priority="148">
      <formula>$U171&lt;0.25</formula>
    </cfRule>
  </conditionalFormatting>
  <conditionalFormatting sqref="U171:U172">
    <cfRule type="expression" dxfId="146" priority="147">
      <formula>$U171&gt;=0.25</formula>
    </cfRule>
  </conditionalFormatting>
  <conditionalFormatting sqref="T174:T175">
    <cfRule type="expression" dxfId="145" priority="146">
      <formula>$U174&lt;0.25</formula>
    </cfRule>
  </conditionalFormatting>
  <conditionalFormatting sqref="U174:U175">
    <cfRule type="expression" dxfId="144" priority="145">
      <formula>$U174&gt;=0.25</formula>
    </cfRule>
  </conditionalFormatting>
  <conditionalFormatting sqref="T177:T180">
    <cfRule type="expression" dxfId="143" priority="144">
      <formula>$U177&lt;0.25</formula>
    </cfRule>
  </conditionalFormatting>
  <conditionalFormatting sqref="U177:U180">
    <cfRule type="expression" dxfId="142" priority="143">
      <formula>$U177&gt;=0.25</formula>
    </cfRule>
  </conditionalFormatting>
  <conditionalFormatting sqref="T181">
    <cfRule type="expression" dxfId="141" priority="142">
      <formula>$U181&lt;0.25</formula>
    </cfRule>
  </conditionalFormatting>
  <conditionalFormatting sqref="U181">
    <cfRule type="expression" dxfId="140" priority="141">
      <formula>$U181&gt;=0.25</formula>
    </cfRule>
  </conditionalFormatting>
  <conditionalFormatting sqref="T182">
    <cfRule type="expression" dxfId="139" priority="140">
      <formula>$U182&lt;0.25</formula>
    </cfRule>
  </conditionalFormatting>
  <conditionalFormatting sqref="U182">
    <cfRule type="expression" dxfId="138" priority="139">
      <formula>$U182&gt;=0.25</formula>
    </cfRule>
  </conditionalFormatting>
  <conditionalFormatting sqref="T184:T186">
    <cfRule type="expression" dxfId="137" priority="138">
      <formula>$U184&lt;0.25</formula>
    </cfRule>
  </conditionalFormatting>
  <conditionalFormatting sqref="U184:U186">
    <cfRule type="expression" dxfId="136" priority="137">
      <formula>$U184&gt;=0.25</formula>
    </cfRule>
  </conditionalFormatting>
  <conditionalFormatting sqref="T187:T190">
    <cfRule type="expression" dxfId="135" priority="136">
      <formula>$U187&lt;0.25</formula>
    </cfRule>
  </conditionalFormatting>
  <conditionalFormatting sqref="U187:U190">
    <cfRule type="expression" dxfId="134" priority="135">
      <formula>$U187&gt;=0.25</formula>
    </cfRule>
  </conditionalFormatting>
  <conditionalFormatting sqref="T191:T192">
    <cfRule type="expression" dxfId="133" priority="134">
      <formula>$U191&lt;0.25</formula>
    </cfRule>
  </conditionalFormatting>
  <conditionalFormatting sqref="U191:U192">
    <cfRule type="expression" dxfId="132" priority="133">
      <formula>$U191&gt;=0.25</formula>
    </cfRule>
  </conditionalFormatting>
  <conditionalFormatting sqref="T193">
    <cfRule type="expression" dxfId="131" priority="132">
      <formula>$U193&lt;0.25</formula>
    </cfRule>
  </conditionalFormatting>
  <conditionalFormatting sqref="U193">
    <cfRule type="expression" dxfId="130" priority="131">
      <formula>$U193&gt;=0.25</formula>
    </cfRule>
  </conditionalFormatting>
  <conditionalFormatting sqref="T194">
    <cfRule type="expression" dxfId="129" priority="130">
      <formula>$U194&lt;0.25</formula>
    </cfRule>
  </conditionalFormatting>
  <conditionalFormatting sqref="U194">
    <cfRule type="expression" dxfId="128" priority="129">
      <formula>$U194&gt;=0.25</formula>
    </cfRule>
  </conditionalFormatting>
  <conditionalFormatting sqref="T196:T197">
    <cfRule type="expression" dxfId="127" priority="128">
      <formula>$U196&lt;0.25</formula>
    </cfRule>
  </conditionalFormatting>
  <conditionalFormatting sqref="U196:U197">
    <cfRule type="expression" dxfId="126" priority="127">
      <formula>$U196&gt;=0.25</formula>
    </cfRule>
  </conditionalFormatting>
  <conditionalFormatting sqref="T198:T199">
    <cfRule type="expression" dxfId="125" priority="126">
      <formula>$U198&lt;0.25</formula>
    </cfRule>
  </conditionalFormatting>
  <conditionalFormatting sqref="U198:U199">
    <cfRule type="expression" dxfId="124" priority="125">
      <formula>$U198&gt;=0.25</formula>
    </cfRule>
  </conditionalFormatting>
  <conditionalFormatting sqref="T200">
    <cfRule type="expression" dxfId="123" priority="124">
      <formula>$U200&lt;0.25</formula>
    </cfRule>
  </conditionalFormatting>
  <conditionalFormatting sqref="U200">
    <cfRule type="expression" dxfId="122" priority="123">
      <formula>$U200&gt;=0.25</formula>
    </cfRule>
  </conditionalFormatting>
  <conditionalFormatting sqref="T201:T202">
    <cfRule type="expression" dxfId="121" priority="122">
      <formula>$U201&lt;0.25</formula>
    </cfRule>
  </conditionalFormatting>
  <conditionalFormatting sqref="U201:U202">
    <cfRule type="expression" dxfId="120" priority="121">
      <formula>$U201&gt;=0.25</formula>
    </cfRule>
  </conditionalFormatting>
  <conditionalFormatting sqref="T204:T205">
    <cfRule type="expression" dxfId="119" priority="120">
      <formula>$U204&lt;0.25</formula>
    </cfRule>
  </conditionalFormatting>
  <conditionalFormatting sqref="U204:U205">
    <cfRule type="expression" dxfId="118" priority="119">
      <formula>$U204&gt;=0.25</formula>
    </cfRule>
  </conditionalFormatting>
  <conditionalFormatting sqref="T206">
    <cfRule type="expression" dxfId="117" priority="118">
      <formula>$U206&lt;0.25</formula>
    </cfRule>
  </conditionalFormatting>
  <conditionalFormatting sqref="U206">
    <cfRule type="expression" dxfId="116" priority="117">
      <formula>$U206&gt;=0.25</formula>
    </cfRule>
  </conditionalFormatting>
  <conditionalFormatting sqref="T207:T208">
    <cfRule type="expression" dxfId="115" priority="116">
      <formula>$U207&lt;0.25</formula>
    </cfRule>
  </conditionalFormatting>
  <conditionalFormatting sqref="U207:U208">
    <cfRule type="expression" dxfId="114" priority="115">
      <formula>$U207&gt;=0.25</formula>
    </cfRule>
  </conditionalFormatting>
  <conditionalFormatting sqref="T209">
    <cfRule type="expression" dxfId="113" priority="114">
      <formula>$U209&lt;0.25</formula>
    </cfRule>
  </conditionalFormatting>
  <conditionalFormatting sqref="U209">
    <cfRule type="expression" dxfId="112" priority="113">
      <formula>$U209&gt;=0.25</formula>
    </cfRule>
  </conditionalFormatting>
  <conditionalFormatting sqref="T211">
    <cfRule type="expression" dxfId="111" priority="112">
      <formula>$U211&lt;0.25</formula>
    </cfRule>
  </conditionalFormatting>
  <conditionalFormatting sqref="U211">
    <cfRule type="expression" dxfId="110" priority="111">
      <formula>$U211&gt;=0.25</formula>
    </cfRule>
  </conditionalFormatting>
  <conditionalFormatting sqref="T213:T214">
    <cfRule type="expression" dxfId="109" priority="110">
      <formula>$U213&lt;0.25</formula>
    </cfRule>
  </conditionalFormatting>
  <conditionalFormatting sqref="U213:U214">
    <cfRule type="expression" dxfId="108" priority="109">
      <formula>$U213&gt;=0.25</formula>
    </cfRule>
  </conditionalFormatting>
  <conditionalFormatting sqref="T215">
    <cfRule type="expression" dxfId="107" priority="108">
      <formula>$U215&lt;0.25</formula>
    </cfRule>
  </conditionalFormatting>
  <conditionalFormatting sqref="U215">
    <cfRule type="expression" dxfId="106" priority="107">
      <formula>$U215&gt;=0.25</formula>
    </cfRule>
  </conditionalFormatting>
  <conditionalFormatting sqref="T217:T224">
    <cfRule type="expression" dxfId="105" priority="106">
      <formula>$U217&lt;0.25</formula>
    </cfRule>
  </conditionalFormatting>
  <conditionalFormatting sqref="U217:U224">
    <cfRule type="expression" dxfId="104" priority="105">
      <formula>$U217&gt;=0.25</formula>
    </cfRule>
  </conditionalFormatting>
  <conditionalFormatting sqref="T225">
    <cfRule type="expression" dxfId="103" priority="104">
      <formula>$U225&lt;0.25</formula>
    </cfRule>
  </conditionalFormatting>
  <conditionalFormatting sqref="U225">
    <cfRule type="expression" dxfId="102" priority="103">
      <formula>$U225&gt;=0.25</formula>
    </cfRule>
  </conditionalFormatting>
  <conditionalFormatting sqref="T226">
    <cfRule type="expression" dxfId="101" priority="102">
      <formula>$U226&lt;0.25</formula>
    </cfRule>
  </conditionalFormatting>
  <conditionalFormatting sqref="U226">
    <cfRule type="expression" dxfId="100" priority="101">
      <formula>$U226&gt;=0.25</formula>
    </cfRule>
  </conditionalFormatting>
  <conditionalFormatting sqref="T227">
    <cfRule type="expression" dxfId="99" priority="100">
      <formula>$U227&lt;0.25</formula>
    </cfRule>
  </conditionalFormatting>
  <conditionalFormatting sqref="U227">
    <cfRule type="expression" dxfId="98" priority="99">
      <formula>$U227&gt;=0.25</formula>
    </cfRule>
  </conditionalFormatting>
  <conditionalFormatting sqref="T228">
    <cfRule type="expression" dxfId="97" priority="98">
      <formula>$U228&lt;0.25</formula>
    </cfRule>
  </conditionalFormatting>
  <conditionalFormatting sqref="U228">
    <cfRule type="expression" dxfId="96" priority="97">
      <formula>$U228&gt;=0.25</formula>
    </cfRule>
  </conditionalFormatting>
  <conditionalFormatting sqref="T230">
    <cfRule type="expression" dxfId="95" priority="96">
      <formula>$U230&lt;0.25</formula>
    </cfRule>
  </conditionalFormatting>
  <conditionalFormatting sqref="U230">
    <cfRule type="expression" dxfId="94" priority="95">
      <formula>$U230&gt;=0.25</formula>
    </cfRule>
  </conditionalFormatting>
  <conditionalFormatting sqref="T231">
    <cfRule type="expression" dxfId="93" priority="94">
      <formula>$U231&lt;0.25</formula>
    </cfRule>
  </conditionalFormatting>
  <conditionalFormatting sqref="U231">
    <cfRule type="expression" dxfId="92" priority="93">
      <formula>$U231&gt;=0.25</formula>
    </cfRule>
  </conditionalFormatting>
  <conditionalFormatting sqref="T233:T234">
    <cfRule type="expression" dxfId="91" priority="92">
      <formula>$U233&lt;0.25</formula>
    </cfRule>
  </conditionalFormatting>
  <conditionalFormatting sqref="U233:U234">
    <cfRule type="expression" dxfId="90" priority="91">
      <formula>$U233&gt;=0.25</formula>
    </cfRule>
  </conditionalFormatting>
  <conditionalFormatting sqref="T235">
    <cfRule type="expression" dxfId="89" priority="90">
      <formula>$U235&lt;0.25</formula>
    </cfRule>
  </conditionalFormatting>
  <conditionalFormatting sqref="U235">
    <cfRule type="expression" dxfId="88" priority="89">
      <formula>$U235&gt;=0.25</formula>
    </cfRule>
  </conditionalFormatting>
  <conditionalFormatting sqref="T236:T237">
    <cfRule type="expression" dxfId="87" priority="88">
      <formula>$U236&lt;0.25</formula>
    </cfRule>
  </conditionalFormatting>
  <conditionalFormatting sqref="U236:U237">
    <cfRule type="expression" dxfId="86" priority="87">
      <formula>$U236&gt;=0.25</formula>
    </cfRule>
  </conditionalFormatting>
  <conditionalFormatting sqref="T238">
    <cfRule type="expression" dxfId="85" priority="86">
      <formula>$U238&lt;0.25</formula>
    </cfRule>
  </conditionalFormatting>
  <conditionalFormatting sqref="U238">
    <cfRule type="expression" dxfId="84" priority="85">
      <formula>$U238&gt;=0.25</formula>
    </cfRule>
  </conditionalFormatting>
  <conditionalFormatting sqref="T240:T241">
    <cfRule type="expression" dxfId="83" priority="84">
      <formula>$U240&lt;0.25</formula>
    </cfRule>
  </conditionalFormatting>
  <conditionalFormatting sqref="U240:U241">
    <cfRule type="expression" dxfId="82" priority="83">
      <formula>$U240&gt;=0.25</formula>
    </cfRule>
  </conditionalFormatting>
  <conditionalFormatting sqref="T242 T246">
    <cfRule type="expression" dxfId="81" priority="82">
      <formula>$U242&lt;0.25</formula>
    </cfRule>
  </conditionalFormatting>
  <conditionalFormatting sqref="U242 U246">
    <cfRule type="expression" dxfId="80" priority="81">
      <formula>$U242&gt;=0.25</formula>
    </cfRule>
  </conditionalFormatting>
  <conditionalFormatting sqref="T247">
    <cfRule type="expression" dxfId="79" priority="80">
      <formula>$U247&lt;0.25</formula>
    </cfRule>
  </conditionalFormatting>
  <conditionalFormatting sqref="U247">
    <cfRule type="expression" dxfId="78" priority="79">
      <formula>$U247&gt;=0.25</formula>
    </cfRule>
  </conditionalFormatting>
  <conditionalFormatting sqref="T249:T263">
    <cfRule type="expression" dxfId="77" priority="78">
      <formula>$U249&lt;0.25</formula>
    </cfRule>
  </conditionalFormatting>
  <conditionalFormatting sqref="U249:U263">
    <cfRule type="expression" dxfId="76" priority="77">
      <formula>$U249&gt;=0.25</formula>
    </cfRule>
  </conditionalFormatting>
  <conditionalFormatting sqref="T264:T269">
    <cfRule type="expression" dxfId="75" priority="76">
      <formula>$U264&lt;0.25</formula>
    </cfRule>
  </conditionalFormatting>
  <conditionalFormatting sqref="U264:U269">
    <cfRule type="expression" dxfId="74" priority="75">
      <formula>$U264&gt;=0.25</formula>
    </cfRule>
  </conditionalFormatting>
  <conditionalFormatting sqref="T270">
    <cfRule type="expression" dxfId="73" priority="74">
      <formula>$U270&lt;0.25</formula>
    </cfRule>
  </conditionalFormatting>
  <conditionalFormatting sqref="U270">
    <cfRule type="expression" dxfId="72" priority="73">
      <formula>$U270&gt;=0.25</formula>
    </cfRule>
  </conditionalFormatting>
  <conditionalFormatting sqref="T271:T273">
    <cfRule type="expression" dxfId="71" priority="72">
      <formula>$U271&lt;0.25</formula>
    </cfRule>
  </conditionalFormatting>
  <conditionalFormatting sqref="U271:U273">
    <cfRule type="expression" dxfId="70" priority="71">
      <formula>$U271&gt;=0.25</formula>
    </cfRule>
  </conditionalFormatting>
  <conditionalFormatting sqref="T275:T285">
    <cfRule type="expression" dxfId="69" priority="70">
      <formula>$U275&lt;0.25</formula>
    </cfRule>
  </conditionalFormatting>
  <conditionalFormatting sqref="U275:U285">
    <cfRule type="expression" dxfId="68" priority="69">
      <formula>$U275&gt;=0.25</formula>
    </cfRule>
  </conditionalFormatting>
  <conditionalFormatting sqref="T287:T290">
    <cfRule type="expression" dxfId="67" priority="68">
      <formula>$U287&lt;0.25</formula>
    </cfRule>
  </conditionalFormatting>
  <conditionalFormatting sqref="U287:U290">
    <cfRule type="expression" dxfId="66" priority="67">
      <formula>$U287&gt;=0.25</formula>
    </cfRule>
  </conditionalFormatting>
  <conditionalFormatting sqref="T292:T294">
    <cfRule type="expression" dxfId="65" priority="66">
      <formula>$U292&lt;0.25</formula>
    </cfRule>
  </conditionalFormatting>
  <conditionalFormatting sqref="U292:U294">
    <cfRule type="expression" dxfId="64" priority="65">
      <formula>$U292&gt;=0.25</formula>
    </cfRule>
  </conditionalFormatting>
  <conditionalFormatting sqref="T296">
    <cfRule type="expression" dxfId="63" priority="64">
      <formula>$U296&lt;0.25</formula>
    </cfRule>
  </conditionalFormatting>
  <conditionalFormatting sqref="U296">
    <cfRule type="expression" dxfId="62" priority="63">
      <formula>$U296&gt;=0.25</formula>
    </cfRule>
  </conditionalFormatting>
  <conditionalFormatting sqref="T298">
    <cfRule type="expression" dxfId="61" priority="62">
      <formula>$U298&lt;0.25</formula>
    </cfRule>
  </conditionalFormatting>
  <conditionalFormatting sqref="U298">
    <cfRule type="expression" dxfId="60" priority="61">
      <formula>$U298&gt;=0.25</formula>
    </cfRule>
  </conditionalFormatting>
  <conditionalFormatting sqref="T300:T304">
    <cfRule type="expression" dxfId="59" priority="60">
      <formula>$U300&lt;0.25</formula>
    </cfRule>
  </conditionalFormatting>
  <conditionalFormatting sqref="U300:U304">
    <cfRule type="expression" dxfId="58" priority="59">
      <formula>$U300&gt;=0.25</formula>
    </cfRule>
  </conditionalFormatting>
  <conditionalFormatting sqref="T306:T308">
    <cfRule type="expression" dxfId="57" priority="58">
      <formula>$U306&lt;0.25</formula>
    </cfRule>
  </conditionalFormatting>
  <conditionalFormatting sqref="U306:U308">
    <cfRule type="expression" dxfId="56" priority="57">
      <formula>$U306&gt;=0.25</formula>
    </cfRule>
  </conditionalFormatting>
  <conditionalFormatting sqref="T309:T311">
    <cfRule type="expression" dxfId="55" priority="56">
      <formula>$U309&lt;0.25</formula>
    </cfRule>
  </conditionalFormatting>
  <conditionalFormatting sqref="U309:U311">
    <cfRule type="expression" dxfId="54" priority="55">
      <formula>$U309&gt;=0.25</formula>
    </cfRule>
  </conditionalFormatting>
  <conditionalFormatting sqref="T312:T313">
    <cfRule type="expression" dxfId="53" priority="54">
      <formula>$U312&lt;0.25</formula>
    </cfRule>
  </conditionalFormatting>
  <conditionalFormatting sqref="U312:U313">
    <cfRule type="expression" dxfId="52" priority="53">
      <formula>$U312&gt;=0.25</formula>
    </cfRule>
  </conditionalFormatting>
  <conditionalFormatting sqref="T314">
    <cfRule type="expression" dxfId="51" priority="52">
      <formula>$U314&lt;0.25</formula>
    </cfRule>
  </conditionalFormatting>
  <conditionalFormatting sqref="U314">
    <cfRule type="expression" dxfId="50" priority="51">
      <formula>$U314&gt;=0.25</formula>
    </cfRule>
  </conditionalFormatting>
  <conditionalFormatting sqref="T316">
    <cfRule type="expression" dxfId="49" priority="50">
      <formula>$U316&lt;0.25</formula>
    </cfRule>
  </conditionalFormatting>
  <conditionalFormatting sqref="U316">
    <cfRule type="expression" dxfId="48" priority="49">
      <formula>$U316&gt;=0.25</formula>
    </cfRule>
  </conditionalFormatting>
  <conditionalFormatting sqref="T318">
    <cfRule type="expression" dxfId="47" priority="48">
      <formula>$U318&lt;0.25</formula>
    </cfRule>
  </conditionalFormatting>
  <conditionalFormatting sqref="U318">
    <cfRule type="expression" dxfId="46" priority="47">
      <formula>$U318&gt;=0.25</formula>
    </cfRule>
  </conditionalFormatting>
  <conditionalFormatting sqref="T320">
    <cfRule type="expression" dxfId="45" priority="46">
      <formula>$U320&lt;0.25</formula>
    </cfRule>
  </conditionalFormatting>
  <conditionalFormatting sqref="U320">
    <cfRule type="expression" dxfId="44" priority="45">
      <formula>$U320&gt;=0.25</formula>
    </cfRule>
  </conditionalFormatting>
  <conditionalFormatting sqref="T322">
    <cfRule type="expression" dxfId="43" priority="44">
      <formula>$U322&lt;0.25</formula>
    </cfRule>
  </conditionalFormatting>
  <conditionalFormatting sqref="U322">
    <cfRule type="expression" dxfId="42" priority="43">
      <formula>$U322&gt;=0.25</formula>
    </cfRule>
  </conditionalFormatting>
  <conditionalFormatting sqref="T324">
    <cfRule type="expression" dxfId="41" priority="42">
      <formula>$U324&lt;0.25</formula>
    </cfRule>
  </conditionalFormatting>
  <conditionalFormatting sqref="U324">
    <cfRule type="expression" dxfId="40" priority="41">
      <formula>$U324&gt;=0.25</formula>
    </cfRule>
  </conditionalFormatting>
  <conditionalFormatting sqref="T326">
    <cfRule type="expression" dxfId="39" priority="40">
      <formula>$U326&lt;0.25</formula>
    </cfRule>
  </conditionalFormatting>
  <conditionalFormatting sqref="U326">
    <cfRule type="expression" dxfId="38" priority="39">
      <formula>$U326&gt;=0.25</formula>
    </cfRule>
  </conditionalFormatting>
  <conditionalFormatting sqref="T328:T329">
    <cfRule type="expression" dxfId="37" priority="38">
      <formula>$U328&lt;0.25</formula>
    </cfRule>
  </conditionalFormatting>
  <conditionalFormatting sqref="U328:U329">
    <cfRule type="expression" dxfId="36" priority="37">
      <formula>$U328&gt;=0.25</formula>
    </cfRule>
  </conditionalFormatting>
  <conditionalFormatting sqref="T331:T332">
    <cfRule type="expression" dxfId="35" priority="36">
      <formula>$U331&lt;0.25</formula>
    </cfRule>
  </conditionalFormatting>
  <conditionalFormatting sqref="U331:U332">
    <cfRule type="expression" dxfId="34" priority="35">
      <formula>$U331&gt;=0.25</formula>
    </cfRule>
  </conditionalFormatting>
  <conditionalFormatting sqref="T334">
    <cfRule type="expression" dxfId="33" priority="34">
      <formula>$U334&lt;0.25</formula>
    </cfRule>
  </conditionalFormatting>
  <conditionalFormatting sqref="U334">
    <cfRule type="expression" dxfId="32" priority="33">
      <formula>$U334&gt;=0.25</formula>
    </cfRule>
  </conditionalFormatting>
  <conditionalFormatting sqref="T336">
    <cfRule type="expression" dxfId="31" priority="32">
      <formula>$U336&lt;0.25</formula>
    </cfRule>
  </conditionalFormatting>
  <conditionalFormatting sqref="U336">
    <cfRule type="expression" dxfId="30" priority="31">
      <formula>$U336&gt;=0.25</formula>
    </cfRule>
  </conditionalFormatting>
  <conditionalFormatting sqref="T338">
    <cfRule type="expression" dxfId="29" priority="30">
      <formula>$U338&lt;0.25</formula>
    </cfRule>
  </conditionalFormatting>
  <conditionalFormatting sqref="U338">
    <cfRule type="expression" dxfId="28" priority="29">
      <formula>$U338&gt;=0.25</formula>
    </cfRule>
  </conditionalFormatting>
  <conditionalFormatting sqref="T339">
    <cfRule type="expression" dxfId="27" priority="28">
      <formula>$U339&lt;0.25</formula>
    </cfRule>
  </conditionalFormatting>
  <conditionalFormatting sqref="U339">
    <cfRule type="expression" dxfId="26" priority="27">
      <formula>$U339&gt;=0.25</formula>
    </cfRule>
  </conditionalFormatting>
  <conditionalFormatting sqref="T341:T342">
    <cfRule type="expression" dxfId="25" priority="26">
      <formula>$U341&lt;0.25</formula>
    </cfRule>
  </conditionalFormatting>
  <conditionalFormatting sqref="U341:U342">
    <cfRule type="expression" dxfId="24" priority="25">
      <formula>$U341&gt;=0.25</formula>
    </cfRule>
  </conditionalFormatting>
  <conditionalFormatting sqref="T344:T345">
    <cfRule type="expression" dxfId="23" priority="24">
      <formula>$U344&lt;0.25</formula>
    </cfRule>
  </conditionalFormatting>
  <conditionalFormatting sqref="U344:U345">
    <cfRule type="expression" dxfId="22" priority="23">
      <formula>$U344&gt;=0.25</formula>
    </cfRule>
  </conditionalFormatting>
  <conditionalFormatting sqref="T347">
    <cfRule type="expression" dxfId="21" priority="22">
      <formula>$U347&lt;0.25</formula>
    </cfRule>
  </conditionalFormatting>
  <conditionalFormatting sqref="U347">
    <cfRule type="expression" dxfId="20" priority="21">
      <formula>$U347&gt;=0.25</formula>
    </cfRule>
  </conditionalFormatting>
  <conditionalFormatting sqref="T104">
    <cfRule type="expression" dxfId="19" priority="20">
      <formula>$U104&lt;0.25</formula>
    </cfRule>
  </conditionalFormatting>
  <conditionalFormatting sqref="U104">
    <cfRule type="expression" dxfId="18" priority="19">
      <formula>$U104&gt;=0.25</formula>
    </cfRule>
  </conditionalFormatting>
  <conditionalFormatting sqref="T210">
    <cfRule type="expression" dxfId="17" priority="18">
      <formula>$U210&lt;0.25</formula>
    </cfRule>
  </conditionalFormatting>
  <conditionalFormatting sqref="U210">
    <cfRule type="expression" dxfId="16" priority="17">
      <formula>$U210&gt;=0.25</formula>
    </cfRule>
  </conditionalFormatting>
  <conditionalFormatting sqref="T26">
    <cfRule type="expression" dxfId="15" priority="16">
      <formula>$U26&lt;0.25</formula>
    </cfRule>
  </conditionalFormatting>
  <conditionalFormatting sqref="U26">
    <cfRule type="expression" dxfId="14" priority="15">
      <formula>$U26&gt;=0.25</formula>
    </cfRule>
  </conditionalFormatting>
  <conditionalFormatting sqref="T245">
    <cfRule type="expression" dxfId="13" priority="14">
      <formula>$U245&lt;0.25</formula>
    </cfRule>
  </conditionalFormatting>
  <conditionalFormatting sqref="U245">
    <cfRule type="expression" dxfId="12" priority="13">
      <formula>$U245&gt;=0.25</formula>
    </cfRule>
  </conditionalFormatting>
  <conditionalFormatting sqref="T243">
    <cfRule type="expression" dxfId="11" priority="12">
      <formula>$U243&lt;0.25</formula>
    </cfRule>
  </conditionalFormatting>
  <conditionalFormatting sqref="U243">
    <cfRule type="expression" dxfId="10" priority="11">
      <formula>$U243&gt;=0.25</formula>
    </cfRule>
  </conditionalFormatting>
  <conditionalFormatting sqref="T232">
    <cfRule type="expression" dxfId="9" priority="10">
      <formula>$U232&lt;0.25</formula>
    </cfRule>
  </conditionalFormatting>
  <conditionalFormatting sqref="U232">
    <cfRule type="expression" dxfId="8" priority="9">
      <formula>$U232&gt;=0.25</formula>
    </cfRule>
  </conditionalFormatting>
  <conditionalFormatting sqref="T229">
    <cfRule type="expression" dxfId="7" priority="8">
      <formula>$U229&lt;0.25</formula>
    </cfRule>
  </conditionalFormatting>
  <conditionalFormatting sqref="U229">
    <cfRule type="expression" dxfId="6" priority="7">
      <formula>$U229&gt;=0.25</formula>
    </cfRule>
  </conditionalFormatting>
  <conditionalFormatting sqref="T244">
    <cfRule type="expression" dxfId="5" priority="6">
      <formula>$U244&lt;0.25</formula>
    </cfRule>
  </conditionalFormatting>
  <conditionalFormatting sqref="U244">
    <cfRule type="expression" dxfId="4" priority="5">
      <formula>$U244&gt;=0.25</formula>
    </cfRule>
  </conditionalFormatting>
  <conditionalFormatting sqref="T203">
    <cfRule type="expression" dxfId="3" priority="4">
      <formula>$U203&lt;0.25</formula>
    </cfRule>
  </conditionalFormatting>
  <conditionalFormatting sqref="U203">
    <cfRule type="expression" dxfId="2" priority="3">
      <formula>$U203&gt;=0.25</formula>
    </cfRule>
  </conditionalFormatting>
  <conditionalFormatting sqref="T99">
    <cfRule type="expression" dxfId="1" priority="2">
      <formula>$U99&lt;0.25</formula>
    </cfRule>
  </conditionalFormatting>
  <conditionalFormatting sqref="U99">
    <cfRule type="expression" dxfId="0" priority="1">
      <formula>$U99&gt;=0.25</formula>
    </cfRule>
  </conditionalFormatting>
  <pageMargins left="0.51181102362204722" right="0.51181102362204722" top="0.98425196850393704" bottom="0.78740157480314965" header="0.31496062992125984" footer="0.31496062992125984"/>
  <pageSetup paperSize="9" fitToHeight="0" orientation="landscape" r:id="rId1"/>
  <headerFooter>
    <oddHeader xml:space="preserve">&amp;C&amp;"-,Negrito"&amp;16
</oddHeader>
    <oddFooter>&amp;Rv2</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 de Formação de Preços</vt:lpstr>
      <vt:lpstr>'Planilha de Formação de Preços'!Area_de_impressao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JACIARA TALITA SCHEREN</dc:creator>
  <cp:lastModifiedBy>BERONICE APARECIDA DA SILVA HOSS</cp:lastModifiedBy>
  <cp:lastPrinted>2025-03-27T21:52:32Z</cp:lastPrinted>
  <dcterms:created xsi:type="dcterms:W3CDTF">2025-02-05T20:42:06Z</dcterms:created>
  <dcterms:modified xsi:type="dcterms:W3CDTF">2025-03-31T19:53:15Z</dcterms:modified>
</cp:coreProperties>
</file>