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035" windowHeight="11340"/>
  </bookViews>
  <sheets>
    <sheet name="MAPA" sheetId="1" r:id="rId1"/>
  </sheets>
  <calcPr calcId="152511"/>
</workbook>
</file>

<file path=xl/calcChain.xml><?xml version="1.0" encoding="utf-8"?>
<calcChain xmlns="http://schemas.openxmlformats.org/spreadsheetml/2006/main">
  <c r="O33" i="1" l="1"/>
  <c r="N33" i="1"/>
  <c r="M33" i="1"/>
  <c r="L33" i="1"/>
  <c r="K33" i="1"/>
  <c r="J33" i="1"/>
  <c r="I33" i="1"/>
  <c r="H33" i="1"/>
  <c r="G33" i="1"/>
  <c r="Q32" i="1"/>
  <c r="O32" i="1"/>
  <c r="N32" i="1"/>
  <c r="M32" i="1"/>
  <c r="L32" i="1"/>
  <c r="K32" i="1"/>
  <c r="J32" i="1"/>
  <c r="I32" i="1"/>
  <c r="H32" i="1"/>
  <c r="G32" i="1"/>
  <c r="Q31" i="1"/>
  <c r="O31" i="1"/>
  <c r="N31" i="1"/>
  <c r="M31" i="1"/>
  <c r="L31" i="1"/>
  <c r="K31" i="1"/>
  <c r="J31" i="1"/>
  <c r="I31" i="1"/>
  <c r="H31" i="1"/>
  <c r="G31" i="1"/>
  <c r="Q30" i="1"/>
  <c r="O30" i="1"/>
  <c r="N30" i="1"/>
  <c r="M30" i="1"/>
  <c r="L30" i="1"/>
  <c r="K30" i="1"/>
  <c r="J30" i="1"/>
  <c r="I30" i="1"/>
  <c r="H30" i="1"/>
  <c r="G30" i="1"/>
  <c r="Q29" i="1"/>
  <c r="O29" i="1"/>
  <c r="N29" i="1"/>
  <c r="M29" i="1"/>
  <c r="L29" i="1"/>
  <c r="K29" i="1"/>
  <c r="J29" i="1"/>
  <c r="I29" i="1"/>
  <c r="H29" i="1"/>
  <c r="G29" i="1"/>
  <c r="Q28" i="1"/>
  <c r="O28" i="1"/>
  <c r="N28" i="1"/>
  <c r="M28" i="1"/>
  <c r="L28" i="1"/>
  <c r="K28" i="1"/>
  <c r="J28" i="1"/>
  <c r="I28" i="1"/>
  <c r="H28" i="1"/>
  <c r="G28" i="1"/>
  <c r="Q27" i="1"/>
  <c r="O27" i="1"/>
  <c r="N27" i="1"/>
  <c r="M27" i="1"/>
  <c r="L27" i="1"/>
  <c r="K27" i="1"/>
  <c r="J27" i="1"/>
  <c r="I27" i="1"/>
  <c r="H27" i="1"/>
  <c r="G27" i="1"/>
  <c r="Q26" i="1"/>
  <c r="O26" i="1"/>
  <c r="N26" i="1"/>
  <c r="M26" i="1"/>
  <c r="L26" i="1"/>
  <c r="K26" i="1"/>
  <c r="J26" i="1"/>
  <c r="I26" i="1"/>
  <c r="H26" i="1"/>
  <c r="G26" i="1"/>
  <c r="Q25" i="1"/>
  <c r="O25" i="1"/>
  <c r="N25" i="1"/>
  <c r="M25" i="1"/>
  <c r="L25" i="1"/>
  <c r="K25" i="1"/>
  <c r="J25" i="1"/>
  <c r="I25" i="1"/>
  <c r="H25" i="1"/>
  <c r="G25" i="1"/>
  <c r="Q24" i="1"/>
  <c r="O24" i="1"/>
  <c r="N24" i="1"/>
  <c r="M24" i="1"/>
  <c r="L24" i="1"/>
  <c r="K24" i="1"/>
  <c r="J24" i="1"/>
  <c r="I24" i="1"/>
  <c r="H24" i="1"/>
  <c r="G24" i="1"/>
  <c r="Q23" i="1"/>
  <c r="O23" i="1"/>
  <c r="N23" i="1"/>
  <c r="M23" i="1"/>
  <c r="L23" i="1"/>
  <c r="K23" i="1"/>
  <c r="J23" i="1"/>
  <c r="I23" i="1"/>
  <c r="H23" i="1"/>
  <c r="G23" i="1"/>
  <c r="Q22" i="1"/>
  <c r="O22" i="1"/>
  <c r="N22" i="1"/>
  <c r="M22" i="1"/>
  <c r="L22" i="1"/>
  <c r="K22" i="1"/>
  <c r="J22" i="1"/>
  <c r="I22" i="1"/>
  <c r="H22" i="1"/>
  <c r="G22" i="1"/>
  <c r="Q21" i="1"/>
  <c r="O21" i="1"/>
  <c r="N21" i="1"/>
  <c r="M21" i="1"/>
  <c r="L21" i="1"/>
  <c r="K21" i="1"/>
  <c r="J21" i="1"/>
  <c r="I21" i="1"/>
  <c r="H21" i="1"/>
  <c r="G21" i="1"/>
  <c r="Q20" i="1"/>
  <c r="O20" i="1"/>
  <c r="N20" i="1"/>
  <c r="M20" i="1"/>
  <c r="L20" i="1"/>
  <c r="K20" i="1"/>
  <c r="J20" i="1"/>
  <c r="I20" i="1"/>
  <c r="H20" i="1"/>
  <c r="G20" i="1"/>
  <c r="Q19" i="1"/>
  <c r="O19" i="1"/>
  <c r="N19" i="1"/>
  <c r="M19" i="1"/>
  <c r="L19" i="1"/>
  <c r="K19" i="1"/>
  <c r="J19" i="1"/>
  <c r="I19" i="1"/>
  <c r="H19" i="1"/>
  <c r="G19" i="1"/>
  <c r="Q18" i="1"/>
  <c r="O18" i="1"/>
  <c r="N18" i="1"/>
  <c r="M18" i="1"/>
  <c r="L18" i="1"/>
  <c r="K18" i="1"/>
  <c r="J18" i="1"/>
  <c r="I18" i="1"/>
  <c r="H18" i="1"/>
  <c r="G18" i="1"/>
  <c r="Q17" i="1"/>
  <c r="O17" i="1"/>
  <c r="N17" i="1"/>
  <c r="M17" i="1"/>
  <c r="L17" i="1"/>
  <c r="K17" i="1"/>
  <c r="J17" i="1"/>
  <c r="I17" i="1"/>
  <c r="H17" i="1"/>
  <c r="G17" i="1"/>
  <c r="Q16" i="1"/>
  <c r="O16" i="1"/>
  <c r="N16" i="1"/>
  <c r="M16" i="1"/>
  <c r="L16" i="1"/>
  <c r="K16" i="1"/>
  <c r="J16" i="1"/>
  <c r="I16" i="1"/>
  <c r="H16" i="1"/>
  <c r="G16" i="1"/>
  <c r="Q15" i="1"/>
  <c r="O15" i="1"/>
  <c r="N15" i="1"/>
  <c r="M15" i="1"/>
  <c r="L15" i="1"/>
  <c r="K15" i="1"/>
  <c r="J15" i="1"/>
  <c r="I15" i="1"/>
  <c r="H15" i="1"/>
  <c r="G15" i="1"/>
  <c r="Q14" i="1"/>
  <c r="O14" i="1"/>
  <c r="N14" i="1"/>
  <c r="M14" i="1"/>
  <c r="L14" i="1"/>
  <c r="K14" i="1"/>
  <c r="J14" i="1"/>
  <c r="I14" i="1"/>
  <c r="H14" i="1"/>
  <c r="G14" i="1"/>
  <c r="Q13" i="1"/>
  <c r="O13" i="1"/>
  <c r="N13" i="1"/>
  <c r="M13" i="1"/>
  <c r="L13" i="1"/>
  <c r="K13" i="1"/>
  <c r="J13" i="1"/>
  <c r="I13" i="1"/>
  <c r="H13" i="1"/>
  <c r="G13" i="1"/>
  <c r="Q12" i="1"/>
  <c r="O12" i="1"/>
  <c r="N12" i="1"/>
  <c r="M12" i="1"/>
  <c r="L12" i="1"/>
  <c r="K12" i="1"/>
  <c r="J12" i="1"/>
  <c r="I12" i="1"/>
  <c r="H12" i="1"/>
  <c r="G12" i="1"/>
  <c r="Q11" i="1"/>
  <c r="O11" i="1"/>
  <c r="N11" i="1"/>
  <c r="M11" i="1"/>
  <c r="L11" i="1"/>
  <c r="K11" i="1"/>
  <c r="J11" i="1"/>
  <c r="I11" i="1"/>
  <c r="H11" i="1"/>
  <c r="G11" i="1"/>
  <c r="Q10" i="1"/>
  <c r="O10" i="1"/>
  <c r="N10" i="1"/>
  <c r="M10" i="1"/>
  <c r="L10" i="1"/>
  <c r="K10" i="1"/>
  <c r="J10" i="1"/>
  <c r="I10" i="1"/>
  <c r="H10" i="1"/>
  <c r="G10" i="1"/>
  <c r="Q9" i="1"/>
  <c r="O9" i="1"/>
  <c r="N9" i="1"/>
  <c r="M9" i="1"/>
  <c r="L9" i="1"/>
  <c r="K9" i="1"/>
  <c r="J9" i="1"/>
  <c r="I9" i="1"/>
  <c r="H9" i="1"/>
  <c r="G9" i="1"/>
  <c r="Q8" i="1"/>
  <c r="O8" i="1"/>
  <c r="N8" i="1"/>
  <c r="M8" i="1"/>
  <c r="L8" i="1"/>
  <c r="K8" i="1"/>
  <c r="J8" i="1"/>
  <c r="I8" i="1"/>
  <c r="H8" i="1"/>
  <c r="G8" i="1"/>
  <c r="O7" i="1"/>
  <c r="N7" i="1"/>
  <c r="M7" i="1"/>
  <c r="L7" i="1"/>
  <c r="K7" i="1"/>
  <c r="J7" i="1"/>
  <c r="I7" i="1"/>
  <c r="H7" i="1"/>
  <c r="G7" i="1"/>
  <c r="Q6" i="1"/>
  <c r="O6" i="1"/>
  <c r="N6" i="1"/>
  <c r="M6" i="1"/>
  <c r="L6" i="1"/>
  <c r="K6" i="1"/>
  <c r="J6" i="1"/>
  <c r="I6" i="1"/>
  <c r="H6" i="1"/>
  <c r="G6" i="1"/>
  <c r="Q5" i="1"/>
  <c r="O5" i="1"/>
  <c r="N5" i="1"/>
  <c r="M5" i="1"/>
  <c r="L5" i="1"/>
  <c r="K5" i="1"/>
  <c r="J5" i="1"/>
  <c r="I5" i="1"/>
  <c r="H5" i="1"/>
  <c r="G5" i="1"/>
  <c r="Q33" i="1" l="1"/>
</calcChain>
</file>

<file path=xl/sharedStrings.xml><?xml version="1.0" encoding="utf-8"?>
<sst xmlns="http://schemas.openxmlformats.org/spreadsheetml/2006/main" count="111" uniqueCount="60">
  <si>
    <t>MAPA DE APURAÇÃO DE PREÇOS</t>
  </si>
  <si>
    <t>DATA</t>
  </si>
  <si>
    <t>OBJETO</t>
  </si>
  <si>
    <t>VALOR TOTAL</t>
  </si>
  <si>
    <t>29/04/2026</t>
  </si>
  <si>
    <t xml:space="preserve"> aquisição de mudas de flores, plantas ornamentais e itens correlatos.</t>
  </si>
  <si>
    <t>ANEXO</t>
  </si>
  <si>
    <t>LOTE</t>
  </si>
  <si>
    <t>ITEM</t>
  </si>
  <si>
    <t>PRODUTO / SERVIÇO</t>
  </si>
  <si>
    <t>UNIDADE</t>
  </si>
  <si>
    <t>QTDE.</t>
  </si>
  <si>
    <t>SIMILARES</t>
  </si>
  <si>
    <t>LICITANET</t>
  </si>
  <si>
    <t>PORTAL DE COMPRAS</t>
  </si>
  <si>
    <t>BLL</t>
  </si>
  <si>
    <t>PNCP</t>
  </si>
  <si>
    <t>CGU NFE</t>
  </si>
  <si>
    <t>BNC</t>
  </si>
  <si>
    <t>COMPRAS GOV</t>
  </si>
  <si>
    <t>TCE SC</t>
  </si>
  <si>
    <t>MÉDIA ARITMÉTICA</t>
  </si>
  <si>
    <t>TOTAL</t>
  </si>
  <si>
    <t>I</t>
  </si>
  <si>
    <t>Muda de Aroeira Salsa medindo acima de 80cm</t>
  </si>
  <si>
    <t>UND</t>
  </si>
  <si>
    <t>Muda de Buxus medindo acima de 30cm</t>
  </si>
  <si>
    <t>Muda de Cereja Flor (sakura ou cereja japonesa) rosa, medindo acima de 50 cm</t>
  </si>
  <si>
    <t>Muda de Extremosa (branca) medindo acima de 80 cm</t>
  </si>
  <si>
    <t>Muda de Extremosa (rosa) medindo acima de 80 cm</t>
  </si>
  <si>
    <t>Muda de Ficus Variegata medindo acima de 80 cm</t>
  </si>
  <si>
    <t>Muda de Fórmio Variegata medindo acima de 20 cm</t>
  </si>
  <si>
    <t>Muda de Hortência medindo acima de 50 cm</t>
  </si>
  <si>
    <t>Muda de Ipê Amarelo – Handroanthus heptaphyllus medindo acima de 80 cm</t>
  </si>
  <si>
    <t>Muda de Ipê Branco – Handroanthus heptaphyllus medindo acima de 80 cm</t>
  </si>
  <si>
    <t>Muda de Moréia medindo acima de 60 cm</t>
  </si>
  <si>
    <t>Muda de Palmeira Areca medindo acima de 80 cm</t>
  </si>
  <si>
    <t>Muda de Podocarpo medindo acima de 60 cm</t>
  </si>
  <si>
    <t>Muda de Amor Perfeito caixa com 15 mudas</t>
  </si>
  <si>
    <t>CX</t>
  </si>
  <si>
    <t>Muda de Calêndula caixa com 15 mudas</t>
  </si>
  <si>
    <t>Muda de Vinca caixa com 15 mudas</t>
  </si>
  <si>
    <t>Muda de Petúnia caixa com 15 mudas</t>
  </si>
  <si>
    <t>Muda de Impatiens (Impatiens walleriana) caixa com 15 mudas</t>
  </si>
  <si>
    <t>Muda de Verbena caixa com 15 mudas</t>
  </si>
  <si>
    <t>Grama sempre verde</t>
  </si>
  <si>
    <t>M²</t>
  </si>
  <si>
    <t>Plátano mudas acima de 80cm</t>
  </si>
  <si>
    <t>Capim do Texas rubro cx com 15 mudas</t>
  </si>
  <si>
    <t>Lavanda cx com 15 mudas</t>
  </si>
  <si>
    <t>Azaléia mudas</t>
  </si>
  <si>
    <t>Agapanto Lilás mudas acima de 50cm</t>
  </si>
  <si>
    <t>Agapanto branco mudas acima de 50cm</t>
  </si>
  <si>
    <t>Casca de Pínus tamanho M unidades com 20litros</t>
  </si>
  <si>
    <t>LT</t>
  </si>
  <si>
    <t>Vaso comum de cerâmica crua (barro) N°15 medindo 54cm de altura e boca de 55cm</t>
  </si>
  <si>
    <t>VALOR TOTAL DO LOTE</t>
  </si>
  <si>
    <t>/////</t>
  </si>
  <si>
    <t/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</si>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</sst>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 &quot;#,##0.00;[Red]\-&quot;R$ &quot;#,##0.00"/>
  </numFmts>
  <fonts count="4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8"/>
      <name val="Calibri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164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showGridLines="0" tabSelected="1" workbookViewId="0">
      <selection activeCell="S10" sqref="S10"/>
    </sheetView>
  </sheetViews>
  <sheetFormatPr defaultRowHeight="15" x14ac:dyDescent="0.25"/>
  <cols>
    <col min="1" max="3" width="3" style="1" customWidth="1"/>
    <col min="4" max="4" width="60" style="1" customWidth="1"/>
    <col min="5" max="5" width="10" style="1" customWidth="1"/>
    <col min="6" max="15" width="8" style="1" customWidth="1"/>
    <col min="16" max="16" width="10" style="1" customWidth="1"/>
    <col min="17" max="17" width="12" style="1" customWidth="1"/>
  </cols>
  <sheetData>
    <row r="1" spans="1:17" s="2" customFormat="1" ht="11.25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x14ac:dyDescent="0.25">
      <c r="A2" s="15" t="s">
        <v>1</v>
      </c>
      <c r="B2" s="15"/>
      <c r="C2" s="15"/>
      <c r="D2" s="11" t="s">
        <v>2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5" t="s">
        <v>3</v>
      </c>
      <c r="Q2" s="15"/>
    </row>
    <row r="3" spans="1:17" s="3" customFormat="1" ht="11.25" x14ac:dyDescent="0.2">
      <c r="A3" s="14" t="s">
        <v>4</v>
      </c>
      <c r="B3" s="14"/>
      <c r="C3" s="14"/>
      <c r="D3" s="16" t="s">
        <v>5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7">
        <v>131401.07</v>
      </c>
      <c r="Q3" s="17"/>
    </row>
    <row r="4" spans="1:17" ht="69.95" customHeight="1" x14ac:dyDescent="0.25">
      <c r="A4" s="4" t="s">
        <v>6</v>
      </c>
      <c r="B4" s="4" t="s">
        <v>7</v>
      </c>
      <c r="C4" s="4" t="s">
        <v>8</v>
      </c>
      <c r="D4" s="5" t="s">
        <v>9</v>
      </c>
      <c r="E4" s="5" t="s">
        <v>10</v>
      </c>
      <c r="F4" s="5" t="s">
        <v>11</v>
      </c>
      <c r="G4" s="4" t="s">
        <v>12</v>
      </c>
      <c r="H4" s="4" t="s">
        <v>13</v>
      </c>
      <c r="I4" s="4" t="s">
        <v>14</v>
      </c>
      <c r="J4" s="4" t="s">
        <v>15</v>
      </c>
      <c r="K4" s="4" t="s">
        <v>16</v>
      </c>
      <c r="L4" s="4" t="s">
        <v>17</v>
      </c>
      <c r="M4" s="4" t="s">
        <v>18</v>
      </c>
      <c r="N4" s="4" t="s">
        <v>19</v>
      </c>
      <c r="O4" s="4" t="s">
        <v>20</v>
      </c>
      <c r="P4" s="5" t="s">
        <v>21</v>
      </c>
      <c r="Q4" s="5" t="s">
        <v>22</v>
      </c>
    </row>
    <row r="5" spans="1:17" x14ac:dyDescent="0.25">
      <c r="A5" s="5" t="s">
        <v>23</v>
      </c>
      <c r="B5" s="5">
        <v>1</v>
      </c>
      <c r="C5" s="5">
        <v>1</v>
      </c>
      <c r="D5" s="6" t="s">
        <v>24</v>
      </c>
      <c r="E5" s="5" t="s">
        <v>25</v>
      </c>
      <c r="F5" s="7">
        <v>50</v>
      </c>
      <c r="G5" s="8" t="str">
        <f>"/////"</f>
        <v>/////</v>
      </c>
      <c r="H5" s="8" t="str">
        <f>"/////"</f>
        <v>/////</v>
      </c>
      <c r="I5" s="9">
        <f>15.27</f>
        <v>15.27</v>
      </c>
      <c r="J5" s="9">
        <f>13.9</f>
        <v>13.9</v>
      </c>
      <c r="K5" s="8" t="str">
        <f>"/////"</f>
        <v>/////</v>
      </c>
      <c r="L5" s="8" t="str">
        <f>"/////"</f>
        <v>/////</v>
      </c>
      <c r="M5" s="8" t="str">
        <f>"/////"</f>
        <v>/////</v>
      </c>
      <c r="N5" s="9">
        <f>14.99</f>
        <v>14.99</v>
      </c>
      <c r="O5" s="9">
        <f>13.87</f>
        <v>13.87</v>
      </c>
      <c r="P5" s="8">
        <v>14.51</v>
      </c>
      <c r="Q5" s="8">
        <f t="shared" ref="Q5:Q32" si="0">SUM(IF(ISERROR(F5*ROUND(P5,2)),0,F5*ROUND(P5,2)))</f>
        <v>725.5</v>
      </c>
    </row>
    <row r="6" spans="1:17" x14ac:dyDescent="0.25">
      <c r="A6" s="5" t="s">
        <v>23</v>
      </c>
      <c r="B6" s="5">
        <v>1</v>
      </c>
      <c r="C6" s="5">
        <v>2</v>
      </c>
      <c r="D6" s="6" t="s">
        <v>26</v>
      </c>
      <c r="E6" s="5" t="s">
        <v>25</v>
      </c>
      <c r="F6" s="7">
        <v>100</v>
      </c>
      <c r="G6" s="9">
        <f>44</f>
        <v>44</v>
      </c>
      <c r="H6" s="8" t="str">
        <f t="shared" ref="H6:H24" si="1">"/////"</f>
        <v>/////</v>
      </c>
      <c r="I6" s="9">
        <f>41</f>
        <v>41</v>
      </c>
      <c r="J6" s="9">
        <f>33</f>
        <v>33</v>
      </c>
      <c r="K6" s="9">
        <f>32.685</f>
        <v>32.685000000000002</v>
      </c>
      <c r="L6" s="8" t="str">
        <f>"/////"</f>
        <v>/////</v>
      </c>
      <c r="M6" s="8" t="str">
        <f>"/////"</f>
        <v>/////</v>
      </c>
      <c r="N6" s="8" t="str">
        <f>"/////"</f>
        <v>/////</v>
      </c>
      <c r="O6" s="8" t="str">
        <f>"/////"</f>
        <v>/////</v>
      </c>
      <c r="P6" s="8">
        <v>37.67</v>
      </c>
      <c r="Q6" s="8">
        <f t="shared" si="0"/>
        <v>3767</v>
      </c>
    </row>
    <row r="7" spans="1:17" x14ac:dyDescent="0.25">
      <c r="A7" s="5" t="s">
        <v>23</v>
      </c>
      <c r="B7" s="5">
        <v>1</v>
      </c>
      <c r="C7" s="5">
        <v>3</v>
      </c>
      <c r="D7" s="6" t="s">
        <v>27</v>
      </c>
      <c r="E7" s="5" t="s">
        <v>25</v>
      </c>
      <c r="F7" s="7">
        <v>102</v>
      </c>
      <c r="G7" s="8" t="str">
        <f>"/////"</f>
        <v>/////</v>
      </c>
      <c r="H7" s="8" t="str">
        <f t="shared" si="1"/>
        <v>/////</v>
      </c>
      <c r="I7" s="8" t="str">
        <f>"/////"</f>
        <v>/////</v>
      </c>
      <c r="J7" s="8" t="str">
        <f>"/////"</f>
        <v>/////</v>
      </c>
      <c r="K7" s="9">
        <f>50</f>
        <v>50</v>
      </c>
      <c r="L7" s="9">
        <f>65</f>
        <v>65</v>
      </c>
      <c r="M7" s="8" t="str">
        <f>"/////"</f>
        <v>/////</v>
      </c>
      <c r="N7" s="8" t="str">
        <f>"/////"</f>
        <v>/////</v>
      </c>
      <c r="O7" s="9">
        <f>57.78</f>
        <v>57.78</v>
      </c>
      <c r="P7" s="8">
        <v>57.59</v>
      </c>
      <c r="Q7" s="8">
        <v>5874.18</v>
      </c>
    </row>
    <row r="8" spans="1:17" x14ac:dyDescent="0.25">
      <c r="A8" s="5" t="s">
        <v>23</v>
      </c>
      <c r="B8" s="5">
        <v>1</v>
      </c>
      <c r="C8" s="5">
        <v>4</v>
      </c>
      <c r="D8" s="6" t="s">
        <v>28</v>
      </c>
      <c r="E8" s="5" t="s">
        <v>25</v>
      </c>
      <c r="F8" s="7">
        <v>50</v>
      </c>
      <c r="G8" s="8" t="str">
        <f>"/////"</f>
        <v>/////</v>
      </c>
      <c r="H8" s="8" t="str">
        <f t="shared" si="1"/>
        <v>/////</v>
      </c>
      <c r="I8" s="9">
        <f>11.5</f>
        <v>11.5</v>
      </c>
      <c r="J8" s="9">
        <f>11.75</f>
        <v>11.75</v>
      </c>
      <c r="K8" s="8" t="str">
        <f>"/////"</f>
        <v>/////</v>
      </c>
      <c r="L8" s="8" t="str">
        <f>"/////"</f>
        <v>/////</v>
      </c>
      <c r="M8" s="9">
        <f>12</f>
        <v>12</v>
      </c>
      <c r="N8" s="9">
        <f>10.99</f>
        <v>10.99</v>
      </c>
      <c r="O8" s="8" t="str">
        <f>"/////"</f>
        <v>/////</v>
      </c>
      <c r="P8" s="8">
        <v>11.56</v>
      </c>
      <c r="Q8" s="8">
        <f t="shared" si="0"/>
        <v>578</v>
      </c>
    </row>
    <row r="9" spans="1:17" x14ac:dyDescent="0.25">
      <c r="A9" s="5" t="s">
        <v>23</v>
      </c>
      <c r="B9" s="5">
        <v>1</v>
      </c>
      <c r="C9" s="5">
        <v>5</v>
      </c>
      <c r="D9" s="6" t="s">
        <v>29</v>
      </c>
      <c r="E9" s="5" t="s">
        <v>25</v>
      </c>
      <c r="F9" s="7">
        <v>52</v>
      </c>
      <c r="G9" s="8" t="str">
        <f>"/////"</f>
        <v>/////</v>
      </c>
      <c r="H9" s="8" t="str">
        <f t="shared" si="1"/>
        <v>/////</v>
      </c>
      <c r="I9" s="9">
        <f>35</f>
        <v>35</v>
      </c>
      <c r="J9" s="8" t="str">
        <f>"/////"</f>
        <v>/////</v>
      </c>
      <c r="K9" s="9">
        <f>30</f>
        <v>30</v>
      </c>
      <c r="L9" s="8" t="str">
        <f>"/////"</f>
        <v>/////</v>
      </c>
      <c r="M9" s="8" t="str">
        <f>"/////"</f>
        <v>/////</v>
      </c>
      <c r="N9" s="8" t="str">
        <f>"/////"</f>
        <v>/////</v>
      </c>
      <c r="O9" s="9">
        <f>21.18</f>
        <v>21.18</v>
      </c>
      <c r="P9" s="8">
        <v>28.73</v>
      </c>
      <c r="Q9" s="8">
        <f t="shared" si="0"/>
        <v>1493.96</v>
      </c>
    </row>
    <row r="10" spans="1:17" x14ac:dyDescent="0.25">
      <c r="A10" s="5" t="s">
        <v>23</v>
      </c>
      <c r="B10" s="5">
        <v>1</v>
      </c>
      <c r="C10" s="5">
        <v>6</v>
      </c>
      <c r="D10" s="6" t="s">
        <v>30</v>
      </c>
      <c r="E10" s="5" t="s">
        <v>25</v>
      </c>
      <c r="F10" s="7">
        <v>60</v>
      </c>
      <c r="G10" s="8" t="str">
        <f>"/////"</f>
        <v>/////</v>
      </c>
      <c r="H10" s="8" t="str">
        <f t="shared" si="1"/>
        <v>/////</v>
      </c>
      <c r="I10" s="9">
        <f>70</f>
        <v>70</v>
      </c>
      <c r="J10" s="8" t="str">
        <f>"/////"</f>
        <v>/////</v>
      </c>
      <c r="K10" s="8" t="str">
        <f>"/////"</f>
        <v>/////</v>
      </c>
      <c r="L10" s="8" t="str">
        <f>"/////"</f>
        <v>/////</v>
      </c>
      <c r="M10" s="9">
        <f>60</f>
        <v>60</v>
      </c>
      <c r="N10" s="8" t="str">
        <f>"/////"</f>
        <v>/////</v>
      </c>
      <c r="O10" s="9">
        <f>66.245</f>
        <v>66.245000000000005</v>
      </c>
      <c r="P10" s="8">
        <v>65.41</v>
      </c>
      <c r="Q10" s="8">
        <f t="shared" si="0"/>
        <v>3924.6</v>
      </c>
    </row>
    <row r="11" spans="1:17" x14ac:dyDescent="0.25">
      <c r="A11" s="5" t="s">
        <v>23</v>
      </c>
      <c r="B11" s="5">
        <v>1</v>
      </c>
      <c r="C11" s="5">
        <v>7</v>
      </c>
      <c r="D11" s="6" t="s">
        <v>31</v>
      </c>
      <c r="E11" s="5" t="s">
        <v>25</v>
      </c>
      <c r="F11" s="7">
        <v>100</v>
      </c>
      <c r="G11" s="8" t="str">
        <f>"/////"</f>
        <v>/////</v>
      </c>
      <c r="H11" s="8" t="str">
        <f t="shared" si="1"/>
        <v>/////</v>
      </c>
      <c r="I11" s="9">
        <f>22</f>
        <v>22</v>
      </c>
      <c r="J11" s="8" t="str">
        <f>"/////"</f>
        <v>/////</v>
      </c>
      <c r="K11" s="9">
        <f>35</f>
        <v>35</v>
      </c>
      <c r="L11" s="8" t="str">
        <f t="shared" ref="L11:M13" si="2">"/////"</f>
        <v>/////</v>
      </c>
      <c r="M11" s="8" t="str">
        <f t="shared" si="2"/>
        <v>/////</v>
      </c>
      <c r="N11" s="8" t="str">
        <f>"/////"</f>
        <v>/////</v>
      </c>
      <c r="O11" s="9">
        <f>28</f>
        <v>28</v>
      </c>
      <c r="P11" s="8">
        <v>28.33</v>
      </c>
      <c r="Q11" s="8">
        <f t="shared" si="0"/>
        <v>2833</v>
      </c>
    </row>
    <row r="12" spans="1:17" x14ac:dyDescent="0.25">
      <c r="A12" s="5" t="s">
        <v>23</v>
      </c>
      <c r="B12" s="5">
        <v>1</v>
      </c>
      <c r="C12" s="5">
        <v>8</v>
      </c>
      <c r="D12" s="6" t="s">
        <v>32</v>
      </c>
      <c r="E12" s="5" t="s">
        <v>25</v>
      </c>
      <c r="F12" s="7">
        <v>200</v>
      </c>
      <c r="G12" s="9">
        <f>18.95</f>
        <v>18.95</v>
      </c>
      <c r="H12" s="8" t="str">
        <f t="shared" si="1"/>
        <v>/////</v>
      </c>
      <c r="I12" s="8" t="str">
        <f>"/////"</f>
        <v>/////</v>
      </c>
      <c r="J12" s="8" t="str">
        <f>"/////"</f>
        <v>/////</v>
      </c>
      <c r="K12" s="9">
        <f>20</f>
        <v>20</v>
      </c>
      <c r="L12" s="8" t="str">
        <f t="shared" si="2"/>
        <v>/////</v>
      </c>
      <c r="M12" s="8" t="str">
        <f t="shared" si="2"/>
        <v>/////</v>
      </c>
      <c r="N12" s="9">
        <f>21.4</f>
        <v>21.4</v>
      </c>
      <c r="O12" s="8" t="str">
        <f>"/////"</f>
        <v>/////</v>
      </c>
      <c r="P12" s="8">
        <v>20.12</v>
      </c>
      <c r="Q12" s="8">
        <f t="shared" si="0"/>
        <v>4024</v>
      </c>
    </row>
    <row r="13" spans="1:17" x14ac:dyDescent="0.25">
      <c r="A13" s="5" t="s">
        <v>23</v>
      </c>
      <c r="B13" s="5">
        <v>1</v>
      </c>
      <c r="C13" s="5">
        <v>9</v>
      </c>
      <c r="D13" s="6" t="s">
        <v>33</v>
      </c>
      <c r="E13" s="5" t="s">
        <v>25</v>
      </c>
      <c r="F13" s="7">
        <v>53</v>
      </c>
      <c r="G13" s="8" t="str">
        <f>"/////"</f>
        <v>/////</v>
      </c>
      <c r="H13" s="8" t="str">
        <f t="shared" si="1"/>
        <v>/////</v>
      </c>
      <c r="I13" s="8" t="str">
        <f>"/////"</f>
        <v>/////</v>
      </c>
      <c r="J13" s="9">
        <f>70</f>
        <v>70</v>
      </c>
      <c r="K13" s="8" t="str">
        <f>"/////"</f>
        <v>/////</v>
      </c>
      <c r="L13" s="8" t="str">
        <f t="shared" si="2"/>
        <v>/////</v>
      </c>
      <c r="M13" s="8" t="str">
        <f t="shared" si="2"/>
        <v>/////</v>
      </c>
      <c r="N13" s="9">
        <f>66</f>
        <v>66</v>
      </c>
      <c r="O13" s="9">
        <f>75</f>
        <v>75</v>
      </c>
      <c r="P13" s="8">
        <v>70.33</v>
      </c>
      <c r="Q13" s="8">
        <f t="shared" si="0"/>
        <v>3727.49</v>
      </c>
    </row>
    <row r="14" spans="1:17" x14ac:dyDescent="0.25">
      <c r="A14" s="5" t="s">
        <v>23</v>
      </c>
      <c r="B14" s="5">
        <v>1</v>
      </c>
      <c r="C14" s="5">
        <v>10</v>
      </c>
      <c r="D14" s="6" t="s">
        <v>34</v>
      </c>
      <c r="E14" s="5" t="s">
        <v>25</v>
      </c>
      <c r="F14" s="7">
        <v>53</v>
      </c>
      <c r="G14" s="8" t="str">
        <f>"/////"</f>
        <v>/////</v>
      </c>
      <c r="H14" s="8" t="str">
        <f t="shared" si="1"/>
        <v>/////</v>
      </c>
      <c r="I14" s="9">
        <f>20.47</f>
        <v>20.47</v>
      </c>
      <c r="J14" s="8" t="str">
        <f>"/////"</f>
        <v>/////</v>
      </c>
      <c r="K14" s="9">
        <f>26.47</f>
        <v>26.47</v>
      </c>
      <c r="L14" s="8" t="str">
        <f t="shared" ref="L14:L30" si="3">"/////"</f>
        <v>/////</v>
      </c>
      <c r="M14" s="9">
        <f>30</f>
        <v>30</v>
      </c>
      <c r="N14" s="9">
        <f>25.71</f>
        <v>25.71</v>
      </c>
      <c r="O14" s="8" t="str">
        <f>"/////"</f>
        <v>/////</v>
      </c>
      <c r="P14" s="8">
        <v>25.66</v>
      </c>
      <c r="Q14" s="8">
        <f t="shared" si="0"/>
        <v>1359.98</v>
      </c>
    </row>
    <row r="15" spans="1:17" x14ac:dyDescent="0.25">
      <c r="A15" s="5" t="s">
        <v>23</v>
      </c>
      <c r="B15" s="5">
        <v>1</v>
      </c>
      <c r="C15" s="5">
        <v>11</v>
      </c>
      <c r="D15" s="6" t="s">
        <v>35</v>
      </c>
      <c r="E15" s="5" t="s">
        <v>25</v>
      </c>
      <c r="F15" s="7">
        <v>50</v>
      </c>
      <c r="G15" s="8" t="str">
        <f>"/////"</f>
        <v>/////</v>
      </c>
      <c r="H15" s="8" t="str">
        <f t="shared" si="1"/>
        <v>/////</v>
      </c>
      <c r="I15" s="9">
        <f>19.4</f>
        <v>19.399999999999999</v>
      </c>
      <c r="J15" s="9">
        <f>22</f>
        <v>22</v>
      </c>
      <c r="K15" s="8" t="str">
        <f>"/////"</f>
        <v>/////</v>
      </c>
      <c r="L15" s="8" t="str">
        <f t="shared" si="3"/>
        <v>/////</v>
      </c>
      <c r="M15" s="8" t="str">
        <f>"/////"</f>
        <v>/////</v>
      </c>
      <c r="N15" s="9">
        <f>20.38</f>
        <v>20.38</v>
      </c>
      <c r="O15" s="9">
        <f>18.99</f>
        <v>18.989999999999998</v>
      </c>
      <c r="P15" s="8">
        <v>20.190000000000001</v>
      </c>
      <c r="Q15" s="8">
        <f t="shared" si="0"/>
        <v>1009.5000000000001</v>
      </c>
    </row>
    <row r="16" spans="1:17" x14ac:dyDescent="0.25">
      <c r="A16" s="5" t="s">
        <v>23</v>
      </c>
      <c r="B16" s="5">
        <v>1</v>
      </c>
      <c r="C16" s="5">
        <v>12</v>
      </c>
      <c r="D16" s="6" t="s">
        <v>36</v>
      </c>
      <c r="E16" s="5" t="s">
        <v>25</v>
      </c>
      <c r="F16" s="7">
        <v>50</v>
      </c>
      <c r="G16" s="9">
        <f>74.62</f>
        <v>74.62</v>
      </c>
      <c r="H16" s="8" t="str">
        <f t="shared" si="1"/>
        <v>/////</v>
      </c>
      <c r="I16" s="9">
        <f>71.33</f>
        <v>71.33</v>
      </c>
      <c r="J16" s="8" t="str">
        <f>"/////"</f>
        <v>/////</v>
      </c>
      <c r="K16" s="9">
        <f>71.4</f>
        <v>71.400000000000006</v>
      </c>
      <c r="L16" s="8" t="str">
        <f t="shared" si="3"/>
        <v>/////</v>
      </c>
      <c r="M16" s="8" t="str">
        <f>"/////"</f>
        <v>/////</v>
      </c>
      <c r="N16" s="8" t="str">
        <f>"/////"</f>
        <v>/////</v>
      </c>
      <c r="O16" s="8" t="str">
        <f>"/////"</f>
        <v>/////</v>
      </c>
      <c r="P16" s="8">
        <v>72.45</v>
      </c>
      <c r="Q16" s="8">
        <f t="shared" si="0"/>
        <v>3622.5</v>
      </c>
    </row>
    <row r="17" spans="1:17" x14ac:dyDescent="0.25">
      <c r="A17" s="5" t="s">
        <v>23</v>
      </c>
      <c r="B17" s="5">
        <v>1</v>
      </c>
      <c r="C17" s="5">
        <v>13</v>
      </c>
      <c r="D17" s="6" t="s">
        <v>37</v>
      </c>
      <c r="E17" s="5" t="s">
        <v>25</v>
      </c>
      <c r="F17" s="7">
        <v>200</v>
      </c>
      <c r="G17" s="8" t="str">
        <f>"/////"</f>
        <v>/////</v>
      </c>
      <c r="H17" s="8" t="str">
        <f t="shared" si="1"/>
        <v>/////</v>
      </c>
      <c r="I17" s="9">
        <f>13.9</f>
        <v>13.9</v>
      </c>
      <c r="J17" s="9">
        <f>12</f>
        <v>12</v>
      </c>
      <c r="K17" s="9">
        <f>15</f>
        <v>15</v>
      </c>
      <c r="L17" s="8" t="str">
        <f t="shared" si="3"/>
        <v>/////</v>
      </c>
      <c r="M17" s="8" t="str">
        <f>"/////"</f>
        <v>/////</v>
      </c>
      <c r="N17" s="8" t="str">
        <f t="shared" ref="N17:N31" si="4">"/////"</f>
        <v>/////</v>
      </c>
      <c r="O17" s="9">
        <f>13.67</f>
        <v>13.67</v>
      </c>
      <c r="P17" s="8">
        <v>13.64</v>
      </c>
      <c r="Q17" s="8">
        <f t="shared" si="0"/>
        <v>2728</v>
      </c>
    </row>
    <row r="18" spans="1:17" x14ac:dyDescent="0.25">
      <c r="A18" s="5" t="s">
        <v>23</v>
      </c>
      <c r="B18" s="5">
        <v>1</v>
      </c>
      <c r="C18" s="5">
        <v>14</v>
      </c>
      <c r="D18" s="6" t="s">
        <v>38</v>
      </c>
      <c r="E18" s="5" t="s">
        <v>39</v>
      </c>
      <c r="F18" s="7">
        <v>225</v>
      </c>
      <c r="G18" s="9">
        <f>33.1</f>
        <v>33.1</v>
      </c>
      <c r="H18" s="8" t="str">
        <f t="shared" si="1"/>
        <v>/////</v>
      </c>
      <c r="I18" s="9">
        <f>25.4</f>
        <v>25.4</v>
      </c>
      <c r="J18" s="9">
        <f>26.7</f>
        <v>26.7</v>
      </c>
      <c r="K18" s="8" t="str">
        <f>"/////"</f>
        <v>/////</v>
      </c>
      <c r="L18" s="8" t="str">
        <f t="shared" si="3"/>
        <v>/////</v>
      </c>
      <c r="M18" s="9">
        <f>27.49</f>
        <v>27.49</v>
      </c>
      <c r="N18" s="8" t="str">
        <f t="shared" si="4"/>
        <v>/////</v>
      </c>
      <c r="O18" s="8" t="str">
        <f>"/////"</f>
        <v>/////</v>
      </c>
      <c r="P18" s="8">
        <v>28.17</v>
      </c>
      <c r="Q18" s="8">
        <f t="shared" si="0"/>
        <v>6338.25</v>
      </c>
    </row>
    <row r="19" spans="1:17" x14ac:dyDescent="0.25">
      <c r="A19" s="5" t="s">
        <v>23</v>
      </c>
      <c r="B19" s="5">
        <v>1</v>
      </c>
      <c r="C19" s="5">
        <v>15</v>
      </c>
      <c r="D19" s="6" t="s">
        <v>40</v>
      </c>
      <c r="E19" s="5" t="s">
        <v>39</v>
      </c>
      <c r="F19" s="7">
        <v>200</v>
      </c>
      <c r="G19" s="8" t="str">
        <f>"/////"</f>
        <v>/////</v>
      </c>
      <c r="H19" s="8" t="str">
        <f t="shared" si="1"/>
        <v>/////</v>
      </c>
      <c r="I19" s="9">
        <f>19.66</f>
        <v>19.66</v>
      </c>
      <c r="J19" s="8" t="str">
        <f>"/////"</f>
        <v>/////</v>
      </c>
      <c r="K19" s="9">
        <f>29.98</f>
        <v>29.98</v>
      </c>
      <c r="L19" s="8" t="str">
        <f t="shared" si="3"/>
        <v>/////</v>
      </c>
      <c r="M19" s="9">
        <f>18</f>
        <v>18</v>
      </c>
      <c r="N19" s="8" t="str">
        <f t="shared" si="4"/>
        <v>/////</v>
      </c>
      <c r="O19" s="9">
        <f>17.32</f>
        <v>17.32</v>
      </c>
      <c r="P19" s="8">
        <v>21.24</v>
      </c>
      <c r="Q19" s="8">
        <f t="shared" si="0"/>
        <v>4248</v>
      </c>
    </row>
    <row r="20" spans="1:17" x14ac:dyDescent="0.25">
      <c r="A20" s="5" t="s">
        <v>23</v>
      </c>
      <c r="B20" s="5">
        <v>1</v>
      </c>
      <c r="C20" s="5">
        <v>16</v>
      </c>
      <c r="D20" s="6" t="s">
        <v>41</v>
      </c>
      <c r="E20" s="5" t="s">
        <v>39</v>
      </c>
      <c r="F20" s="7">
        <v>225</v>
      </c>
      <c r="G20" s="8" t="str">
        <f>"/////"</f>
        <v>/////</v>
      </c>
      <c r="H20" s="8" t="str">
        <f t="shared" si="1"/>
        <v>/////</v>
      </c>
      <c r="I20" s="9">
        <f>27</f>
        <v>27</v>
      </c>
      <c r="J20" s="9">
        <f>29.375</f>
        <v>29.375</v>
      </c>
      <c r="K20" s="9">
        <f>31.6667</f>
        <v>31.666699999999999</v>
      </c>
      <c r="L20" s="8" t="str">
        <f t="shared" si="3"/>
        <v>/////</v>
      </c>
      <c r="M20" s="8" t="str">
        <f>"/////"</f>
        <v>/////</v>
      </c>
      <c r="N20" s="8" t="str">
        <f t="shared" si="4"/>
        <v>/////</v>
      </c>
      <c r="O20" s="9">
        <f>29.2</f>
        <v>29.2</v>
      </c>
      <c r="P20" s="8">
        <v>29.31</v>
      </c>
      <c r="Q20" s="8">
        <f t="shared" si="0"/>
        <v>6594.75</v>
      </c>
    </row>
    <row r="21" spans="1:17" x14ac:dyDescent="0.25">
      <c r="A21" s="5" t="s">
        <v>23</v>
      </c>
      <c r="B21" s="5">
        <v>1</v>
      </c>
      <c r="C21" s="5">
        <v>17</v>
      </c>
      <c r="D21" s="6" t="s">
        <v>42</v>
      </c>
      <c r="E21" s="5" t="s">
        <v>39</v>
      </c>
      <c r="F21" s="7">
        <v>225</v>
      </c>
      <c r="G21" s="8" t="str">
        <f>"/////"</f>
        <v>/////</v>
      </c>
      <c r="H21" s="8" t="str">
        <f t="shared" si="1"/>
        <v>/////</v>
      </c>
      <c r="I21" s="9">
        <f>39.9</f>
        <v>39.9</v>
      </c>
      <c r="J21" s="9">
        <f>33.47</f>
        <v>33.47</v>
      </c>
      <c r="K21" s="9">
        <f>30</f>
        <v>30</v>
      </c>
      <c r="L21" s="8" t="str">
        <f t="shared" si="3"/>
        <v>/////</v>
      </c>
      <c r="M21" s="9">
        <f>26.99</f>
        <v>26.99</v>
      </c>
      <c r="N21" s="8" t="str">
        <f t="shared" si="4"/>
        <v>/////</v>
      </c>
      <c r="O21" s="8" t="str">
        <f>"/////"</f>
        <v>/////</v>
      </c>
      <c r="P21" s="8">
        <v>32.590000000000003</v>
      </c>
      <c r="Q21" s="8">
        <f t="shared" si="0"/>
        <v>7332.7500000000009</v>
      </c>
    </row>
    <row r="22" spans="1:17" x14ac:dyDescent="0.25">
      <c r="A22" s="5" t="s">
        <v>23</v>
      </c>
      <c r="B22" s="5">
        <v>1</v>
      </c>
      <c r="C22" s="5">
        <v>18</v>
      </c>
      <c r="D22" s="6" t="s">
        <v>43</v>
      </c>
      <c r="E22" s="5" t="s">
        <v>39</v>
      </c>
      <c r="F22" s="7">
        <v>205</v>
      </c>
      <c r="G22" s="8" t="str">
        <f>"/////"</f>
        <v>/////</v>
      </c>
      <c r="H22" s="8" t="str">
        <f t="shared" si="1"/>
        <v>/////</v>
      </c>
      <c r="I22" s="9">
        <f>32.95</f>
        <v>32.950000000000003</v>
      </c>
      <c r="J22" s="8" t="str">
        <f>"/////"</f>
        <v>/////</v>
      </c>
      <c r="K22" s="9">
        <f>38.9</f>
        <v>38.9</v>
      </c>
      <c r="L22" s="8" t="str">
        <f t="shared" si="3"/>
        <v>/////</v>
      </c>
      <c r="M22" s="9">
        <f>30</f>
        <v>30</v>
      </c>
      <c r="N22" s="8" t="str">
        <f t="shared" si="4"/>
        <v>/////</v>
      </c>
      <c r="O22" s="9">
        <f>30.89</f>
        <v>30.89</v>
      </c>
      <c r="P22" s="8">
        <v>33.18</v>
      </c>
      <c r="Q22" s="8">
        <f t="shared" si="0"/>
        <v>6801.9</v>
      </c>
    </row>
    <row r="23" spans="1:17" x14ac:dyDescent="0.25">
      <c r="A23" s="5" t="s">
        <v>23</v>
      </c>
      <c r="B23" s="5">
        <v>1</v>
      </c>
      <c r="C23" s="5">
        <v>19</v>
      </c>
      <c r="D23" s="6" t="s">
        <v>44</v>
      </c>
      <c r="E23" s="5" t="s">
        <v>25</v>
      </c>
      <c r="F23" s="7">
        <v>225</v>
      </c>
      <c r="G23" s="8" t="str">
        <f>"/////"</f>
        <v>/////</v>
      </c>
      <c r="H23" s="8" t="str">
        <f t="shared" si="1"/>
        <v>/////</v>
      </c>
      <c r="I23" s="9">
        <f>28.5</f>
        <v>28.5</v>
      </c>
      <c r="J23" s="9">
        <f>28.535</f>
        <v>28.535</v>
      </c>
      <c r="K23" s="8" t="str">
        <f>"/////"</f>
        <v>/////</v>
      </c>
      <c r="L23" s="8" t="str">
        <f t="shared" si="3"/>
        <v>/////</v>
      </c>
      <c r="M23" s="8" t="str">
        <f>"/////"</f>
        <v>/////</v>
      </c>
      <c r="N23" s="8" t="str">
        <f t="shared" si="4"/>
        <v>/////</v>
      </c>
      <c r="O23" s="9">
        <f>24.26</f>
        <v>24.26</v>
      </c>
      <c r="P23" s="8">
        <v>27.1</v>
      </c>
      <c r="Q23" s="8">
        <f t="shared" si="0"/>
        <v>6097.5</v>
      </c>
    </row>
    <row r="24" spans="1:17" x14ac:dyDescent="0.25">
      <c r="A24" s="5" t="s">
        <v>23</v>
      </c>
      <c r="B24" s="5">
        <v>1</v>
      </c>
      <c r="C24" s="5">
        <v>20</v>
      </c>
      <c r="D24" s="6" t="s">
        <v>45</v>
      </c>
      <c r="E24" s="5" t="s">
        <v>46</v>
      </c>
      <c r="F24" s="7">
        <v>1250</v>
      </c>
      <c r="G24" s="9">
        <f>15.775</f>
        <v>15.775</v>
      </c>
      <c r="H24" s="8" t="str">
        <f t="shared" si="1"/>
        <v>/////</v>
      </c>
      <c r="I24" s="9">
        <f>15</f>
        <v>15</v>
      </c>
      <c r="J24" s="8" t="str">
        <f>"/////"</f>
        <v>/////</v>
      </c>
      <c r="K24" s="9">
        <f>15</f>
        <v>15</v>
      </c>
      <c r="L24" s="8" t="str">
        <f t="shared" si="3"/>
        <v>/////</v>
      </c>
      <c r="M24" s="9">
        <f>13.95</f>
        <v>13.95</v>
      </c>
      <c r="N24" s="8" t="str">
        <f t="shared" si="4"/>
        <v>/////</v>
      </c>
      <c r="O24" s="8" t="str">
        <f t="shared" ref="O24:O30" si="5">"/////"</f>
        <v>/////</v>
      </c>
      <c r="P24" s="8">
        <v>14.93</v>
      </c>
      <c r="Q24" s="8">
        <f t="shared" si="0"/>
        <v>18662.5</v>
      </c>
    </row>
    <row r="25" spans="1:17" x14ac:dyDescent="0.25">
      <c r="A25" s="5" t="s">
        <v>23</v>
      </c>
      <c r="B25" s="5">
        <v>1</v>
      </c>
      <c r="C25" s="5">
        <v>21</v>
      </c>
      <c r="D25" s="6" t="s">
        <v>47</v>
      </c>
      <c r="E25" s="5" t="s">
        <v>25</v>
      </c>
      <c r="F25" s="7">
        <v>100</v>
      </c>
      <c r="G25" s="9">
        <f>28.06</f>
        <v>28.06</v>
      </c>
      <c r="H25" s="9">
        <f>39.99</f>
        <v>39.99</v>
      </c>
      <c r="I25" s="8" t="str">
        <f>"/////"</f>
        <v>/////</v>
      </c>
      <c r="J25" s="9">
        <f>19.9</f>
        <v>19.899999999999999</v>
      </c>
      <c r="K25" s="8" t="str">
        <f>"/////"</f>
        <v>/////</v>
      </c>
      <c r="L25" s="8" t="str">
        <f t="shared" si="3"/>
        <v>/////</v>
      </c>
      <c r="M25" s="8" t="str">
        <f>"/////"</f>
        <v>/////</v>
      </c>
      <c r="N25" s="8" t="str">
        <f t="shared" si="4"/>
        <v>/////</v>
      </c>
      <c r="O25" s="8" t="str">
        <f t="shared" si="5"/>
        <v>/////</v>
      </c>
      <c r="P25" s="8">
        <v>29.32</v>
      </c>
      <c r="Q25" s="8">
        <f t="shared" si="0"/>
        <v>2932</v>
      </c>
    </row>
    <row r="26" spans="1:17" x14ac:dyDescent="0.25">
      <c r="A26" s="5" t="s">
        <v>23</v>
      </c>
      <c r="B26" s="5">
        <v>1</v>
      </c>
      <c r="C26" s="5">
        <v>22</v>
      </c>
      <c r="D26" s="6" t="s">
        <v>48</v>
      </c>
      <c r="E26" s="5" t="s">
        <v>39</v>
      </c>
      <c r="F26" s="7">
        <v>200</v>
      </c>
      <c r="G26" s="8" t="str">
        <f t="shared" ref="G26:H28" si="6">"/////"</f>
        <v>/////</v>
      </c>
      <c r="H26" s="8" t="str">
        <f t="shared" si="6"/>
        <v>/////</v>
      </c>
      <c r="I26" s="9">
        <f>11</f>
        <v>11</v>
      </c>
      <c r="J26" s="9">
        <f>17.5</f>
        <v>17.5</v>
      </c>
      <c r="K26" s="9">
        <f>14.73</f>
        <v>14.73</v>
      </c>
      <c r="L26" s="8" t="str">
        <f t="shared" si="3"/>
        <v>/////</v>
      </c>
      <c r="M26" s="9">
        <f>12</f>
        <v>12</v>
      </c>
      <c r="N26" s="8" t="str">
        <f t="shared" si="4"/>
        <v>/////</v>
      </c>
      <c r="O26" s="8" t="str">
        <f t="shared" si="5"/>
        <v>/////</v>
      </c>
      <c r="P26" s="8">
        <v>13.81</v>
      </c>
      <c r="Q26" s="8">
        <f t="shared" si="0"/>
        <v>2762</v>
      </c>
    </row>
    <row r="27" spans="1:17" x14ac:dyDescent="0.25">
      <c r="A27" s="5" t="s">
        <v>23</v>
      </c>
      <c r="B27" s="5">
        <v>1</v>
      </c>
      <c r="C27" s="5">
        <v>23</v>
      </c>
      <c r="D27" s="6" t="s">
        <v>49</v>
      </c>
      <c r="E27" s="5" t="s">
        <v>39</v>
      </c>
      <c r="F27" s="7">
        <v>205</v>
      </c>
      <c r="G27" s="8" t="str">
        <f t="shared" si="6"/>
        <v>/////</v>
      </c>
      <c r="H27" s="8" t="str">
        <f t="shared" si="6"/>
        <v>/////</v>
      </c>
      <c r="I27" s="8" t="str">
        <f>"/////"</f>
        <v>/////</v>
      </c>
      <c r="J27" s="9">
        <f>25.8</f>
        <v>25.8</v>
      </c>
      <c r="K27" s="9">
        <f>38</f>
        <v>38</v>
      </c>
      <c r="L27" s="8" t="str">
        <f t="shared" si="3"/>
        <v>/////</v>
      </c>
      <c r="M27" s="9">
        <f>30</f>
        <v>30</v>
      </c>
      <c r="N27" s="8" t="str">
        <f t="shared" si="4"/>
        <v>/////</v>
      </c>
      <c r="O27" s="8" t="str">
        <f t="shared" si="5"/>
        <v>/////</v>
      </c>
      <c r="P27" s="8">
        <v>31.27</v>
      </c>
      <c r="Q27" s="8">
        <f t="shared" si="0"/>
        <v>6410.35</v>
      </c>
    </row>
    <row r="28" spans="1:17" x14ac:dyDescent="0.25">
      <c r="A28" s="5" t="s">
        <v>23</v>
      </c>
      <c r="B28" s="5">
        <v>1</v>
      </c>
      <c r="C28" s="5">
        <v>24</v>
      </c>
      <c r="D28" s="6" t="s">
        <v>50</v>
      </c>
      <c r="E28" s="5" t="s">
        <v>25</v>
      </c>
      <c r="F28" s="7">
        <v>218</v>
      </c>
      <c r="G28" s="8" t="str">
        <f t="shared" si="6"/>
        <v>/////</v>
      </c>
      <c r="H28" s="8" t="str">
        <f t="shared" si="6"/>
        <v>/////</v>
      </c>
      <c r="I28" s="9">
        <f>27.3</f>
        <v>27.3</v>
      </c>
      <c r="J28" s="9">
        <f>23.7</f>
        <v>23.7</v>
      </c>
      <c r="K28" s="9">
        <f>23</f>
        <v>23</v>
      </c>
      <c r="L28" s="8" t="str">
        <f t="shared" si="3"/>
        <v>/////</v>
      </c>
      <c r="M28" s="8" t="str">
        <f>"/////"</f>
        <v>/////</v>
      </c>
      <c r="N28" s="8" t="str">
        <f t="shared" si="4"/>
        <v>/////</v>
      </c>
      <c r="O28" s="8" t="str">
        <f t="shared" si="5"/>
        <v>/////</v>
      </c>
      <c r="P28" s="8">
        <v>24.67</v>
      </c>
      <c r="Q28" s="8">
        <f t="shared" si="0"/>
        <v>5378.06</v>
      </c>
    </row>
    <row r="29" spans="1:17" x14ac:dyDescent="0.25">
      <c r="A29" s="5" t="s">
        <v>23</v>
      </c>
      <c r="B29" s="5">
        <v>1</v>
      </c>
      <c r="C29" s="5">
        <v>25</v>
      </c>
      <c r="D29" s="6" t="s">
        <v>51</v>
      </c>
      <c r="E29" s="5" t="s">
        <v>25</v>
      </c>
      <c r="F29" s="7">
        <v>220</v>
      </c>
      <c r="G29" s="9">
        <f>16</f>
        <v>16</v>
      </c>
      <c r="H29" s="8" t="str">
        <f>"/////"</f>
        <v>/////</v>
      </c>
      <c r="I29" s="8" t="str">
        <f>"/////"</f>
        <v>/////</v>
      </c>
      <c r="J29" s="8" t="str">
        <f>"/////"</f>
        <v>/////</v>
      </c>
      <c r="K29" s="9">
        <f>15.41</f>
        <v>15.41</v>
      </c>
      <c r="L29" s="8" t="str">
        <f t="shared" si="3"/>
        <v>/////</v>
      </c>
      <c r="M29" s="9">
        <f>19.99</f>
        <v>19.989999999999998</v>
      </c>
      <c r="N29" s="8" t="str">
        <f t="shared" si="4"/>
        <v>/////</v>
      </c>
      <c r="O29" s="8" t="str">
        <f t="shared" si="5"/>
        <v>/////</v>
      </c>
      <c r="P29" s="8">
        <v>17.13</v>
      </c>
      <c r="Q29" s="8">
        <f t="shared" si="0"/>
        <v>3768.6</v>
      </c>
    </row>
    <row r="30" spans="1:17" x14ac:dyDescent="0.25">
      <c r="A30" s="5" t="s">
        <v>23</v>
      </c>
      <c r="B30" s="5">
        <v>1</v>
      </c>
      <c r="C30" s="5">
        <v>26</v>
      </c>
      <c r="D30" s="6" t="s">
        <v>52</v>
      </c>
      <c r="E30" s="5" t="s">
        <v>25</v>
      </c>
      <c r="F30" s="7">
        <v>215</v>
      </c>
      <c r="G30" s="8" t="str">
        <f>"/////"</f>
        <v>/////</v>
      </c>
      <c r="H30" s="8" t="str">
        <f>"/////"</f>
        <v>/////</v>
      </c>
      <c r="I30" s="8" t="str">
        <f>"/////"</f>
        <v>/////</v>
      </c>
      <c r="J30" s="9">
        <f>5.7</f>
        <v>5.7</v>
      </c>
      <c r="K30" s="9">
        <f>6.59</f>
        <v>6.59</v>
      </c>
      <c r="L30" s="8" t="str">
        <f t="shared" si="3"/>
        <v>/////</v>
      </c>
      <c r="M30" s="9">
        <f>5.9</f>
        <v>5.9</v>
      </c>
      <c r="N30" s="8" t="str">
        <f t="shared" si="4"/>
        <v>/////</v>
      </c>
      <c r="O30" s="8" t="str">
        <f t="shared" si="5"/>
        <v>/////</v>
      </c>
      <c r="P30" s="8">
        <v>6.06</v>
      </c>
      <c r="Q30" s="8">
        <f t="shared" si="0"/>
        <v>1302.8999999999999</v>
      </c>
    </row>
    <row r="31" spans="1:17" x14ac:dyDescent="0.25">
      <c r="A31" s="5" t="s">
        <v>23</v>
      </c>
      <c r="B31" s="5">
        <v>1</v>
      </c>
      <c r="C31" s="5">
        <v>27</v>
      </c>
      <c r="D31" s="6" t="s">
        <v>53</v>
      </c>
      <c r="E31" s="5" t="s">
        <v>54</v>
      </c>
      <c r="F31" s="7">
        <v>160</v>
      </c>
      <c r="G31" s="9">
        <f>43.33</f>
        <v>43.33</v>
      </c>
      <c r="H31" s="8" t="str">
        <f>"/////"</f>
        <v>/////</v>
      </c>
      <c r="I31" s="8" t="str">
        <f>"/////"</f>
        <v>/////</v>
      </c>
      <c r="J31" s="8" t="str">
        <f>"/////"</f>
        <v>/////</v>
      </c>
      <c r="K31" s="8" t="str">
        <f>"/////"</f>
        <v>/////</v>
      </c>
      <c r="L31" s="9">
        <f>64.99</f>
        <v>64.989999999999995</v>
      </c>
      <c r="M31" s="8" t="str">
        <f>"/////"</f>
        <v>/////</v>
      </c>
      <c r="N31" s="8" t="str">
        <f t="shared" si="4"/>
        <v>/////</v>
      </c>
      <c r="O31" s="9">
        <f>69.3</f>
        <v>69.3</v>
      </c>
      <c r="P31" s="8">
        <v>59.21</v>
      </c>
      <c r="Q31" s="8">
        <f t="shared" si="0"/>
        <v>9473.6</v>
      </c>
    </row>
    <row r="32" spans="1:17" x14ac:dyDescent="0.25">
      <c r="A32" s="5" t="s">
        <v>23</v>
      </c>
      <c r="B32" s="5">
        <v>1</v>
      </c>
      <c r="C32" s="5">
        <v>28</v>
      </c>
      <c r="D32" s="6" t="s">
        <v>55</v>
      </c>
      <c r="E32" s="5" t="s">
        <v>25</v>
      </c>
      <c r="F32" s="7">
        <v>60</v>
      </c>
      <c r="G32" s="8" t="str">
        <f t="shared" ref="G32:J33" si="7">"/////"</f>
        <v>/////</v>
      </c>
      <c r="H32" s="8" t="str">
        <f t="shared" si="7"/>
        <v>/////</v>
      </c>
      <c r="I32" s="8" t="str">
        <f t="shared" si="7"/>
        <v>/////</v>
      </c>
      <c r="J32" s="8" t="str">
        <f t="shared" si="7"/>
        <v>/////</v>
      </c>
      <c r="K32" s="9">
        <f>140.5133</f>
        <v>140.51329999999999</v>
      </c>
      <c r="L32" s="8" t="str">
        <f>"/////"</f>
        <v>/////</v>
      </c>
      <c r="M32" s="8" t="str">
        <f>"/////"</f>
        <v>/////</v>
      </c>
      <c r="N32" s="9">
        <f>130.99</f>
        <v>130.99</v>
      </c>
      <c r="O32" s="9">
        <f>110</f>
        <v>110</v>
      </c>
      <c r="P32" s="8">
        <v>127.17</v>
      </c>
      <c r="Q32" s="8">
        <f t="shared" si="0"/>
        <v>7630.2</v>
      </c>
    </row>
    <row r="33" spans="1:17" x14ac:dyDescent="0.25">
      <c r="A33" s="10" t="s">
        <v>56</v>
      </c>
      <c r="B33" s="10"/>
      <c r="C33" s="10"/>
      <c r="D33" s="10"/>
      <c r="E33" s="10"/>
      <c r="F33" s="10"/>
      <c r="G33" s="8" t="str">
        <f t="shared" si="7"/>
        <v>/////</v>
      </c>
      <c r="H33" s="8" t="str">
        <f t="shared" si="7"/>
        <v>/////</v>
      </c>
      <c r="I33" s="8" t="str">
        <f t="shared" si="7"/>
        <v>/////</v>
      </c>
      <c r="J33" s="8" t="str">
        <f t="shared" si="7"/>
        <v>/////</v>
      </c>
      <c r="K33" s="8" t="str">
        <f>"/////"</f>
        <v>/////</v>
      </c>
      <c r="L33" s="8" t="str">
        <f>"/////"</f>
        <v>/////</v>
      </c>
      <c r="M33" s="8" t="str">
        <f>"/////"</f>
        <v>/////</v>
      </c>
      <c r="N33" s="8" t="str">
        <f>"/////"</f>
        <v>/////</v>
      </c>
      <c r="O33" s="8" t="str">
        <f>"/////"</f>
        <v>/////</v>
      </c>
      <c r="P33" s="8" t="s">
        <v>57</v>
      </c>
      <c r="Q33" s="8">
        <f>ROUND(SUM(Q5:Q32),2)</f>
        <v>131401.07</v>
      </c>
    </row>
    <row r="34" spans="1:17" ht="15.75" x14ac:dyDescent="0.25">
      <c r="A34" s="11" t="s">
        <v>58</v>
      </c>
      <c r="B34" s="11"/>
      <c r="C34" s="11"/>
      <c r="D34" s="11"/>
      <c r="E34" s="12" t="s">
        <v>59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3">
        <v>131401.07</v>
      </c>
      <c r="Q34" s="13"/>
    </row>
  </sheetData>
  <mergeCells count="11">
    <mergeCell ref="A33:F33"/>
    <mergeCell ref="A34:D34"/>
    <mergeCell ref="E34:O34"/>
    <mergeCell ref="P34:Q34"/>
    <mergeCell ref="A1:Q1"/>
    <mergeCell ref="A2:C2"/>
    <mergeCell ref="D2:O2"/>
    <mergeCell ref="P2:Q2"/>
    <mergeCell ref="A3:C3"/>
    <mergeCell ref="D3:O3"/>
    <mergeCell ref="P3:Q3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2026-04-29T14:28:31Z</dcterms:created>
  <dcterms:modified xsi:type="dcterms:W3CDTF">2026-09-17T13:56:47Z</dcterms:modified>
  <cp:category/>
</cp:coreProperties>
</file>