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ebraepr.sharepoint.com/sites/FileserverSebraeRS/Documentos Compartilhados/Restrito/GADS/Suprimentos/Licitações e dispensas/Licitações 2026/MODALIDADES/PREGÃO/Pregão 046_2026 Facilites Nova Sede/"/>
    </mc:Choice>
  </mc:AlternateContent>
  <xr:revisionPtr revIDLastSave="11" documentId="13_ncr:1_{1503107F-38C6-4F59-8DFD-63D5DC493F15}" xr6:coauthVersionLast="47" xr6:coauthVersionMax="47" xr10:uidLastSave="{334D8D26-7D83-4F6F-93F8-F5F2E4D42BDA}"/>
  <bookViews>
    <workbookView xWindow="-110" yWindow="-110" windowWidth="19420" windowHeight="10300" tabRatio="534" firstSheet="10" activeTab="10" xr2:uid="{00000000-000D-0000-FFFF-FFFF00000000}"/>
  </bookViews>
  <sheets>
    <sheet name="Consolidada" sheetId="80" state="hidden" r:id="rId1"/>
    <sheet name="Canoas" sheetId="51" state="hidden" r:id="rId2"/>
    <sheet name="Uniforme e EPIs" sheetId="72" state="hidden" r:id="rId3"/>
    <sheet name="CX Sul" sheetId="83" state="hidden" r:id="rId4"/>
    <sheet name="CX Man" sheetId="84" state="hidden" r:id="rId5"/>
    <sheet name="CD" sheetId="85" state="hidden" r:id="rId6"/>
    <sheet name="Erechim" sheetId="86" state="hidden" r:id="rId7"/>
    <sheet name="Gravataí" sheetId="81" state="hidden" r:id="rId8"/>
    <sheet name="Ijuí" sheetId="87" state="hidden" r:id="rId9"/>
    <sheet name="Lajeado" sheetId="88" state="hidden" r:id="rId10"/>
    <sheet name="Composição de Custos" sheetId="89" r:id="rId11"/>
    <sheet name="incluir planilha demais postos" sheetId="98" r:id="rId12"/>
    <sheet name="Materiais" sheetId="82" r:id="rId13"/>
    <sheet name="Nov Ham" sheetId="91" state="hidden" r:id="rId14"/>
    <sheet name="Pass Fun" sheetId="92" state="hidden" r:id="rId15"/>
    <sheet name="Pelotas" sheetId="93" state="hidden" r:id="rId16"/>
    <sheet name="Sat Crz" sheetId="94" state="hidden" r:id="rId17"/>
    <sheet name="Sta Mr" sheetId="95" state="hidden" r:id="rId18"/>
    <sheet name="Livram" sheetId="96" state="hidden" r:id="rId19"/>
    <sheet name="Sao Leopo" sheetId="97" state="hidden" r:id="rId20"/>
    <sheet name="Apuração SPED" sheetId="79" state="hidden" r:id="rId21"/>
    <sheet name="Memória Encargos" sheetId="67" state="hidden" r:id="rId22"/>
    <sheet name="M2" sheetId="73" state="hidden" r:id="rId23"/>
  </sheets>
  <externalReferences>
    <externalReference r:id="rId24"/>
  </externalReferences>
  <definedNames>
    <definedName name="__shared_2_1_0">"""ROUND([.A1]*[.C1]/[.B1];2)"""</definedName>
    <definedName name="__shared_2_2_0">"""ROUND([.A1]*[.C1]/[.B1];2)"""</definedName>
    <definedName name="__shared_2_3_0">"""[.A1]+[.$E$100]"""</definedName>
    <definedName name="__shared_4_14_0">"""[.A1]*[.$D$24]"""</definedName>
    <definedName name="__shared_4_15_0">"""[.A1]*[.$E$24]"""</definedName>
    <definedName name="__shared_4_16_0">"""[.A1]*[.$F$24]"""</definedName>
    <definedName name="__shared_4_17_0">"""[.A1]*[.$G$24]"""</definedName>
    <definedName name="__shared_4_18_0">"""[.A1]*[.$H$24]"""</definedName>
    <definedName name="__shared_4_19_0">"""SUM([.A1:.A7])"""</definedName>
    <definedName name="__shared_4_21_0">"""[.A1]*[.$D$24]"""</definedName>
    <definedName name="__shared_4_22_0">"""[.A1]*[.$E$24]"""</definedName>
    <definedName name="__shared_4_23_0">"""[.A1]*[.$F$24]"""</definedName>
    <definedName name="__shared_4_24_0">"""[.A1]*[.$G$24]"""</definedName>
    <definedName name="__shared_4_25_0">"""[.A1]*[.$H$24]"""</definedName>
    <definedName name="__shared_4_26_0">"""SUM([.A1:.A8])"""</definedName>
    <definedName name="__shared_4_3_0">"""ROUND([.$D$24]*[.A1];2)"""</definedName>
    <definedName name="__shared_4_4_0">"""[.$E$24]*[.A1]"""</definedName>
    <definedName name="__shared_4_5_0">"""[.$F$24]*[.A1]"""</definedName>
    <definedName name="__shared_4_6_0">"""[.$G$24]*[.A1]"""</definedName>
    <definedName name="__shared_4_7_0">"""[.$H$24]*[.A1]"""</definedName>
    <definedName name="__shared_6_0_0">"""[.A1]*[.B1]"""</definedName>
    <definedName name="__shared_6_1_0">"""[.A1]*[.B1]"""</definedName>
    <definedName name="__shared_7_0_0">"""ROUND([.$D$24]*[.A1];2)"""</definedName>
    <definedName name="__shared_7_1_0">"""[.$E$24]*[.A1]"""</definedName>
    <definedName name="__shared_7_10_0">"""[.A1]*[.$E$24]"""</definedName>
    <definedName name="__shared_7_11_0">"""[.A1]*[.$F$24]"""</definedName>
    <definedName name="__shared_7_12_0">"""[.A1]*[.$G$24]"""</definedName>
    <definedName name="__shared_7_13_0">"""[.A1]*[.$H$24]"""</definedName>
    <definedName name="__shared_7_14_0">"""SUM([.A1:.A7])"""</definedName>
    <definedName name="__shared_7_15_0">"""[.A1]*[.$D$24]"""</definedName>
    <definedName name="__shared_7_16_0">"""[.A1]*[.$E$24]"""</definedName>
    <definedName name="__shared_7_17_0">"""[.A1]*[.$F$24]"""</definedName>
    <definedName name="__shared_7_18_0">"""[.A1]*[.$G$24]"""</definedName>
    <definedName name="__shared_7_19_0">"""[.A1]*[.$H$24]"""</definedName>
    <definedName name="__shared_7_2_0">"""[.$F$24]*[.A1]"""</definedName>
    <definedName name="__shared_7_20_0">"""SUM([.A1:.A8])"""</definedName>
    <definedName name="__shared_7_3_0">"""[.$G$24]*[.A1]"""</definedName>
    <definedName name="__shared_7_4_0">"""[.$H$24]*[.A1]"""</definedName>
    <definedName name="__shared_7_9_0">"""[.A1]*[.$D$24]"""</definedName>
    <definedName name="__shared_9_13_0">"""[.A1]*[.$D$24]"""</definedName>
    <definedName name="__shared_9_14_0">"""[.A1]*[.$E$24]"""</definedName>
    <definedName name="__shared_9_15_0">"""[.A1]*[.$F$24]"""</definedName>
    <definedName name="__shared_9_16_0">"""[.A1]*[.$G$24]"""</definedName>
    <definedName name="__shared_9_17_0">"""[.A1]*[.$H$24]"""</definedName>
    <definedName name="__shared_9_18_0">"""SUM([.A1:.A7])"""</definedName>
    <definedName name="__shared_9_2_0">"""ROUND([.$D$24]*[.A1];2)"""</definedName>
    <definedName name="__shared_9_20_0">"""[.A1]*[.$D$24]"""</definedName>
    <definedName name="__shared_9_21_0">"""[.A1]*[.$E$24]"""</definedName>
    <definedName name="__shared_9_22_0">"""[.A1]*[.$F$24]"""</definedName>
    <definedName name="__shared_9_23_0">"""[.A1]*[.$G$24]"""</definedName>
    <definedName name="__shared_9_24_0">"""[.A1]*[.$H$24]"""</definedName>
    <definedName name="__shared_9_25_0">"""SUM([.A1:.A8])"""</definedName>
    <definedName name="__shared_9_3_0">"""[.$E$24]*[.A1]"""</definedName>
    <definedName name="__shared_9_4_0">"""[.$F$24]*[.A1]"""</definedName>
    <definedName name="__shared_9_5_0">"""[.$G$24]*[.A1]"""</definedName>
    <definedName name="__shared_9_6_0">"""[.$H$24]*[.A1]"""</definedName>
    <definedName name="_xlnm.Print_Area" localSheetId="20">'Apuração SPED'!$A$1:$F$33</definedName>
    <definedName name="_xlnm.Print_Area" localSheetId="1">Canoas!$A$1:$E$120</definedName>
    <definedName name="_xlnm.Print_Area" localSheetId="5">CD!$A$1:$E$120</definedName>
    <definedName name="_xlnm.Print_Area" localSheetId="10">'Composição de Custos'!$A$1:$G$132</definedName>
    <definedName name="_xlnm.Print_Area" localSheetId="0">Consolidada!$A$1:$F$56</definedName>
    <definedName name="_xlnm.Print_Area" localSheetId="4">'CX Man'!$A$1:$E$120</definedName>
    <definedName name="_xlnm.Print_Area" localSheetId="3">'CX Sul'!$A$1:$E$120</definedName>
    <definedName name="_xlnm.Print_Area" localSheetId="6">Erechim!$A$1:$E$120</definedName>
    <definedName name="_xlnm.Print_Area" localSheetId="7">Gravataí!$A$1:$E$120</definedName>
    <definedName name="_xlnm.Print_Area" localSheetId="8">Ijuí!$A$1:$E$120</definedName>
    <definedName name="_xlnm.Print_Area" localSheetId="9">Lajeado!$A$1:$E$120</definedName>
    <definedName name="_xlnm.Print_Area" localSheetId="18">Livram!$A$1:$E$120</definedName>
    <definedName name="_xlnm.Print_Area" localSheetId="22">'M2'!$B$2:$H$138</definedName>
    <definedName name="_xlnm.Print_Area" localSheetId="21">'Memória Encargos'!$A$1:$F$118</definedName>
    <definedName name="_xlnm.Print_Area" localSheetId="13">'Nov Ham'!$A$1:$E$120</definedName>
    <definedName name="_xlnm.Print_Area" localSheetId="14">'Pass Fun'!$A$1:$E$120</definedName>
    <definedName name="_xlnm.Print_Area" localSheetId="15">Pelotas!$A$1:$E$120</definedName>
    <definedName name="_xlnm.Print_Area" localSheetId="19">'Sao Leopo'!$A$1:$E$120</definedName>
    <definedName name="_xlnm.Print_Area" localSheetId="16">'Sat Crz'!$A$1:$E$120</definedName>
    <definedName name="_xlnm.Print_Area" localSheetId="17">'Sta Mr'!$A$1:$E$120</definedName>
    <definedName name="_xlnm.Print_Area" localSheetId="2">'Uniforme e EPIs'!$A$1:$H$8</definedName>
    <definedName name="COFINS" localSheetId="1">#REF!</definedName>
    <definedName name="COFINS" localSheetId="5">#REF!</definedName>
    <definedName name="COFINS" localSheetId="10">#REF!</definedName>
    <definedName name="COFINS" localSheetId="4">#REF!</definedName>
    <definedName name="COFINS" localSheetId="3">#REF!</definedName>
    <definedName name="COFINS" localSheetId="6">#REF!</definedName>
    <definedName name="COFINS" localSheetId="7">#REF!</definedName>
    <definedName name="COFINS" localSheetId="8">#REF!</definedName>
    <definedName name="COFINS" localSheetId="9">#REF!</definedName>
    <definedName name="COFINS" localSheetId="18">#REF!</definedName>
    <definedName name="COFINS" localSheetId="22">#REF!</definedName>
    <definedName name="COFINS" localSheetId="13">#REF!</definedName>
    <definedName name="COFINS" localSheetId="14">#REF!</definedName>
    <definedName name="COFINS" localSheetId="15">#REF!</definedName>
    <definedName name="COFINS" localSheetId="19">#REF!</definedName>
    <definedName name="COFINS" localSheetId="16">#REF!</definedName>
    <definedName name="COFINS" localSheetId="17">#REF!</definedName>
    <definedName name="COFINS">#REF!</definedName>
    <definedName name="COFINSM" localSheetId="1">#REF!</definedName>
    <definedName name="COFINSM" localSheetId="5">#REF!</definedName>
    <definedName name="COFINSM" localSheetId="10">#REF!</definedName>
    <definedName name="COFINSM" localSheetId="4">#REF!</definedName>
    <definedName name="COFINSM" localSheetId="3">#REF!</definedName>
    <definedName name="COFINSM" localSheetId="6">#REF!</definedName>
    <definedName name="COFINSM" localSheetId="7">#REF!</definedName>
    <definedName name="COFINSM" localSheetId="8">#REF!</definedName>
    <definedName name="COFINSM" localSheetId="9">#REF!</definedName>
    <definedName name="COFINSM" localSheetId="18">#REF!</definedName>
    <definedName name="COFINSM" localSheetId="22">#REF!</definedName>
    <definedName name="COFINSM" localSheetId="13">#REF!</definedName>
    <definedName name="COFINSM" localSheetId="14">#REF!</definedName>
    <definedName name="COFINSM" localSheetId="15">#REF!</definedName>
    <definedName name="COFINSM" localSheetId="19">#REF!</definedName>
    <definedName name="COFINSM" localSheetId="16">#REF!</definedName>
    <definedName name="COFINSM" localSheetId="17">#REF!</definedName>
    <definedName name="COFINSM">#REF!</definedName>
    <definedName name="CPMF" localSheetId="1">#REF!</definedName>
    <definedName name="CPMF" localSheetId="5">#REF!</definedName>
    <definedName name="CPMF" localSheetId="10">#REF!</definedName>
    <definedName name="CPMF" localSheetId="0">#REF!</definedName>
    <definedName name="CPMF" localSheetId="4">#REF!</definedName>
    <definedName name="CPMF" localSheetId="3">#REF!</definedName>
    <definedName name="CPMF" localSheetId="6">#REF!</definedName>
    <definedName name="CPMF" localSheetId="7">#REF!</definedName>
    <definedName name="CPMF" localSheetId="8">#REF!</definedName>
    <definedName name="CPMF" localSheetId="9">#REF!</definedName>
    <definedName name="CPMF" localSheetId="18">#REF!</definedName>
    <definedName name="CPMF" localSheetId="22">#REF!</definedName>
    <definedName name="CPMF" localSheetId="13">#REF!</definedName>
    <definedName name="CPMF" localSheetId="14">#REF!</definedName>
    <definedName name="CPMF" localSheetId="15">#REF!</definedName>
    <definedName name="CPMF" localSheetId="19">#REF!</definedName>
    <definedName name="CPMF" localSheetId="16">#REF!</definedName>
    <definedName name="CPMF" localSheetId="17">#REF!</definedName>
    <definedName name="CPMF">#REF!</definedName>
    <definedName name="custos_indiretos" localSheetId="1">#REF!</definedName>
    <definedName name="custos_indiretos" localSheetId="5">#REF!</definedName>
    <definedName name="custos_indiretos" localSheetId="10">#REF!</definedName>
    <definedName name="custos_indiretos" localSheetId="4">#REF!</definedName>
    <definedName name="custos_indiretos" localSheetId="3">#REF!</definedName>
    <definedName name="custos_indiretos" localSheetId="6">#REF!</definedName>
    <definedName name="custos_indiretos" localSheetId="7">#REF!</definedName>
    <definedName name="custos_indiretos" localSheetId="8">#REF!</definedName>
    <definedName name="custos_indiretos" localSheetId="9">#REF!</definedName>
    <definedName name="custos_indiretos" localSheetId="18">#REF!</definedName>
    <definedName name="custos_indiretos" localSheetId="22">#REF!</definedName>
    <definedName name="custos_indiretos" localSheetId="13">#REF!</definedName>
    <definedName name="custos_indiretos" localSheetId="14">#REF!</definedName>
    <definedName name="custos_indiretos" localSheetId="15">#REF!</definedName>
    <definedName name="custos_indiretos" localSheetId="19">#REF!</definedName>
    <definedName name="custos_indiretos" localSheetId="16">#REF!</definedName>
    <definedName name="custos_indiretos" localSheetId="17">#REF!</definedName>
    <definedName name="custos_indiretos">#REF!</definedName>
    <definedName name="custos_indiretosM" localSheetId="1">#REF!</definedName>
    <definedName name="custos_indiretosM" localSheetId="5">#REF!</definedName>
    <definedName name="custos_indiretosM" localSheetId="10">#REF!</definedName>
    <definedName name="custos_indiretosM" localSheetId="4">#REF!</definedName>
    <definedName name="custos_indiretosM" localSheetId="3">#REF!</definedName>
    <definedName name="custos_indiretosM" localSheetId="6">#REF!</definedName>
    <definedName name="custos_indiretosM" localSheetId="7">#REF!</definedName>
    <definedName name="custos_indiretosM" localSheetId="8">#REF!</definedName>
    <definedName name="custos_indiretosM" localSheetId="9">#REF!</definedName>
    <definedName name="custos_indiretosM" localSheetId="18">#REF!</definedName>
    <definedName name="custos_indiretosM" localSheetId="22">#REF!</definedName>
    <definedName name="custos_indiretosM" localSheetId="13">#REF!</definedName>
    <definedName name="custos_indiretosM" localSheetId="14">#REF!</definedName>
    <definedName name="custos_indiretosM" localSheetId="15">#REF!</definedName>
    <definedName name="custos_indiretosM" localSheetId="19">#REF!</definedName>
    <definedName name="custos_indiretosM" localSheetId="16">#REF!</definedName>
    <definedName name="custos_indiretosM" localSheetId="17">#REF!</definedName>
    <definedName name="custos_indiretosM">#REF!</definedName>
    <definedName name="Excel_BuiltIn_Print_Area_1_1">"$#REF!.$A$2:$C$99"</definedName>
    <definedName name="Excel_BuiltIn_Print_Area_10">"$#REF!.$A$1:$C$71"</definedName>
    <definedName name="Excel_BuiltIn_Print_Area_11">"$#REF!.$A$1:$C$71"</definedName>
    <definedName name="Excel_BuiltIn_Print_Area_12">"$#REF!.$A$1:$C$71"</definedName>
    <definedName name="Excel_BuiltIn_Print_Area_13">"$#REF!.$A$1:$C$71"</definedName>
    <definedName name="Excel_BuiltIn_Print_Area_14">"$#REF!.$A$1:$C$71"</definedName>
    <definedName name="Excel_BuiltIn_Print_Area_15">"$#REF!.$A$1:$C$71"</definedName>
    <definedName name="Excel_BuiltIn_Print_Area_16">"$#REF!.$A$1:$C$71"</definedName>
    <definedName name="Excel_BuiltIn_Print_Area_17">"$#REF!.$A$1:$C$71"</definedName>
    <definedName name="Excel_BuiltIn_Print_Area_2">"$#REF!.$A$1:$C$72"</definedName>
    <definedName name="Excel_BuiltIn_Print_Area_4">"$#REF!.$A$1:$C$71"</definedName>
    <definedName name="Excel_BuiltIn_Print_Area_5">"$#REF!.$A$1:$C$71"</definedName>
    <definedName name="Excel_BuiltIn_Print_Area_6">"$#REF!.$A$1:$C$71"</definedName>
    <definedName name="Excel_BuiltIn_Print_Area_7">"$#REF!.$A$1:$C$71"</definedName>
    <definedName name="Excel_BuiltIn_Print_Area_8">"$#REF!.$A$1:$C$71"</definedName>
    <definedName name="Excel_BuiltIn_Print_Area_9">"$#REF!.$A$1:$C$71"</definedName>
    <definedName name="Excel_BuiltIn_Print_Titles_1">"$#REF!.$A$1:$AMJ$5"</definedName>
    <definedName name="indice_oco_afast_matern" localSheetId="1">#REF!</definedName>
    <definedName name="indice_oco_afast_matern" localSheetId="5">#REF!</definedName>
    <definedName name="indice_oco_afast_matern" localSheetId="10">#REF!</definedName>
    <definedName name="indice_oco_afast_matern" localSheetId="4">#REF!</definedName>
    <definedName name="indice_oco_afast_matern" localSheetId="3">#REF!</definedName>
    <definedName name="indice_oco_afast_matern" localSheetId="6">#REF!</definedName>
    <definedName name="indice_oco_afast_matern" localSheetId="7">#REF!</definedName>
    <definedName name="indice_oco_afast_matern" localSheetId="8">#REF!</definedName>
    <definedName name="indice_oco_afast_matern" localSheetId="9">#REF!</definedName>
    <definedName name="indice_oco_afast_matern" localSheetId="18">#REF!</definedName>
    <definedName name="indice_oco_afast_matern" localSheetId="22">#REF!</definedName>
    <definedName name="indice_oco_afast_matern" localSheetId="13">#REF!</definedName>
    <definedName name="indice_oco_afast_matern" localSheetId="14">#REF!</definedName>
    <definedName name="indice_oco_afast_matern" localSheetId="15">#REF!</definedName>
    <definedName name="indice_oco_afast_matern" localSheetId="19">#REF!</definedName>
    <definedName name="indice_oco_afast_matern" localSheetId="16">#REF!</definedName>
    <definedName name="indice_oco_afast_matern" localSheetId="17">#REF!</definedName>
    <definedName name="indice_oco_afast_matern">#REF!</definedName>
    <definedName name="indice_oco_demis" localSheetId="1">#REF!</definedName>
    <definedName name="indice_oco_demis" localSheetId="5">#REF!</definedName>
    <definedName name="indice_oco_demis" localSheetId="10">#REF!</definedName>
    <definedName name="indice_oco_demis" localSheetId="4">#REF!</definedName>
    <definedName name="indice_oco_demis" localSheetId="3">#REF!</definedName>
    <definedName name="indice_oco_demis" localSheetId="6">#REF!</definedName>
    <definedName name="indice_oco_demis" localSheetId="7">#REF!</definedName>
    <definedName name="indice_oco_demis" localSheetId="8">#REF!</definedName>
    <definedName name="indice_oco_demis" localSheetId="9">#REF!</definedName>
    <definedName name="indice_oco_demis" localSheetId="18">#REF!</definedName>
    <definedName name="indice_oco_demis" localSheetId="22">#REF!</definedName>
    <definedName name="indice_oco_demis" localSheetId="13">#REF!</definedName>
    <definedName name="indice_oco_demis" localSheetId="14">#REF!</definedName>
    <definedName name="indice_oco_demis" localSheetId="15">#REF!</definedName>
    <definedName name="indice_oco_demis" localSheetId="19">#REF!</definedName>
    <definedName name="indice_oco_demis" localSheetId="16">#REF!</definedName>
    <definedName name="indice_oco_demis" localSheetId="17">#REF!</definedName>
    <definedName name="indice_oco_demis">#REF!</definedName>
    <definedName name="ISS" localSheetId="1">#REF!</definedName>
    <definedName name="ISS" localSheetId="5">#REF!</definedName>
    <definedName name="ISS" localSheetId="10">#REF!</definedName>
    <definedName name="ISS" localSheetId="4">#REF!</definedName>
    <definedName name="ISS" localSheetId="3">#REF!</definedName>
    <definedName name="ISS" localSheetId="6">#REF!</definedName>
    <definedName name="ISS" localSheetId="7">#REF!</definedName>
    <definedName name="ISS" localSheetId="8">#REF!</definedName>
    <definedName name="ISS" localSheetId="9">#REF!</definedName>
    <definedName name="ISS" localSheetId="18">#REF!</definedName>
    <definedName name="ISS" localSheetId="22">#REF!</definedName>
    <definedName name="ISS" localSheetId="13">#REF!</definedName>
    <definedName name="ISS" localSheetId="14">#REF!</definedName>
    <definedName name="ISS" localSheetId="15">#REF!</definedName>
    <definedName name="ISS" localSheetId="19">#REF!</definedName>
    <definedName name="ISS" localSheetId="16">#REF!</definedName>
    <definedName name="ISS" localSheetId="17">#REF!</definedName>
    <definedName name="ISS">#REF!</definedName>
    <definedName name="ISSM" localSheetId="1">#REF!</definedName>
    <definedName name="ISSM" localSheetId="5">#REF!</definedName>
    <definedName name="ISSM" localSheetId="10">#REF!</definedName>
    <definedName name="ISSM" localSheetId="4">#REF!</definedName>
    <definedName name="ISSM" localSheetId="3">#REF!</definedName>
    <definedName name="ISSM" localSheetId="6">#REF!</definedName>
    <definedName name="ISSM" localSheetId="7">#REF!</definedName>
    <definedName name="ISSM" localSheetId="8">#REF!</definedName>
    <definedName name="ISSM" localSheetId="9">#REF!</definedName>
    <definedName name="ISSM" localSheetId="18">#REF!</definedName>
    <definedName name="ISSM" localSheetId="22">#REF!</definedName>
    <definedName name="ISSM" localSheetId="13">#REF!</definedName>
    <definedName name="ISSM" localSheetId="14">#REF!</definedName>
    <definedName name="ISSM" localSheetId="15">#REF!</definedName>
    <definedName name="ISSM" localSheetId="19">#REF!</definedName>
    <definedName name="ISSM" localSheetId="16">#REF!</definedName>
    <definedName name="ISSM" localSheetId="17">#REF!</definedName>
    <definedName name="ISSM">#REF!</definedName>
    <definedName name="lucro" localSheetId="1">#REF!</definedName>
    <definedName name="lucro" localSheetId="5">#REF!</definedName>
    <definedName name="lucro" localSheetId="10">#REF!</definedName>
    <definedName name="lucro" localSheetId="4">#REF!</definedName>
    <definedName name="lucro" localSheetId="3">#REF!</definedName>
    <definedName name="lucro" localSheetId="6">#REF!</definedName>
    <definedName name="lucro" localSheetId="7">#REF!</definedName>
    <definedName name="lucro" localSheetId="8">#REF!</definedName>
    <definedName name="lucro" localSheetId="9">#REF!</definedName>
    <definedName name="lucro" localSheetId="18">#REF!</definedName>
    <definedName name="lucro" localSheetId="22">#REF!</definedName>
    <definedName name="lucro" localSheetId="13">#REF!</definedName>
    <definedName name="lucro" localSheetId="14">#REF!</definedName>
    <definedName name="lucro" localSheetId="15">#REF!</definedName>
    <definedName name="lucro" localSheetId="19">#REF!</definedName>
    <definedName name="lucro" localSheetId="16">#REF!</definedName>
    <definedName name="lucro" localSheetId="17">#REF!</definedName>
    <definedName name="lucro">#REF!</definedName>
    <definedName name="lucroM" localSheetId="1">#REF!</definedName>
    <definedName name="lucroM" localSheetId="5">#REF!</definedName>
    <definedName name="lucroM" localSheetId="10">#REF!</definedName>
    <definedName name="lucroM" localSheetId="4">#REF!</definedName>
    <definedName name="lucroM" localSheetId="3">#REF!</definedName>
    <definedName name="lucroM" localSheetId="6">#REF!</definedName>
    <definedName name="lucroM" localSheetId="7">#REF!</definedName>
    <definedName name="lucroM" localSheetId="8">#REF!</definedName>
    <definedName name="lucroM" localSheetId="9">#REF!</definedName>
    <definedName name="lucroM" localSheetId="18">#REF!</definedName>
    <definedName name="lucroM" localSheetId="22">#REF!</definedName>
    <definedName name="lucroM" localSheetId="13">#REF!</definedName>
    <definedName name="lucroM" localSheetId="14">#REF!</definedName>
    <definedName name="lucroM" localSheetId="15">#REF!</definedName>
    <definedName name="lucroM" localSheetId="19">#REF!</definedName>
    <definedName name="lucroM" localSheetId="16">#REF!</definedName>
    <definedName name="lucroM" localSheetId="17">#REF!</definedName>
    <definedName name="lucroM">#REF!</definedName>
    <definedName name="M1a4" localSheetId="1">#REF!</definedName>
    <definedName name="M1a4" localSheetId="5">#REF!</definedName>
    <definedName name="M1a4" localSheetId="10">#REF!</definedName>
    <definedName name="M1a4" localSheetId="4">#REF!</definedName>
    <definedName name="M1a4" localSheetId="3">#REF!</definedName>
    <definedName name="M1a4" localSheetId="6">#REF!</definedName>
    <definedName name="M1a4" localSheetId="7">#REF!</definedName>
    <definedName name="M1a4" localSheetId="8">#REF!</definedName>
    <definedName name="M1a4" localSheetId="9">#REF!</definedName>
    <definedName name="M1a4" localSheetId="18">#REF!</definedName>
    <definedName name="M1a4" localSheetId="22">#REF!</definedName>
    <definedName name="M1a4" localSheetId="13">#REF!</definedName>
    <definedName name="M1a4" localSheetId="14">#REF!</definedName>
    <definedName name="M1a4" localSheetId="15">#REF!</definedName>
    <definedName name="M1a4" localSheetId="19">#REF!</definedName>
    <definedName name="M1a4" localSheetId="16">#REF!</definedName>
    <definedName name="M1a4" localSheetId="17">#REF!</definedName>
    <definedName name="M1a4">#REF!</definedName>
    <definedName name="M1a4M" localSheetId="1">#REF!</definedName>
    <definedName name="M1a4M" localSheetId="5">#REF!</definedName>
    <definedName name="M1a4M" localSheetId="10">#REF!</definedName>
    <definedName name="M1a4M" localSheetId="4">#REF!</definedName>
    <definedName name="M1a4M" localSheetId="3">#REF!</definedName>
    <definedName name="M1a4M" localSheetId="6">#REF!</definedName>
    <definedName name="M1a4M" localSheetId="7">#REF!</definedName>
    <definedName name="M1a4M" localSheetId="8">#REF!</definedName>
    <definedName name="M1a4M" localSheetId="9">#REF!</definedName>
    <definedName name="M1a4M" localSheetId="18">#REF!</definedName>
    <definedName name="M1a4M" localSheetId="22">#REF!</definedName>
    <definedName name="M1a4M" localSheetId="13">#REF!</definedName>
    <definedName name="M1a4M" localSheetId="14">#REF!</definedName>
    <definedName name="M1a4M" localSheetId="15">#REF!</definedName>
    <definedName name="M1a4M" localSheetId="19">#REF!</definedName>
    <definedName name="M1a4M" localSheetId="16">#REF!</definedName>
    <definedName name="M1a4M" localSheetId="17">#REF!</definedName>
    <definedName name="M1a4M">#REF!</definedName>
    <definedName name="M2_" localSheetId="1">#REF!</definedName>
    <definedName name="M2_" localSheetId="5">#REF!</definedName>
    <definedName name="M2_" localSheetId="10">#REF!</definedName>
    <definedName name="M2_" localSheetId="4">#REF!</definedName>
    <definedName name="M2_" localSheetId="3">#REF!</definedName>
    <definedName name="M2_" localSheetId="6">#REF!</definedName>
    <definedName name="M2_" localSheetId="7">#REF!</definedName>
    <definedName name="M2_" localSheetId="8">#REF!</definedName>
    <definedName name="M2_" localSheetId="9">#REF!</definedName>
    <definedName name="M2_" localSheetId="18">#REF!</definedName>
    <definedName name="M2_" localSheetId="22">#REF!</definedName>
    <definedName name="M2_" localSheetId="13">#REF!</definedName>
    <definedName name="M2_" localSheetId="14">#REF!</definedName>
    <definedName name="M2_" localSheetId="15">#REF!</definedName>
    <definedName name="M2_" localSheetId="19">#REF!</definedName>
    <definedName name="M2_" localSheetId="16">#REF!</definedName>
    <definedName name="M2_" localSheetId="17">#REF!</definedName>
    <definedName name="M2_">#REF!</definedName>
    <definedName name="M2_M" localSheetId="1">#REF!</definedName>
    <definedName name="M2_M" localSheetId="5">#REF!</definedName>
    <definedName name="M2_M" localSheetId="10">#REF!</definedName>
    <definedName name="M2_M" localSheetId="4">#REF!</definedName>
    <definedName name="M2_M" localSheetId="3">#REF!</definedName>
    <definedName name="M2_M" localSheetId="6">#REF!</definedName>
    <definedName name="M2_M" localSheetId="7">#REF!</definedName>
    <definedName name="M2_M" localSheetId="8">#REF!</definedName>
    <definedName name="M2_M" localSheetId="9">#REF!</definedName>
    <definedName name="M2_M" localSheetId="18">#REF!</definedName>
    <definedName name="M2_M" localSheetId="22">#REF!</definedName>
    <definedName name="M2_M" localSheetId="13">#REF!</definedName>
    <definedName name="M2_M" localSheetId="14">#REF!</definedName>
    <definedName name="M2_M" localSheetId="15">#REF!</definedName>
    <definedName name="M2_M" localSheetId="19">#REF!</definedName>
    <definedName name="M2_M" localSheetId="16">#REF!</definedName>
    <definedName name="M2_M" localSheetId="17">#REF!</definedName>
    <definedName name="M2_M">#REF!</definedName>
    <definedName name="M3_" localSheetId="1">#REF!</definedName>
    <definedName name="M3_" localSheetId="5">#REF!</definedName>
    <definedName name="M3_" localSheetId="10">#REF!</definedName>
    <definedName name="M3_" localSheetId="4">#REF!</definedName>
    <definedName name="M3_" localSheetId="3">#REF!</definedName>
    <definedName name="M3_" localSheetId="6">#REF!</definedName>
    <definedName name="M3_" localSheetId="7">#REF!</definedName>
    <definedName name="M3_" localSheetId="8">#REF!</definedName>
    <definedName name="M3_" localSheetId="9">#REF!</definedName>
    <definedName name="M3_" localSheetId="18">#REF!</definedName>
    <definedName name="M3_" localSheetId="22">#REF!</definedName>
    <definedName name="M3_" localSheetId="13">#REF!</definedName>
    <definedName name="M3_" localSheetId="14">#REF!</definedName>
    <definedName name="M3_" localSheetId="15">#REF!</definedName>
    <definedName name="M3_" localSheetId="19">#REF!</definedName>
    <definedName name="M3_" localSheetId="16">#REF!</definedName>
    <definedName name="M3_" localSheetId="17">#REF!</definedName>
    <definedName name="M3_">#REF!</definedName>
    <definedName name="M3_M" localSheetId="1">#REF!</definedName>
    <definedName name="M3_M" localSheetId="5">#REF!</definedName>
    <definedName name="M3_M" localSheetId="10">#REF!</definedName>
    <definedName name="M3_M" localSheetId="4">#REF!</definedName>
    <definedName name="M3_M" localSheetId="3">#REF!</definedName>
    <definedName name="M3_M" localSheetId="6">#REF!</definedName>
    <definedName name="M3_M" localSheetId="7">#REF!</definedName>
    <definedName name="M3_M" localSheetId="8">#REF!</definedName>
    <definedName name="M3_M" localSheetId="9">#REF!</definedName>
    <definedName name="M3_M" localSheetId="18">#REF!</definedName>
    <definedName name="M3_M" localSheetId="22">#REF!</definedName>
    <definedName name="M3_M" localSheetId="13">#REF!</definedName>
    <definedName name="M3_M" localSheetId="14">#REF!</definedName>
    <definedName name="M3_M" localSheetId="15">#REF!</definedName>
    <definedName name="M3_M" localSheetId="19">#REF!</definedName>
    <definedName name="M3_M" localSheetId="16">#REF!</definedName>
    <definedName name="M3_M" localSheetId="17">#REF!</definedName>
    <definedName name="M3_M">#REF!</definedName>
    <definedName name="M4_" localSheetId="1">#REF!</definedName>
    <definedName name="M4_" localSheetId="5">#REF!</definedName>
    <definedName name="M4_" localSheetId="10">#REF!</definedName>
    <definedName name="M4_" localSheetId="4">#REF!</definedName>
    <definedName name="M4_" localSheetId="3">#REF!</definedName>
    <definedName name="M4_" localSheetId="6">#REF!</definedName>
    <definedName name="M4_" localSheetId="7">#REF!</definedName>
    <definedName name="M4_" localSheetId="8">#REF!</definedName>
    <definedName name="M4_" localSheetId="9">#REF!</definedName>
    <definedName name="M4_" localSheetId="18">#REF!</definedName>
    <definedName name="M4_" localSheetId="22">#REF!</definedName>
    <definedName name="M4_" localSheetId="13">#REF!</definedName>
    <definedName name="M4_" localSheetId="14">#REF!</definedName>
    <definedName name="M4_" localSheetId="15">#REF!</definedName>
    <definedName name="M4_" localSheetId="19">#REF!</definedName>
    <definedName name="M4_" localSheetId="16">#REF!</definedName>
    <definedName name="M4_" localSheetId="17">#REF!</definedName>
    <definedName name="M4_">#REF!</definedName>
    <definedName name="M4_1" localSheetId="1">#REF!</definedName>
    <definedName name="M4_1" localSheetId="5">#REF!</definedName>
    <definedName name="M4_1" localSheetId="10">#REF!</definedName>
    <definedName name="M4_1" localSheetId="4">#REF!</definedName>
    <definedName name="M4_1" localSheetId="3">#REF!</definedName>
    <definedName name="M4_1" localSheetId="6">#REF!</definedName>
    <definedName name="M4_1" localSheetId="7">#REF!</definedName>
    <definedName name="M4_1" localSheetId="8">#REF!</definedName>
    <definedName name="M4_1" localSheetId="9">#REF!</definedName>
    <definedName name="M4_1" localSheetId="18">#REF!</definedName>
    <definedName name="M4_1" localSheetId="22">#REF!</definedName>
    <definedName name="M4_1" localSheetId="13">#REF!</definedName>
    <definedName name="M4_1" localSheetId="14">#REF!</definedName>
    <definedName name="M4_1" localSheetId="15">#REF!</definedName>
    <definedName name="M4_1" localSheetId="19">#REF!</definedName>
    <definedName name="M4_1" localSheetId="16">#REF!</definedName>
    <definedName name="M4_1" localSheetId="17">#REF!</definedName>
    <definedName name="M4_1">#REF!</definedName>
    <definedName name="M4_1M" localSheetId="1">#REF!</definedName>
    <definedName name="M4_1M" localSheetId="5">#REF!</definedName>
    <definedName name="M4_1M" localSheetId="10">#REF!</definedName>
    <definedName name="M4_1M" localSheetId="4">#REF!</definedName>
    <definedName name="M4_1M" localSheetId="3">#REF!</definedName>
    <definedName name="M4_1M" localSheetId="6">#REF!</definedName>
    <definedName name="M4_1M" localSheetId="7">#REF!</definedName>
    <definedName name="M4_1M" localSheetId="8">#REF!</definedName>
    <definedName name="M4_1M" localSheetId="9">#REF!</definedName>
    <definedName name="M4_1M" localSheetId="18">#REF!</definedName>
    <definedName name="M4_1M" localSheetId="22">#REF!</definedName>
    <definedName name="M4_1M" localSheetId="13">#REF!</definedName>
    <definedName name="M4_1M" localSheetId="14">#REF!</definedName>
    <definedName name="M4_1M" localSheetId="15">#REF!</definedName>
    <definedName name="M4_1M" localSheetId="19">#REF!</definedName>
    <definedName name="M4_1M" localSheetId="16">#REF!</definedName>
    <definedName name="M4_1M" localSheetId="17">#REF!</definedName>
    <definedName name="M4_1M">#REF!</definedName>
    <definedName name="M4_2" localSheetId="1">#REF!</definedName>
    <definedName name="M4_2" localSheetId="5">#REF!</definedName>
    <definedName name="M4_2" localSheetId="10">#REF!</definedName>
    <definedName name="M4_2" localSheetId="4">#REF!</definedName>
    <definedName name="M4_2" localSheetId="3">#REF!</definedName>
    <definedName name="M4_2" localSheetId="6">#REF!</definedName>
    <definedName name="M4_2" localSheetId="7">#REF!</definedName>
    <definedName name="M4_2" localSheetId="8">#REF!</definedName>
    <definedName name="M4_2" localSheetId="9">#REF!</definedName>
    <definedName name="M4_2" localSheetId="18">#REF!</definedName>
    <definedName name="M4_2" localSheetId="22">#REF!</definedName>
    <definedName name="M4_2" localSheetId="13">#REF!</definedName>
    <definedName name="M4_2" localSheetId="14">#REF!</definedName>
    <definedName name="M4_2" localSheetId="15">#REF!</definedName>
    <definedName name="M4_2" localSheetId="19">#REF!</definedName>
    <definedName name="M4_2" localSheetId="16">#REF!</definedName>
    <definedName name="M4_2" localSheetId="17">#REF!</definedName>
    <definedName name="M4_2">#REF!</definedName>
    <definedName name="M4_2M" localSheetId="1">#REF!</definedName>
    <definedName name="M4_2M" localSheetId="5">#REF!</definedName>
    <definedName name="M4_2M" localSheetId="10">#REF!</definedName>
    <definedName name="M4_2M" localSheetId="4">#REF!</definedName>
    <definedName name="M4_2M" localSheetId="3">#REF!</definedName>
    <definedName name="M4_2M" localSheetId="6">#REF!</definedName>
    <definedName name="M4_2M" localSheetId="7">#REF!</definedName>
    <definedName name="M4_2M" localSheetId="8">#REF!</definedName>
    <definedName name="M4_2M" localSheetId="9">#REF!</definedName>
    <definedName name="M4_2M" localSheetId="18">#REF!</definedName>
    <definedName name="M4_2M" localSheetId="22">#REF!</definedName>
    <definedName name="M4_2M" localSheetId="13">#REF!</definedName>
    <definedName name="M4_2M" localSheetId="14">#REF!</definedName>
    <definedName name="M4_2M" localSheetId="15">#REF!</definedName>
    <definedName name="M4_2M" localSheetId="19">#REF!</definedName>
    <definedName name="M4_2M" localSheetId="16">#REF!</definedName>
    <definedName name="M4_2M" localSheetId="17">#REF!</definedName>
    <definedName name="M4_2M">#REF!</definedName>
    <definedName name="M4_3" localSheetId="1">#REF!</definedName>
    <definedName name="M4_3" localSheetId="5">#REF!</definedName>
    <definedName name="M4_3" localSheetId="10">#REF!</definedName>
    <definedName name="M4_3" localSheetId="4">#REF!</definedName>
    <definedName name="M4_3" localSheetId="3">#REF!</definedName>
    <definedName name="M4_3" localSheetId="6">#REF!</definedName>
    <definedName name="M4_3" localSheetId="7">#REF!</definedName>
    <definedName name="M4_3" localSheetId="8">#REF!</definedName>
    <definedName name="M4_3" localSheetId="9">#REF!</definedName>
    <definedName name="M4_3" localSheetId="18">#REF!</definedName>
    <definedName name="M4_3" localSheetId="22">#REF!</definedName>
    <definedName name="M4_3" localSheetId="13">#REF!</definedName>
    <definedName name="M4_3" localSheetId="14">#REF!</definedName>
    <definedName name="M4_3" localSheetId="15">#REF!</definedName>
    <definedName name="M4_3" localSheetId="19">#REF!</definedName>
    <definedName name="M4_3" localSheetId="16">#REF!</definedName>
    <definedName name="M4_3" localSheetId="17">#REF!</definedName>
    <definedName name="M4_3">#REF!</definedName>
    <definedName name="M4_3M" localSheetId="1">#REF!</definedName>
    <definedName name="M4_3M" localSheetId="5">#REF!</definedName>
    <definedName name="M4_3M" localSheetId="10">#REF!</definedName>
    <definedName name="M4_3M" localSheetId="4">#REF!</definedName>
    <definedName name="M4_3M" localSheetId="3">#REF!</definedName>
    <definedName name="M4_3M" localSheetId="6">#REF!</definedName>
    <definedName name="M4_3M" localSheetId="7">#REF!</definedName>
    <definedName name="M4_3M" localSheetId="8">#REF!</definedName>
    <definedName name="M4_3M" localSheetId="9">#REF!</definedName>
    <definedName name="M4_3M" localSheetId="18">#REF!</definedName>
    <definedName name="M4_3M" localSheetId="22">#REF!</definedName>
    <definedName name="M4_3M" localSheetId="13">#REF!</definedName>
    <definedName name="M4_3M" localSheetId="14">#REF!</definedName>
    <definedName name="M4_3M" localSheetId="15">#REF!</definedName>
    <definedName name="M4_3M" localSheetId="19">#REF!</definedName>
    <definedName name="M4_3M" localSheetId="16">#REF!</definedName>
    <definedName name="M4_3M" localSheetId="17">#REF!</definedName>
    <definedName name="M4_3M">#REF!</definedName>
    <definedName name="M4_4" localSheetId="1">#REF!</definedName>
    <definedName name="M4_4" localSheetId="5">#REF!</definedName>
    <definedName name="M4_4" localSheetId="10">#REF!</definedName>
    <definedName name="M4_4" localSheetId="4">#REF!</definedName>
    <definedName name="M4_4" localSheetId="3">#REF!</definedName>
    <definedName name="M4_4" localSheetId="6">#REF!</definedName>
    <definedName name="M4_4" localSheetId="7">#REF!</definedName>
    <definedName name="M4_4" localSheetId="8">#REF!</definedName>
    <definedName name="M4_4" localSheetId="9">#REF!</definedName>
    <definedName name="M4_4" localSheetId="18">#REF!</definedName>
    <definedName name="M4_4" localSheetId="22">#REF!</definedName>
    <definedName name="M4_4" localSheetId="13">#REF!</definedName>
    <definedName name="M4_4" localSheetId="14">#REF!</definedName>
    <definedName name="M4_4" localSheetId="15">#REF!</definedName>
    <definedName name="M4_4" localSheetId="19">#REF!</definedName>
    <definedName name="M4_4" localSheetId="16">#REF!</definedName>
    <definedName name="M4_4" localSheetId="17">#REF!</definedName>
    <definedName name="M4_4">#REF!</definedName>
    <definedName name="M4_4M" localSheetId="1">#REF!</definedName>
    <definedName name="M4_4M" localSheetId="5">#REF!</definedName>
    <definedName name="M4_4M" localSheetId="10">#REF!</definedName>
    <definedName name="M4_4M" localSheetId="4">#REF!</definedName>
    <definedName name="M4_4M" localSheetId="3">#REF!</definedName>
    <definedName name="M4_4M" localSheetId="6">#REF!</definedName>
    <definedName name="M4_4M" localSheetId="7">#REF!</definedName>
    <definedName name="M4_4M" localSheetId="8">#REF!</definedName>
    <definedName name="M4_4M" localSheetId="9">#REF!</definedName>
    <definedName name="M4_4M" localSheetId="18">#REF!</definedName>
    <definedName name="M4_4M" localSheetId="22">#REF!</definedName>
    <definedName name="M4_4M" localSheetId="13">#REF!</definedName>
    <definedName name="M4_4M" localSheetId="14">#REF!</definedName>
    <definedName name="M4_4M" localSheetId="15">#REF!</definedName>
    <definedName name="M4_4M" localSheetId="19">#REF!</definedName>
    <definedName name="M4_4M" localSheetId="16">#REF!</definedName>
    <definedName name="M4_4M" localSheetId="17">#REF!</definedName>
    <definedName name="M4_4M">#REF!</definedName>
    <definedName name="M4_5" localSheetId="1">#REF!</definedName>
    <definedName name="M4_5" localSheetId="5">#REF!</definedName>
    <definedName name="M4_5" localSheetId="10">#REF!</definedName>
    <definedName name="M4_5" localSheetId="4">#REF!</definedName>
    <definedName name="M4_5" localSheetId="3">#REF!</definedName>
    <definedName name="M4_5" localSheetId="6">#REF!</definedName>
    <definedName name="M4_5" localSheetId="7">#REF!</definedName>
    <definedName name="M4_5" localSheetId="8">#REF!</definedName>
    <definedName name="M4_5" localSheetId="9">#REF!</definedName>
    <definedName name="M4_5" localSheetId="18">#REF!</definedName>
    <definedName name="M4_5" localSheetId="22">#REF!</definedName>
    <definedName name="M4_5" localSheetId="13">#REF!</definedName>
    <definedName name="M4_5" localSheetId="14">#REF!</definedName>
    <definedName name="M4_5" localSheetId="15">#REF!</definedName>
    <definedName name="M4_5" localSheetId="19">#REF!</definedName>
    <definedName name="M4_5" localSheetId="16">#REF!</definedName>
    <definedName name="M4_5" localSheetId="17">#REF!</definedName>
    <definedName name="M4_5">#REF!</definedName>
    <definedName name="M4_5M" localSheetId="1">#REF!</definedName>
    <definedName name="M4_5M" localSheetId="5">#REF!</definedName>
    <definedName name="M4_5M" localSheetId="10">#REF!</definedName>
    <definedName name="M4_5M" localSheetId="4">#REF!</definedName>
    <definedName name="M4_5M" localSheetId="3">#REF!</definedName>
    <definedName name="M4_5M" localSheetId="6">#REF!</definedName>
    <definedName name="M4_5M" localSheetId="7">#REF!</definedName>
    <definedName name="M4_5M" localSheetId="8">#REF!</definedName>
    <definedName name="M4_5M" localSheetId="9">#REF!</definedName>
    <definedName name="M4_5M" localSheetId="18">#REF!</definedName>
    <definedName name="M4_5M" localSheetId="22">#REF!</definedName>
    <definedName name="M4_5M" localSheetId="13">#REF!</definedName>
    <definedName name="M4_5M" localSheetId="14">#REF!</definedName>
    <definedName name="M4_5M" localSheetId="15">#REF!</definedName>
    <definedName name="M4_5M" localSheetId="19">#REF!</definedName>
    <definedName name="M4_5M" localSheetId="16">#REF!</definedName>
    <definedName name="M4_5M" localSheetId="17">#REF!</definedName>
    <definedName name="M4_5M">#REF!</definedName>
    <definedName name="M4_6" localSheetId="1">#REF!</definedName>
    <definedName name="M4_6" localSheetId="5">#REF!</definedName>
    <definedName name="M4_6" localSheetId="10">#REF!</definedName>
    <definedName name="M4_6" localSheetId="4">#REF!</definedName>
    <definedName name="M4_6" localSheetId="3">#REF!</definedName>
    <definedName name="M4_6" localSheetId="6">#REF!</definedName>
    <definedName name="M4_6" localSheetId="7">#REF!</definedName>
    <definedName name="M4_6" localSheetId="8">#REF!</definedName>
    <definedName name="M4_6" localSheetId="9">#REF!</definedName>
    <definedName name="M4_6" localSheetId="18">#REF!</definedName>
    <definedName name="M4_6" localSheetId="22">#REF!</definedName>
    <definedName name="M4_6" localSheetId="13">#REF!</definedName>
    <definedName name="M4_6" localSheetId="14">#REF!</definedName>
    <definedName name="M4_6" localSheetId="15">#REF!</definedName>
    <definedName name="M4_6" localSheetId="19">#REF!</definedName>
    <definedName name="M4_6" localSheetId="16">#REF!</definedName>
    <definedName name="M4_6" localSheetId="17">#REF!</definedName>
    <definedName name="M4_6">#REF!</definedName>
    <definedName name="M4_6M" localSheetId="1">#REF!</definedName>
    <definedName name="M4_6M" localSheetId="5">#REF!</definedName>
    <definedName name="M4_6M" localSheetId="10">#REF!</definedName>
    <definedName name="M4_6M" localSheetId="4">#REF!</definedName>
    <definedName name="M4_6M" localSheetId="3">#REF!</definedName>
    <definedName name="M4_6M" localSheetId="6">#REF!</definedName>
    <definedName name="M4_6M" localSheetId="7">#REF!</definedName>
    <definedName name="M4_6M" localSheetId="8">#REF!</definedName>
    <definedName name="M4_6M" localSheetId="9">#REF!</definedName>
    <definedName name="M4_6M" localSheetId="18">#REF!</definedName>
    <definedName name="M4_6M" localSheetId="22">#REF!</definedName>
    <definedName name="M4_6M" localSheetId="13">#REF!</definedName>
    <definedName name="M4_6M" localSheetId="14">#REF!</definedName>
    <definedName name="M4_6M" localSheetId="15">#REF!</definedName>
    <definedName name="M4_6M" localSheetId="19">#REF!</definedName>
    <definedName name="M4_6M" localSheetId="16">#REF!</definedName>
    <definedName name="M4_6M" localSheetId="17">#REF!</definedName>
    <definedName name="M4_6M">#REF!</definedName>
    <definedName name="M4_M" localSheetId="1">#REF!</definedName>
    <definedName name="M4_M" localSheetId="5">#REF!</definedName>
    <definedName name="M4_M" localSheetId="10">#REF!</definedName>
    <definedName name="M4_M" localSheetId="4">#REF!</definedName>
    <definedName name="M4_M" localSheetId="3">#REF!</definedName>
    <definedName name="M4_M" localSheetId="6">#REF!</definedName>
    <definedName name="M4_M" localSheetId="7">#REF!</definedName>
    <definedName name="M4_M" localSheetId="8">#REF!</definedName>
    <definedName name="M4_M" localSheetId="9">#REF!</definedName>
    <definedName name="M4_M" localSheetId="18">#REF!</definedName>
    <definedName name="M4_M" localSheetId="22">#REF!</definedName>
    <definedName name="M4_M" localSheetId="13">#REF!</definedName>
    <definedName name="M4_M" localSheetId="14">#REF!</definedName>
    <definedName name="M4_M" localSheetId="15">#REF!</definedName>
    <definedName name="M4_M" localSheetId="19">#REF!</definedName>
    <definedName name="M4_M" localSheetId="16">#REF!</definedName>
    <definedName name="M4_M" localSheetId="17">#REF!</definedName>
    <definedName name="M4_M">#REF!</definedName>
    <definedName name="M5_" localSheetId="1">#REF!</definedName>
    <definedName name="M5_" localSheetId="5">#REF!</definedName>
    <definedName name="M5_" localSheetId="10">#REF!</definedName>
    <definedName name="M5_" localSheetId="4">#REF!</definedName>
    <definedName name="M5_" localSheetId="3">#REF!</definedName>
    <definedName name="M5_" localSheetId="6">#REF!</definedName>
    <definedName name="M5_" localSheetId="7">#REF!</definedName>
    <definedName name="M5_" localSheetId="8">#REF!</definedName>
    <definedName name="M5_" localSheetId="9">#REF!</definedName>
    <definedName name="M5_" localSheetId="18">#REF!</definedName>
    <definedName name="M5_" localSheetId="22">#REF!</definedName>
    <definedName name="M5_" localSheetId="13">#REF!</definedName>
    <definedName name="M5_" localSheetId="14">#REF!</definedName>
    <definedName name="M5_" localSheetId="15">#REF!</definedName>
    <definedName name="M5_" localSheetId="19">#REF!</definedName>
    <definedName name="M5_" localSheetId="16">#REF!</definedName>
    <definedName name="M5_" localSheetId="17">#REF!</definedName>
    <definedName name="M5_">#REF!</definedName>
    <definedName name="M5_M" localSheetId="1">#REF!</definedName>
    <definedName name="M5_M" localSheetId="5">#REF!</definedName>
    <definedName name="M5_M" localSheetId="10">#REF!</definedName>
    <definedName name="M5_M" localSheetId="4">#REF!</definedName>
    <definedName name="M5_M" localSheetId="3">#REF!</definedName>
    <definedName name="M5_M" localSheetId="6">#REF!</definedName>
    <definedName name="M5_M" localSheetId="7">#REF!</definedName>
    <definedName name="M5_M" localSheetId="8">#REF!</definedName>
    <definedName name="M5_M" localSheetId="9">#REF!</definedName>
    <definedName name="M5_M" localSheetId="18">#REF!</definedName>
    <definedName name="M5_M" localSheetId="22">#REF!</definedName>
    <definedName name="M5_M" localSheetId="13">#REF!</definedName>
    <definedName name="M5_M" localSheetId="14">#REF!</definedName>
    <definedName name="M5_M" localSheetId="15">#REF!</definedName>
    <definedName name="M5_M" localSheetId="19">#REF!</definedName>
    <definedName name="M5_M" localSheetId="16">#REF!</definedName>
    <definedName name="M5_M" localSheetId="17">#REF!</definedName>
    <definedName name="M5_M">#REF!</definedName>
    <definedName name="num_dias_aus_doenca" localSheetId="1">#REF!</definedName>
    <definedName name="num_dias_aus_doenca" localSheetId="5">#REF!</definedName>
    <definedName name="num_dias_aus_doenca" localSheetId="10">#REF!</definedName>
    <definedName name="num_dias_aus_doenca" localSheetId="4">#REF!</definedName>
    <definedName name="num_dias_aus_doenca" localSheetId="3">#REF!</definedName>
    <definedName name="num_dias_aus_doenca" localSheetId="6">#REF!</definedName>
    <definedName name="num_dias_aus_doenca" localSheetId="7">#REF!</definedName>
    <definedName name="num_dias_aus_doenca" localSheetId="8">#REF!</definedName>
    <definedName name="num_dias_aus_doenca" localSheetId="9">#REF!</definedName>
    <definedName name="num_dias_aus_doenca" localSheetId="18">#REF!</definedName>
    <definedName name="num_dias_aus_doenca" localSheetId="22">#REF!</definedName>
    <definedName name="num_dias_aus_doenca" localSheetId="13">#REF!</definedName>
    <definedName name="num_dias_aus_doenca" localSheetId="14">#REF!</definedName>
    <definedName name="num_dias_aus_doenca" localSheetId="15">#REF!</definedName>
    <definedName name="num_dias_aus_doenca" localSheetId="19">#REF!</definedName>
    <definedName name="num_dias_aus_doenca" localSheetId="16">#REF!</definedName>
    <definedName name="num_dias_aus_doenca" localSheetId="17">#REF!</definedName>
    <definedName name="num_dias_aus_doenca">#REF!</definedName>
    <definedName name="num_dias_aus_legais" localSheetId="1">#REF!</definedName>
    <definedName name="num_dias_aus_legais" localSheetId="5">#REF!</definedName>
    <definedName name="num_dias_aus_legais" localSheetId="10">#REF!</definedName>
    <definedName name="num_dias_aus_legais" localSheetId="4">#REF!</definedName>
    <definedName name="num_dias_aus_legais" localSheetId="3">#REF!</definedName>
    <definedName name="num_dias_aus_legais" localSheetId="6">#REF!</definedName>
    <definedName name="num_dias_aus_legais" localSheetId="7">#REF!</definedName>
    <definedName name="num_dias_aus_legais" localSheetId="8">#REF!</definedName>
    <definedName name="num_dias_aus_legais" localSheetId="9">#REF!</definedName>
    <definedName name="num_dias_aus_legais" localSheetId="18">#REF!</definedName>
    <definedName name="num_dias_aus_legais" localSheetId="22">#REF!</definedName>
    <definedName name="num_dias_aus_legais" localSheetId="13">#REF!</definedName>
    <definedName name="num_dias_aus_legais" localSheetId="14">#REF!</definedName>
    <definedName name="num_dias_aus_legais" localSheetId="15">#REF!</definedName>
    <definedName name="num_dias_aus_legais" localSheetId="19">#REF!</definedName>
    <definedName name="num_dias_aus_legais" localSheetId="16">#REF!</definedName>
    <definedName name="num_dias_aus_legais" localSheetId="17">#REF!</definedName>
    <definedName name="num_dias_aus_legais">#REF!</definedName>
    <definedName name="perc_encargosSociais" localSheetId="1">#REF!</definedName>
    <definedName name="perc_encargosSociais" localSheetId="5">#REF!</definedName>
    <definedName name="perc_encargosSociais" localSheetId="10">#REF!</definedName>
    <definedName name="perc_encargosSociais" localSheetId="4">#REF!</definedName>
    <definedName name="perc_encargosSociais" localSheetId="3">#REF!</definedName>
    <definedName name="perc_encargosSociais" localSheetId="6">#REF!</definedName>
    <definedName name="perc_encargosSociais" localSheetId="7">#REF!</definedName>
    <definedName name="perc_encargosSociais" localSheetId="8">#REF!</definedName>
    <definedName name="perc_encargosSociais" localSheetId="9">#REF!</definedName>
    <definedName name="perc_encargosSociais" localSheetId="18">#REF!</definedName>
    <definedName name="perc_encargosSociais" localSheetId="22">#REF!</definedName>
    <definedName name="perc_encargosSociais" localSheetId="13">#REF!</definedName>
    <definedName name="perc_encargosSociais" localSheetId="14">#REF!</definedName>
    <definedName name="perc_encargosSociais" localSheetId="15">#REF!</definedName>
    <definedName name="perc_encargosSociais" localSheetId="19">#REF!</definedName>
    <definedName name="perc_encargosSociais" localSheetId="16">#REF!</definedName>
    <definedName name="perc_encargosSociais" localSheetId="17">#REF!</definedName>
    <definedName name="perc_encargosSociais">#REF!</definedName>
    <definedName name="perc_encargosSociaisM" localSheetId="1">#REF!</definedName>
    <definedName name="perc_encargosSociaisM" localSheetId="5">#REF!</definedName>
    <definedName name="perc_encargosSociaisM" localSheetId="10">#REF!</definedName>
    <definedName name="perc_encargosSociaisM" localSheetId="4">#REF!</definedName>
    <definedName name="perc_encargosSociaisM" localSheetId="3">#REF!</definedName>
    <definedName name="perc_encargosSociaisM" localSheetId="6">#REF!</definedName>
    <definedName name="perc_encargosSociaisM" localSheetId="7">#REF!</definedName>
    <definedName name="perc_encargosSociaisM" localSheetId="8">#REF!</definedName>
    <definedName name="perc_encargosSociaisM" localSheetId="9">#REF!</definedName>
    <definedName name="perc_encargosSociaisM" localSheetId="18">#REF!</definedName>
    <definedName name="perc_encargosSociaisM" localSheetId="22">#REF!</definedName>
    <definedName name="perc_encargosSociaisM" localSheetId="13">#REF!</definedName>
    <definedName name="perc_encargosSociaisM" localSheetId="14">#REF!</definedName>
    <definedName name="perc_encargosSociaisM" localSheetId="15">#REF!</definedName>
    <definedName name="perc_encargosSociaisM" localSheetId="19">#REF!</definedName>
    <definedName name="perc_encargosSociaisM" localSheetId="16">#REF!</definedName>
    <definedName name="perc_encargosSociaisM" localSheetId="17">#REF!</definedName>
    <definedName name="perc_encargosSociaisM">#REF!</definedName>
    <definedName name="perc_FGTS" localSheetId="1">#REF!</definedName>
    <definedName name="perc_FGTS" localSheetId="5">#REF!</definedName>
    <definedName name="perc_FGTS" localSheetId="10">#REF!</definedName>
    <definedName name="perc_FGTS" localSheetId="4">#REF!</definedName>
    <definedName name="perc_FGTS" localSheetId="3">#REF!</definedName>
    <definedName name="perc_FGTS" localSheetId="6">#REF!</definedName>
    <definedName name="perc_FGTS" localSheetId="7">#REF!</definedName>
    <definedName name="perc_FGTS" localSheetId="8">#REF!</definedName>
    <definedName name="perc_FGTS" localSheetId="9">#REF!</definedName>
    <definedName name="perc_FGTS" localSheetId="18">#REF!</definedName>
    <definedName name="perc_FGTS" localSheetId="22">#REF!</definedName>
    <definedName name="perc_FGTS" localSheetId="13">#REF!</definedName>
    <definedName name="perc_FGTS" localSheetId="14">#REF!</definedName>
    <definedName name="perc_FGTS" localSheetId="15">#REF!</definedName>
    <definedName name="perc_FGTS" localSheetId="19">#REF!</definedName>
    <definedName name="perc_FGTS" localSheetId="16">#REF!</definedName>
    <definedName name="perc_FGTS" localSheetId="17">#REF!</definedName>
    <definedName name="perc_FGTS">#REF!</definedName>
    <definedName name="perc_FGTSM" localSheetId="1">#REF!</definedName>
    <definedName name="perc_FGTSM" localSheetId="5">#REF!</definedName>
    <definedName name="perc_FGTSM" localSheetId="10">#REF!</definedName>
    <definedName name="perc_FGTSM" localSheetId="4">#REF!</definedName>
    <definedName name="perc_FGTSM" localSheetId="3">#REF!</definedName>
    <definedName name="perc_FGTSM" localSheetId="6">#REF!</definedName>
    <definedName name="perc_FGTSM" localSheetId="7">#REF!</definedName>
    <definedName name="perc_FGTSM" localSheetId="8">#REF!</definedName>
    <definedName name="perc_FGTSM" localSheetId="9">#REF!</definedName>
    <definedName name="perc_FGTSM" localSheetId="18">#REF!</definedName>
    <definedName name="perc_FGTSM" localSheetId="22">#REF!</definedName>
    <definedName name="perc_FGTSM" localSheetId="13">#REF!</definedName>
    <definedName name="perc_FGTSM" localSheetId="14">#REF!</definedName>
    <definedName name="perc_FGTSM" localSheetId="15">#REF!</definedName>
    <definedName name="perc_FGTSM" localSheetId="19">#REF!</definedName>
    <definedName name="perc_FGTSM" localSheetId="16">#REF!</definedName>
    <definedName name="perc_FGTSM" localSheetId="17">#REF!</definedName>
    <definedName name="perc_FGTSM">#REF!</definedName>
    <definedName name="perc_oco_licen_patern" localSheetId="1">#REF!</definedName>
    <definedName name="perc_oco_licen_patern" localSheetId="5">#REF!</definedName>
    <definedName name="perc_oco_licen_patern" localSheetId="10">#REF!</definedName>
    <definedName name="perc_oco_licen_patern" localSheetId="4">#REF!</definedName>
    <definedName name="perc_oco_licen_patern" localSheetId="3">#REF!</definedName>
    <definedName name="perc_oco_licen_patern" localSheetId="6">#REF!</definedName>
    <definedName name="perc_oco_licen_patern" localSheetId="7">#REF!</definedName>
    <definedName name="perc_oco_licen_patern" localSheetId="8">#REF!</definedName>
    <definedName name="perc_oco_licen_patern" localSheetId="9">#REF!</definedName>
    <definedName name="perc_oco_licen_patern" localSheetId="18">#REF!</definedName>
    <definedName name="perc_oco_licen_patern" localSheetId="22">#REF!</definedName>
    <definedName name="perc_oco_licen_patern" localSheetId="13">#REF!</definedName>
    <definedName name="perc_oco_licen_patern" localSheetId="14">#REF!</definedName>
    <definedName name="perc_oco_licen_patern" localSheetId="15">#REF!</definedName>
    <definedName name="perc_oco_licen_patern" localSheetId="19">#REF!</definedName>
    <definedName name="perc_oco_licen_patern" localSheetId="16">#REF!</definedName>
    <definedName name="perc_oco_licen_patern" localSheetId="17">#REF!</definedName>
    <definedName name="perc_oco_licen_patern">#REF!</definedName>
    <definedName name="perc_ocor_acid_trab" localSheetId="1">#REF!</definedName>
    <definedName name="perc_ocor_acid_trab" localSheetId="5">#REF!</definedName>
    <definedName name="perc_ocor_acid_trab" localSheetId="10">#REF!</definedName>
    <definedName name="perc_ocor_acid_trab" localSheetId="4">#REF!</definedName>
    <definedName name="perc_ocor_acid_trab" localSheetId="3">#REF!</definedName>
    <definedName name="perc_ocor_acid_trab" localSheetId="6">#REF!</definedName>
    <definedName name="perc_ocor_acid_trab" localSheetId="7">#REF!</definedName>
    <definedName name="perc_ocor_acid_trab" localSheetId="8">#REF!</definedName>
    <definedName name="perc_ocor_acid_trab" localSheetId="9">#REF!</definedName>
    <definedName name="perc_ocor_acid_trab" localSheetId="18">#REF!</definedName>
    <definedName name="perc_ocor_acid_trab" localSheetId="22">#REF!</definedName>
    <definedName name="perc_ocor_acid_trab" localSheetId="13">#REF!</definedName>
    <definedName name="perc_ocor_acid_trab" localSheetId="14">#REF!</definedName>
    <definedName name="perc_ocor_acid_trab" localSheetId="15">#REF!</definedName>
    <definedName name="perc_ocor_acid_trab" localSheetId="19">#REF!</definedName>
    <definedName name="perc_ocor_acid_trab" localSheetId="16">#REF!</definedName>
    <definedName name="perc_ocor_acid_trab" localSheetId="17">#REF!</definedName>
    <definedName name="perc_ocor_acid_trab">#REF!</definedName>
    <definedName name="PIS" localSheetId="1">#REF!</definedName>
    <definedName name="PIS" localSheetId="5">#REF!</definedName>
    <definedName name="PIS" localSheetId="10">#REF!</definedName>
    <definedName name="PIS" localSheetId="4">#REF!</definedName>
    <definedName name="PIS" localSheetId="3">#REF!</definedName>
    <definedName name="PIS" localSheetId="6">#REF!</definedName>
    <definedName name="PIS" localSheetId="7">#REF!</definedName>
    <definedName name="PIS" localSheetId="8">#REF!</definedName>
    <definedName name="PIS" localSheetId="9">#REF!</definedName>
    <definedName name="PIS" localSheetId="18">#REF!</definedName>
    <definedName name="PIS" localSheetId="22">#REF!</definedName>
    <definedName name="PIS" localSheetId="13">#REF!</definedName>
    <definedName name="PIS" localSheetId="14">#REF!</definedName>
    <definedName name="PIS" localSheetId="15">#REF!</definedName>
    <definedName name="PIS" localSheetId="19">#REF!</definedName>
    <definedName name="PIS" localSheetId="16">#REF!</definedName>
    <definedName name="PIS" localSheetId="17">#REF!</definedName>
    <definedName name="PIS">#REF!</definedName>
    <definedName name="PISM" localSheetId="1">#REF!</definedName>
    <definedName name="PISM" localSheetId="5">#REF!</definedName>
    <definedName name="PISM" localSheetId="10">#REF!</definedName>
    <definedName name="PISM" localSheetId="4">#REF!</definedName>
    <definedName name="PISM" localSheetId="3">#REF!</definedName>
    <definedName name="PISM" localSheetId="6">#REF!</definedName>
    <definedName name="PISM" localSheetId="7">#REF!</definedName>
    <definedName name="PISM" localSheetId="8">#REF!</definedName>
    <definedName name="PISM" localSheetId="9">#REF!</definedName>
    <definedName name="PISM" localSheetId="18">#REF!</definedName>
    <definedName name="PISM" localSheetId="22">#REF!</definedName>
    <definedName name="PISM" localSheetId="13">#REF!</definedName>
    <definedName name="PISM" localSheetId="14">#REF!</definedName>
    <definedName name="PISM" localSheetId="15">#REF!</definedName>
    <definedName name="PISM" localSheetId="19">#REF!</definedName>
    <definedName name="PISM" localSheetId="16">#REF!</definedName>
    <definedName name="PISM" localSheetId="17">#REF!</definedName>
    <definedName name="PISM">#REF!</definedName>
    <definedName name="qtde_postos" localSheetId="1">#REF!</definedName>
    <definedName name="qtde_postos" localSheetId="5">#REF!</definedName>
    <definedName name="qtde_postos" localSheetId="10">#REF!</definedName>
    <definedName name="qtde_postos" localSheetId="4">#REF!</definedName>
    <definedName name="qtde_postos" localSheetId="3">#REF!</definedName>
    <definedName name="qtde_postos" localSheetId="6">#REF!</definedName>
    <definedName name="qtde_postos" localSheetId="7">#REF!</definedName>
    <definedName name="qtde_postos" localSheetId="8">#REF!</definedName>
    <definedName name="qtde_postos" localSheetId="9">#REF!</definedName>
    <definedName name="qtde_postos" localSheetId="18">#REF!</definedName>
    <definedName name="qtde_postos" localSheetId="22">#REF!</definedName>
    <definedName name="qtde_postos" localSheetId="13">#REF!</definedName>
    <definedName name="qtde_postos" localSheetId="14">#REF!</definedName>
    <definedName name="qtde_postos" localSheetId="15">#REF!</definedName>
    <definedName name="qtde_postos" localSheetId="19">#REF!</definedName>
    <definedName name="qtde_postos" localSheetId="16">#REF!</definedName>
    <definedName name="qtde_postos" localSheetId="17">#REF!</definedName>
    <definedName name="qtde_postos">#REF!</definedName>
    <definedName name="qtde_postosM" localSheetId="1">#REF!</definedName>
    <definedName name="qtde_postosM" localSheetId="5">#REF!</definedName>
    <definedName name="qtde_postosM" localSheetId="10">#REF!</definedName>
    <definedName name="qtde_postosM" localSheetId="4">#REF!</definedName>
    <definedName name="qtde_postosM" localSheetId="3">#REF!</definedName>
    <definedName name="qtde_postosM" localSheetId="6">#REF!</definedName>
    <definedName name="qtde_postosM" localSheetId="7">#REF!</definedName>
    <definedName name="qtde_postosM" localSheetId="8">#REF!</definedName>
    <definedName name="qtde_postosM" localSheetId="9">#REF!</definedName>
    <definedName name="qtde_postosM" localSheetId="18">#REF!</definedName>
    <definedName name="qtde_postosM" localSheetId="22">#REF!</definedName>
    <definedName name="qtde_postosM" localSheetId="13">#REF!</definedName>
    <definedName name="qtde_postosM" localSheetId="14">#REF!</definedName>
    <definedName name="qtde_postosM" localSheetId="15">#REF!</definedName>
    <definedName name="qtde_postosM" localSheetId="19">#REF!</definedName>
    <definedName name="qtde_postosM" localSheetId="16">#REF!</definedName>
    <definedName name="qtde_postosM" localSheetId="17">#REF!</definedName>
    <definedName name="qtde_postosM">#REF!</definedName>
    <definedName name="salario_base" localSheetId="1">#REF!</definedName>
    <definedName name="salario_base" localSheetId="5">#REF!</definedName>
    <definedName name="salario_base" localSheetId="10">#REF!</definedName>
    <definedName name="salario_base" localSheetId="4">#REF!</definedName>
    <definedName name="salario_base" localSheetId="3">#REF!</definedName>
    <definedName name="salario_base" localSheetId="6">#REF!</definedName>
    <definedName name="salario_base" localSheetId="7">#REF!</definedName>
    <definedName name="salario_base" localSheetId="8">#REF!</definedName>
    <definedName name="salario_base" localSheetId="9">#REF!</definedName>
    <definedName name="salario_base" localSheetId="18">#REF!</definedName>
    <definedName name="salario_base" localSheetId="22">#REF!</definedName>
    <definedName name="salario_base" localSheetId="13">#REF!</definedName>
    <definedName name="salario_base" localSheetId="14">#REF!</definedName>
    <definedName name="salario_base" localSheetId="15">#REF!</definedName>
    <definedName name="salario_base" localSheetId="19">#REF!</definedName>
    <definedName name="salario_base" localSheetId="16">#REF!</definedName>
    <definedName name="salario_base" localSheetId="17">#REF!</definedName>
    <definedName name="salario_base">#REF!</definedName>
    <definedName name="salario_baseM" localSheetId="1">#REF!</definedName>
    <definedName name="salario_baseM" localSheetId="5">#REF!</definedName>
    <definedName name="salario_baseM" localSheetId="10">#REF!</definedName>
    <definedName name="salario_baseM" localSheetId="4">#REF!</definedName>
    <definedName name="salario_baseM" localSheetId="3">#REF!</definedName>
    <definedName name="salario_baseM" localSheetId="6">#REF!</definedName>
    <definedName name="salario_baseM" localSheetId="7">#REF!</definedName>
    <definedName name="salario_baseM" localSheetId="8">#REF!</definedName>
    <definedName name="salario_baseM" localSheetId="9">#REF!</definedName>
    <definedName name="salario_baseM" localSheetId="18">#REF!</definedName>
    <definedName name="salario_baseM" localSheetId="22">#REF!</definedName>
    <definedName name="salario_baseM" localSheetId="13">#REF!</definedName>
    <definedName name="salario_baseM" localSheetId="14">#REF!</definedName>
    <definedName name="salario_baseM" localSheetId="15">#REF!</definedName>
    <definedName name="salario_baseM" localSheetId="19">#REF!</definedName>
    <definedName name="salario_baseM" localSheetId="16">#REF!</definedName>
    <definedName name="salario_baseM" localSheetId="17">#REF!</definedName>
    <definedName name="salario_baseM">#REF!</definedName>
    <definedName name="salario_remuneracao" localSheetId="1">#REF!</definedName>
    <definedName name="salario_remuneracao" localSheetId="5">#REF!</definedName>
    <definedName name="salario_remuneracao" localSheetId="10">#REF!</definedName>
    <definedName name="salario_remuneracao" localSheetId="4">#REF!</definedName>
    <definedName name="salario_remuneracao" localSheetId="3">#REF!</definedName>
    <definedName name="salario_remuneracao" localSheetId="6">#REF!</definedName>
    <definedName name="salario_remuneracao" localSheetId="7">#REF!</definedName>
    <definedName name="salario_remuneracao" localSheetId="8">#REF!</definedName>
    <definedName name="salario_remuneracao" localSheetId="9">#REF!</definedName>
    <definedName name="salario_remuneracao" localSheetId="18">#REF!</definedName>
    <definedName name="salario_remuneracao" localSheetId="22">#REF!</definedName>
    <definedName name="salario_remuneracao" localSheetId="13">#REF!</definedName>
    <definedName name="salario_remuneracao" localSheetId="14">#REF!</definedName>
    <definedName name="salario_remuneracao" localSheetId="15">#REF!</definedName>
    <definedName name="salario_remuneracao" localSheetId="19">#REF!</definedName>
    <definedName name="salario_remuneracao" localSheetId="16">#REF!</definedName>
    <definedName name="salario_remuneracao" localSheetId="17">#REF!</definedName>
    <definedName name="salario_remuneracao">#REF!</definedName>
    <definedName name="salario_remuneracaoM" localSheetId="1">#REF!</definedName>
    <definedName name="salario_remuneracaoM" localSheetId="5">#REF!</definedName>
    <definedName name="salario_remuneracaoM" localSheetId="10">#REF!</definedName>
    <definedName name="salario_remuneracaoM" localSheetId="4">#REF!</definedName>
    <definedName name="salario_remuneracaoM" localSheetId="3">#REF!</definedName>
    <definedName name="salario_remuneracaoM" localSheetId="6">#REF!</definedName>
    <definedName name="salario_remuneracaoM" localSheetId="7">#REF!</definedName>
    <definedName name="salario_remuneracaoM" localSheetId="8">#REF!</definedName>
    <definedName name="salario_remuneracaoM" localSheetId="9">#REF!</definedName>
    <definedName name="salario_remuneracaoM" localSheetId="18">#REF!</definedName>
    <definedName name="salario_remuneracaoM" localSheetId="22">#REF!</definedName>
    <definedName name="salario_remuneracaoM" localSheetId="13">#REF!</definedName>
    <definedName name="salario_remuneracaoM" localSheetId="14">#REF!</definedName>
    <definedName name="salario_remuneracaoM" localSheetId="15">#REF!</definedName>
    <definedName name="salario_remuneracaoM" localSheetId="19">#REF!</definedName>
    <definedName name="salario_remuneracaoM" localSheetId="16">#REF!</definedName>
    <definedName name="salario_remuneracaoM" localSheetId="17">#REF!</definedName>
    <definedName name="salario_remuneracaoM">#REF!</definedName>
    <definedName name="salario13o" localSheetId="1">#REF!</definedName>
    <definedName name="salario13o" localSheetId="5">#REF!</definedName>
    <definedName name="salario13o" localSheetId="10">#REF!</definedName>
    <definedName name="salario13o" localSheetId="4">#REF!</definedName>
    <definedName name="salario13o" localSheetId="3">#REF!</definedName>
    <definedName name="salario13o" localSheetId="6">#REF!</definedName>
    <definedName name="salario13o" localSheetId="7">#REF!</definedName>
    <definedName name="salario13o" localSheetId="8">#REF!</definedName>
    <definedName name="salario13o" localSheetId="9">#REF!</definedName>
    <definedName name="salario13o" localSheetId="18">#REF!</definedName>
    <definedName name="salario13o" localSheetId="22">#REF!</definedName>
    <definedName name="salario13o" localSheetId="13">#REF!</definedName>
    <definedName name="salario13o" localSheetId="14">#REF!</definedName>
    <definedName name="salario13o" localSheetId="15">#REF!</definedName>
    <definedName name="salario13o" localSheetId="19">#REF!</definedName>
    <definedName name="salario13o" localSheetId="16">#REF!</definedName>
    <definedName name="salario13o" localSheetId="17">#REF!</definedName>
    <definedName name="salario13o">#REF!</definedName>
    <definedName name="salario13oM" localSheetId="1">#REF!</definedName>
    <definedName name="salario13oM" localSheetId="5">#REF!</definedName>
    <definedName name="salario13oM" localSheetId="10">#REF!</definedName>
    <definedName name="salario13oM" localSheetId="4">#REF!</definedName>
    <definedName name="salario13oM" localSheetId="3">#REF!</definedName>
    <definedName name="salario13oM" localSheetId="6">#REF!</definedName>
    <definedName name="salario13oM" localSheetId="7">#REF!</definedName>
    <definedName name="salario13oM" localSheetId="8">#REF!</definedName>
    <definedName name="salario13oM" localSheetId="9">#REF!</definedName>
    <definedName name="salario13oM" localSheetId="18">#REF!</definedName>
    <definedName name="salario13oM" localSheetId="22">#REF!</definedName>
    <definedName name="salario13oM" localSheetId="13">#REF!</definedName>
    <definedName name="salario13oM" localSheetId="14">#REF!</definedName>
    <definedName name="salario13oM" localSheetId="15">#REF!</definedName>
    <definedName name="salario13oM" localSheetId="19">#REF!</definedName>
    <definedName name="salario13oM" localSheetId="16">#REF!</definedName>
    <definedName name="salario13oM" localSheetId="17">#REF!</definedName>
    <definedName name="salario13oM">#REF!</definedName>
    <definedName name="Valor_Mensal_Posto" localSheetId="1">#REF!</definedName>
    <definedName name="Valor_Mensal_Posto" localSheetId="5">#REF!</definedName>
    <definedName name="Valor_Mensal_Posto" localSheetId="10">#REF!</definedName>
    <definedName name="Valor_Mensal_Posto" localSheetId="4">#REF!</definedName>
    <definedName name="Valor_Mensal_Posto" localSheetId="3">#REF!</definedName>
    <definedName name="Valor_Mensal_Posto" localSheetId="6">#REF!</definedName>
    <definedName name="Valor_Mensal_Posto" localSheetId="7">#REF!</definedName>
    <definedName name="Valor_Mensal_Posto" localSheetId="8">#REF!</definedName>
    <definedName name="Valor_Mensal_Posto" localSheetId="9">#REF!</definedName>
    <definedName name="Valor_Mensal_Posto" localSheetId="18">#REF!</definedName>
    <definedName name="Valor_Mensal_Posto" localSheetId="22">#REF!</definedName>
    <definedName name="Valor_Mensal_Posto" localSheetId="13">#REF!</definedName>
    <definedName name="Valor_Mensal_Posto" localSheetId="14">#REF!</definedName>
    <definedName name="Valor_Mensal_Posto" localSheetId="15">#REF!</definedName>
    <definedName name="Valor_Mensal_Posto" localSheetId="19">#REF!</definedName>
    <definedName name="Valor_Mensal_Posto" localSheetId="16">#REF!</definedName>
    <definedName name="Valor_Mensal_Posto" localSheetId="17">#REF!</definedName>
    <definedName name="Valor_Mensal_Posto">#REF!</definedName>
    <definedName name="Valor_Mensal_PostoM" localSheetId="1">#REF!</definedName>
    <definedName name="Valor_Mensal_PostoM" localSheetId="5">#REF!</definedName>
    <definedName name="Valor_Mensal_PostoM" localSheetId="10">#REF!</definedName>
    <definedName name="Valor_Mensal_PostoM" localSheetId="4">#REF!</definedName>
    <definedName name="Valor_Mensal_PostoM" localSheetId="3">#REF!</definedName>
    <definedName name="Valor_Mensal_PostoM" localSheetId="6">#REF!</definedName>
    <definedName name="Valor_Mensal_PostoM" localSheetId="7">#REF!</definedName>
    <definedName name="Valor_Mensal_PostoM" localSheetId="8">#REF!</definedName>
    <definedName name="Valor_Mensal_PostoM" localSheetId="9">#REF!</definedName>
    <definedName name="Valor_Mensal_PostoM" localSheetId="18">#REF!</definedName>
    <definedName name="Valor_Mensal_PostoM" localSheetId="22">#REF!</definedName>
    <definedName name="Valor_Mensal_PostoM" localSheetId="13">#REF!</definedName>
    <definedName name="Valor_Mensal_PostoM" localSheetId="14">#REF!</definedName>
    <definedName name="Valor_Mensal_PostoM" localSheetId="15">#REF!</definedName>
    <definedName name="Valor_Mensal_PostoM" localSheetId="19">#REF!</definedName>
    <definedName name="Valor_Mensal_PostoM" localSheetId="16">#REF!</definedName>
    <definedName name="Valor_Mensal_PostoM" localSheetId="17">#REF!</definedName>
    <definedName name="Valor_Mensal_PostoM">#REF!</definedName>
    <definedName name="valor_passagem" localSheetId="1">#REF!</definedName>
    <definedName name="valor_passagem" localSheetId="5">#REF!</definedName>
    <definedName name="valor_passagem" localSheetId="10">#REF!</definedName>
    <definedName name="valor_passagem" localSheetId="4">#REF!</definedName>
    <definedName name="valor_passagem" localSheetId="3">#REF!</definedName>
    <definedName name="valor_passagem" localSheetId="6">#REF!</definedName>
    <definedName name="valor_passagem" localSheetId="7">#REF!</definedName>
    <definedName name="valor_passagem" localSheetId="8">#REF!</definedName>
    <definedName name="valor_passagem" localSheetId="9">#REF!</definedName>
    <definedName name="valor_passagem" localSheetId="18">#REF!</definedName>
    <definedName name="valor_passagem" localSheetId="22">#REF!</definedName>
    <definedName name="valor_passagem" localSheetId="13">#REF!</definedName>
    <definedName name="valor_passagem" localSheetId="14">#REF!</definedName>
    <definedName name="valor_passagem" localSheetId="15">#REF!</definedName>
    <definedName name="valor_passagem" localSheetId="19">#REF!</definedName>
    <definedName name="valor_passagem" localSheetId="16">#REF!</definedName>
    <definedName name="valor_passagem" localSheetId="17">#REF!</definedName>
    <definedName name="valor_passagem">#REF!</definedName>
    <definedName name="valor_passagemM" localSheetId="1">#REF!</definedName>
    <definedName name="valor_passagemM" localSheetId="5">#REF!</definedName>
    <definedName name="valor_passagemM" localSheetId="10">#REF!</definedName>
    <definedName name="valor_passagemM" localSheetId="4">#REF!</definedName>
    <definedName name="valor_passagemM" localSheetId="3">#REF!</definedName>
    <definedName name="valor_passagemM" localSheetId="6">#REF!</definedName>
    <definedName name="valor_passagemM" localSheetId="7">#REF!</definedName>
    <definedName name="valor_passagemM" localSheetId="8">#REF!</definedName>
    <definedName name="valor_passagemM" localSheetId="9">#REF!</definedName>
    <definedName name="valor_passagemM" localSheetId="18">#REF!</definedName>
    <definedName name="valor_passagemM" localSheetId="22">#REF!</definedName>
    <definedName name="valor_passagemM" localSheetId="13">#REF!</definedName>
    <definedName name="valor_passagemM" localSheetId="14">#REF!</definedName>
    <definedName name="valor_passagemM" localSheetId="15">#REF!</definedName>
    <definedName name="valor_passagemM" localSheetId="19">#REF!</definedName>
    <definedName name="valor_passagemM" localSheetId="16">#REF!</definedName>
    <definedName name="valor_passagemM" localSheetId="17">#REF!</definedName>
    <definedName name="valor_passagemM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9" i="89" l="1"/>
  <c r="E63" i="89" l="1"/>
  <c r="E56" i="89"/>
  <c r="D40" i="89"/>
  <c r="D42" i="89" s="1"/>
  <c r="D92" i="89"/>
  <c r="E65" i="89" l="1"/>
  <c r="F58" i="82"/>
  <c r="E58" i="82"/>
  <c r="F134" i="89" l="1"/>
  <c r="G134" i="89"/>
  <c r="F136" i="89"/>
  <c r="E51" i="51" l="1"/>
  <c r="E51" i="83"/>
  <c r="E51" i="84"/>
  <c r="E51" i="85"/>
  <c r="E51" i="81"/>
  <c r="E51" i="87"/>
  <c r="E51" i="88"/>
  <c r="E51" i="91"/>
  <c r="E51" i="92"/>
  <c r="E51" i="93"/>
  <c r="E51" i="94"/>
  <c r="E51" i="95"/>
  <c r="E51" i="96"/>
  <c r="E51" i="97"/>
  <c r="E51" i="86"/>
  <c r="E23" i="83" l="1"/>
  <c r="E23" i="84"/>
  <c r="E23" i="85"/>
  <c r="E23" i="86"/>
  <c r="E23" i="81"/>
  <c r="E23" i="87"/>
  <c r="E23" i="88"/>
  <c r="E23" i="91"/>
  <c r="E23" i="92"/>
  <c r="E23" i="93"/>
  <c r="E23" i="94"/>
  <c r="E23" i="95"/>
  <c r="E23" i="96"/>
  <c r="E23" i="97"/>
  <c r="E30" i="97" s="1"/>
  <c r="E23" i="51"/>
  <c r="B43" i="80"/>
  <c r="B41" i="80"/>
  <c r="B40" i="80"/>
  <c r="B38" i="80"/>
  <c r="B37" i="80"/>
  <c r="B36" i="80"/>
  <c r="B29" i="80"/>
  <c r="B42" i="80"/>
  <c r="B39" i="80"/>
  <c r="B35" i="80"/>
  <c r="B34" i="80"/>
  <c r="B33" i="80"/>
  <c r="B32" i="80"/>
  <c r="B31" i="80"/>
  <c r="B30" i="80"/>
  <c r="B28" i="80"/>
  <c r="E22" i="94"/>
  <c r="E22" i="95"/>
  <c r="E22" i="96"/>
  <c r="E50" i="96" s="1"/>
  <c r="E22" i="97"/>
  <c r="E22" i="93"/>
  <c r="E22" i="91"/>
  <c r="E50" i="91" s="1"/>
  <c r="E22" i="88"/>
  <c r="E22" i="87"/>
  <c r="E22" i="86"/>
  <c r="E22" i="85"/>
  <c r="E22" i="51"/>
  <c r="D84" i="97"/>
  <c r="D80" i="97"/>
  <c r="D70" i="97"/>
  <c r="D66" i="97"/>
  <c r="B51" i="97"/>
  <c r="E50" i="97"/>
  <c r="B50" i="97"/>
  <c r="D47" i="97"/>
  <c r="D36" i="97"/>
  <c r="E17" i="97"/>
  <c r="D84" i="96"/>
  <c r="D80" i="96"/>
  <c r="D70" i="96"/>
  <c r="D66" i="96"/>
  <c r="B51" i="96"/>
  <c r="B50" i="96"/>
  <c r="D47" i="96"/>
  <c r="D36" i="96"/>
  <c r="E17" i="96"/>
  <c r="D84" i="95"/>
  <c r="D80" i="95"/>
  <c r="D70" i="95"/>
  <c r="D66" i="95"/>
  <c r="B51" i="95"/>
  <c r="B50" i="95"/>
  <c r="D47" i="95"/>
  <c r="D36" i="95"/>
  <c r="E17" i="95"/>
  <c r="D84" i="94"/>
  <c r="D80" i="94"/>
  <c r="D70" i="94"/>
  <c r="D66" i="94"/>
  <c r="B51" i="94"/>
  <c r="B50" i="94"/>
  <c r="D47" i="94"/>
  <c r="D36" i="94"/>
  <c r="E17" i="94"/>
  <c r="D84" i="93"/>
  <c r="D80" i="93"/>
  <c r="D70" i="93"/>
  <c r="D66" i="93"/>
  <c r="B51" i="93"/>
  <c r="B50" i="93"/>
  <c r="D47" i="93"/>
  <c r="D36" i="93"/>
  <c r="E17" i="93"/>
  <c r="D84" i="92"/>
  <c r="D80" i="92"/>
  <c r="D70" i="92"/>
  <c r="D66" i="92"/>
  <c r="B51" i="92"/>
  <c r="B50" i="92"/>
  <c r="D47" i="92"/>
  <c r="D36" i="92"/>
  <c r="E22" i="92"/>
  <c r="E50" i="92" s="1"/>
  <c r="E17" i="92"/>
  <c r="D84" i="91"/>
  <c r="D80" i="91"/>
  <c r="D70" i="91"/>
  <c r="D66" i="91"/>
  <c r="B51" i="91"/>
  <c r="B50" i="91"/>
  <c r="D47" i="91"/>
  <c r="D36" i="91"/>
  <c r="E17" i="91"/>
  <c r="D96" i="89"/>
  <c r="D81" i="89"/>
  <c r="D77" i="89"/>
  <c r="D53" i="89"/>
  <c r="D84" i="88"/>
  <c r="D80" i="88"/>
  <c r="D70" i="88"/>
  <c r="D66" i="88"/>
  <c r="B51" i="88"/>
  <c r="B50" i="88"/>
  <c r="D47" i="88"/>
  <c r="D36" i="88"/>
  <c r="E17" i="88"/>
  <c r="D84" i="87"/>
  <c r="D80" i="87"/>
  <c r="D70" i="87"/>
  <c r="D66" i="87"/>
  <c r="B51" i="87"/>
  <c r="B50" i="87"/>
  <c r="D47" i="87"/>
  <c r="D36" i="87"/>
  <c r="E17" i="87"/>
  <c r="D84" i="86"/>
  <c r="D80" i="86"/>
  <c r="D70" i="86"/>
  <c r="D66" i="86"/>
  <c r="B51" i="86"/>
  <c r="B50" i="86"/>
  <c r="D47" i="86"/>
  <c r="D36" i="86"/>
  <c r="E17" i="86"/>
  <c r="D84" i="85"/>
  <c r="D80" i="85"/>
  <c r="D70" i="85"/>
  <c r="D66" i="85"/>
  <c r="B51" i="85"/>
  <c r="B50" i="85"/>
  <c r="D47" i="85"/>
  <c r="D36" i="85"/>
  <c r="E17" i="85"/>
  <c r="D84" i="84"/>
  <c r="D80" i="84"/>
  <c r="D70" i="84"/>
  <c r="D66" i="84"/>
  <c r="B51" i="84"/>
  <c r="B50" i="84"/>
  <c r="D47" i="84"/>
  <c r="D36" i="84"/>
  <c r="E22" i="84"/>
  <c r="E17" i="84"/>
  <c r="D84" i="83"/>
  <c r="D80" i="83"/>
  <c r="D70" i="83"/>
  <c r="D66" i="83"/>
  <c r="B51" i="83"/>
  <c r="B50" i="83"/>
  <c r="D47" i="83"/>
  <c r="D36" i="83"/>
  <c r="E22" i="83"/>
  <c r="E50" i="83" s="1"/>
  <c r="E54" i="83" s="1"/>
  <c r="E60" i="83" s="1"/>
  <c r="E17" i="83"/>
  <c r="E30" i="83" l="1"/>
  <c r="E111" i="83" s="1"/>
  <c r="E30" i="95"/>
  <c r="E76" i="95" s="1"/>
  <c r="E54" i="97"/>
  <c r="E60" i="97" s="1"/>
  <c r="E54" i="92"/>
  <c r="E60" i="92" s="1"/>
  <c r="E54" i="91"/>
  <c r="E60" i="91" s="1"/>
  <c r="E54" i="96"/>
  <c r="E60" i="96" s="1"/>
  <c r="E30" i="93"/>
  <c r="E67" i="93" s="1"/>
  <c r="E30" i="88"/>
  <c r="E78" i="88" s="1"/>
  <c r="E30" i="87"/>
  <c r="E34" i="89"/>
  <c r="E30" i="96"/>
  <c r="E75" i="96" s="1"/>
  <c r="E76" i="93"/>
  <c r="E111" i="93"/>
  <c r="E50" i="93"/>
  <c r="E54" i="93" s="1"/>
  <c r="E60" i="93" s="1"/>
  <c r="E70" i="93"/>
  <c r="E30" i="94"/>
  <c r="E50" i="94"/>
  <c r="E54" i="94" s="1"/>
  <c r="E60" i="94" s="1"/>
  <c r="E83" i="95"/>
  <c r="E84" i="95" s="1"/>
  <c r="E89" i="95" s="1"/>
  <c r="E78" i="95"/>
  <c r="E34" i="95"/>
  <c r="E65" i="95"/>
  <c r="E77" i="95"/>
  <c r="E83" i="97"/>
  <c r="E84" i="97" s="1"/>
  <c r="E89" i="97" s="1"/>
  <c r="E78" i="97"/>
  <c r="E76" i="97"/>
  <c r="E70" i="97"/>
  <c r="E67" i="97"/>
  <c r="E34" i="97"/>
  <c r="E65" i="97"/>
  <c r="E66" i="97"/>
  <c r="E77" i="97"/>
  <c r="E111" i="97"/>
  <c r="E35" i="95"/>
  <c r="E50" i="95"/>
  <c r="E54" i="95" s="1"/>
  <c r="E60" i="95" s="1"/>
  <c r="E75" i="95"/>
  <c r="E79" i="95"/>
  <c r="E34" i="96"/>
  <c r="E77" i="96"/>
  <c r="E35" i="97"/>
  <c r="E75" i="97"/>
  <c r="E79" i="97"/>
  <c r="E83" i="87"/>
  <c r="E84" i="87" s="1"/>
  <c r="E89" i="87" s="1"/>
  <c r="E78" i="87"/>
  <c r="E76" i="87"/>
  <c r="E67" i="87"/>
  <c r="E34" i="87"/>
  <c r="E65" i="87"/>
  <c r="E66" i="87"/>
  <c r="E77" i="87"/>
  <c r="E111" i="87"/>
  <c r="E83" i="88"/>
  <c r="E84" i="88" s="1"/>
  <c r="E89" i="88" s="1"/>
  <c r="E35" i="87"/>
  <c r="E50" i="87"/>
  <c r="E54" i="87" s="1"/>
  <c r="E60" i="87" s="1"/>
  <c r="E70" i="87"/>
  <c r="E75" i="87"/>
  <c r="E79" i="87"/>
  <c r="E50" i="88"/>
  <c r="E54" i="88" s="1"/>
  <c r="E60" i="88" s="1"/>
  <c r="E79" i="88"/>
  <c r="E71" i="89"/>
  <c r="E30" i="91"/>
  <c r="E30" i="92"/>
  <c r="E30" i="86"/>
  <c r="E50" i="86"/>
  <c r="E54" i="86" s="1"/>
  <c r="E60" i="86" s="1"/>
  <c r="E30" i="84"/>
  <c r="E70" i="84" s="1"/>
  <c r="E50" i="84"/>
  <c r="E54" i="84" s="1"/>
  <c r="E60" i="84" s="1"/>
  <c r="E30" i="85"/>
  <c r="E50" i="85"/>
  <c r="E54" i="85" s="1"/>
  <c r="E60" i="85" s="1"/>
  <c r="E35" i="83"/>
  <c r="E34" i="83"/>
  <c r="E67" i="83"/>
  <c r="E70" i="83"/>
  <c r="E76" i="83"/>
  <c r="E78" i="83"/>
  <c r="E83" i="83"/>
  <c r="E84" i="83" s="1"/>
  <c r="E89" i="83" s="1"/>
  <c r="E65" i="83"/>
  <c r="E66" i="83"/>
  <c r="E75" i="83"/>
  <c r="E77" i="83"/>
  <c r="E79" i="83"/>
  <c r="E76" i="89" l="1"/>
  <c r="E38" i="89"/>
  <c r="E39" i="89"/>
  <c r="E91" i="89"/>
  <c r="E123" i="89"/>
  <c r="E89" i="89"/>
  <c r="E81" i="89"/>
  <c r="E66" i="93"/>
  <c r="E77" i="93"/>
  <c r="E76" i="96"/>
  <c r="E70" i="95"/>
  <c r="E67" i="95"/>
  <c r="E79" i="93"/>
  <c r="E34" i="93"/>
  <c r="E83" i="93"/>
  <c r="E84" i="93" s="1"/>
  <c r="E89" i="93" s="1"/>
  <c r="E65" i="93"/>
  <c r="E78" i="93"/>
  <c r="E65" i="96"/>
  <c r="E83" i="96"/>
  <c r="E84" i="96" s="1"/>
  <c r="E89" i="96" s="1"/>
  <c r="E111" i="95"/>
  <c r="E66" i="95"/>
  <c r="E70" i="94"/>
  <c r="E75" i="93"/>
  <c r="E80" i="93" s="1"/>
  <c r="E88" i="93" s="1"/>
  <c r="E90" i="93" s="1"/>
  <c r="E114" i="93" s="1"/>
  <c r="E35" i="93"/>
  <c r="E79" i="96"/>
  <c r="E87" i="89"/>
  <c r="E34" i="88"/>
  <c r="E36" i="88" s="1"/>
  <c r="E70" i="88"/>
  <c r="E77" i="89"/>
  <c r="E111" i="88"/>
  <c r="E66" i="88"/>
  <c r="E76" i="88"/>
  <c r="E90" i="89"/>
  <c r="E75" i="88"/>
  <c r="E35" i="88"/>
  <c r="E95" i="89"/>
  <c r="E96" i="89" s="1"/>
  <c r="E101" i="89" s="1"/>
  <c r="E77" i="88"/>
  <c r="E65" i="88"/>
  <c r="E67" i="88"/>
  <c r="E80" i="95"/>
  <c r="E88" i="95" s="1"/>
  <c r="E90" i="95" s="1"/>
  <c r="E114" i="95" s="1"/>
  <c r="E86" i="89"/>
  <c r="E88" i="89"/>
  <c r="E78" i="89"/>
  <c r="E36" i="83"/>
  <c r="E43" i="83" s="1"/>
  <c r="E111" i="96"/>
  <c r="E66" i="96"/>
  <c r="E67" i="96"/>
  <c r="E70" i="96"/>
  <c r="E78" i="96"/>
  <c r="E80" i="96" s="1"/>
  <c r="E88" i="96" s="1"/>
  <c r="E35" i="96"/>
  <c r="E36" i="96" s="1"/>
  <c r="E36" i="87"/>
  <c r="E45" i="87" s="1"/>
  <c r="E80" i="97"/>
  <c r="E88" i="97" s="1"/>
  <c r="E90" i="97" s="1"/>
  <c r="E114" i="97" s="1"/>
  <c r="E36" i="97"/>
  <c r="E36" i="95"/>
  <c r="E83" i="94"/>
  <c r="E84" i="94" s="1"/>
  <c r="E89" i="94" s="1"/>
  <c r="E78" i="94"/>
  <c r="E76" i="94"/>
  <c r="E67" i="94"/>
  <c r="E34" i="94"/>
  <c r="E111" i="94"/>
  <c r="E79" i="94"/>
  <c r="E77" i="94"/>
  <c r="E75" i="94"/>
  <c r="E66" i="94"/>
  <c r="E65" i="94"/>
  <c r="E35" i="94"/>
  <c r="E36" i="93"/>
  <c r="E111" i="92"/>
  <c r="E79" i="92"/>
  <c r="E77" i="92"/>
  <c r="E75" i="92"/>
  <c r="E66" i="92"/>
  <c r="E65" i="92"/>
  <c r="E35" i="92"/>
  <c r="E83" i="92"/>
  <c r="E84" i="92" s="1"/>
  <c r="E89" i="92" s="1"/>
  <c r="E78" i="92"/>
  <c r="E67" i="92"/>
  <c r="E34" i="92"/>
  <c r="E76" i="92"/>
  <c r="E70" i="92"/>
  <c r="E111" i="91"/>
  <c r="E79" i="91"/>
  <c r="E77" i="91"/>
  <c r="E75" i="91"/>
  <c r="E66" i="91"/>
  <c r="E65" i="91"/>
  <c r="E35" i="91"/>
  <c r="E83" i="91"/>
  <c r="E84" i="91" s="1"/>
  <c r="E89" i="91" s="1"/>
  <c r="E78" i="91"/>
  <c r="E67" i="91"/>
  <c r="E34" i="91"/>
  <c r="E76" i="91"/>
  <c r="E70" i="91"/>
  <c r="E80" i="87"/>
  <c r="E88" i="87" s="1"/>
  <c r="E90" i="87" s="1"/>
  <c r="E114" i="87" s="1"/>
  <c r="E83" i="86"/>
  <c r="E84" i="86" s="1"/>
  <c r="E89" i="86" s="1"/>
  <c r="E78" i="86"/>
  <c r="E76" i="86"/>
  <c r="E67" i="86"/>
  <c r="E34" i="86"/>
  <c r="E111" i="86"/>
  <c r="E79" i="86"/>
  <c r="E77" i="86"/>
  <c r="E75" i="86"/>
  <c r="E66" i="86"/>
  <c r="E65" i="86"/>
  <c r="E35" i="86"/>
  <c r="E70" i="86"/>
  <c r="E83" i="85"/>
  <c r="E84" i="85" s="1"/>
  <c r="E89" i="85" s="1"/>
  <c r="E78" i="85"/>
  <c r="E76" i="85"/>
  <c r="E70" i="85"/>
  <c r="E67" i="85"/>
  <c r="E34" i="85"/>
  <c r="E111" i="85"/>
  <c r="E79" i="85"/>
  <c r="E77" i="85"/>
  <c r="E75" i="85"/>
  <c r="E66" i="85"/>
  <c r="E65" i="85"/>
  <c r="E35" i="85"/>
  <c r="E83" i="84"/>
  <c r="E84" i="84" s="1"/>
  <c r="E89" i="84" s="1"/>
  <c r="E78" i="84"/>
  <c r="E76" i="84"/>
  <c r="E67" i="84"/>
  <c r="E34" i="84"/>
  <c r="E111" i="84"/>
  <c r="E79" i="84"/>
  <c r="E77" i="84"/>
  <c r="E75" i="84"/>
  <c r="E66" i="84"/>
  <c r="E65" i="84"/>
  <c r="E35" i="84"/>
  <c r="E80" i="83"/>
  <c r="E88" i="83" s="1"/>
  <c r="E90" i="83" s="1"/>
  <c r="E114" i="83" s="1"/>
  <c r="E92" i="89" l="1"/>
  <c r="E90" i="96"/>
  <c r="E114" i="96" s="1"/>
  <c r="E44" i="83"/>
  <c r="E36" i="92"/>
  <c r="E42" i="92" s="1"/>
  <c r="E39" i="83"/>
  <c r="E100" i="89"/>
  <c r="E102" i="89" s="1"/>
  <c r="E126" i="89" s="1"/>
  <c r="E39" i="92"/>
  <c r="E42" i="89"/>
  <c r="E69" i="89" s="1"/>
  <c r="E40" i="83"/>
  <c r="E58" i="83"/>
  <c r="E39" i="87"/>
  <c r="E58" i="87"/>
  <c r="E46" i="83"/>
  <c r="E80" i="88"/>
  <c r="E88" i="88" s="1"/>
  <c r="E90" i="88" s="1"/>
  <c r="E114" i="88" s="1"/>
  <c r="E36" i="91"/>
  <c r="E41" i="91" s="1"/>
  <c r="E42" i="83"/>
  <c r="E45" i="83"/>
  <c r="E41" i="83"/>
  <c r="E39" i="96"/>
  <c r="E43" i="96"/>
  <c r="E58" i="96"/>
  <c r="E42" i="96"/>
  <c r="E45" i="96"/>
  <c r="E44" i="96"/>
  <c r="E40" i="96"/>
  <c r="E46" i="96"/>
  <c r="E41" i="96"/>
  <c r="E80" i="94"/>
  <c r="E88" i="94" s="1"/>
  <c r="E90" i="94" s="1"/>
  <c r="E114" i="94" s="1"/>
  <c r="E46" i="87"/>
  <c r="E42" i="87"/>
  <c r="E44" i="87"/>
  <c r="E43" i="87"/>
  <c r="E40" i="87"/>
  <c r="E41" i="87"/>
  <c r="E80" i="85"/>
  <c r="E88" i="85" s="1"/>
  <c r="E90" i="85" s="1"/>
  <c r="E114" i="85" s="1"/>
  <c r="E36" i="85"/>
  <c r="E58" i="85" s="1"/>
  <c r="E36" i="94"/>
  <c r="E58" i="93"/>
  <c r="E45" i="93"/>
  <c r="E41" i="93"/>
  <c r="E44" i="93"/>
  <c r="E42" i="93"/>
  <c r="E43" i="93"/>
  <c r="E39" i="93"/>
  <c r="E40" i="93"/>
  <c r="E46" i="93"/>
  <c r="E58" i="95"/>
  <c r="E45" i="95"/>
  <c r="E41" i="95"/>
  <c r="E44" i="95"/>
  <c r="E42" i="95"/>
  <c r="E43" i="95"/>
  <c r="E39" i="95"/>
  <c r="E40" i="95"/>
  <c r="E46" i="95"/>
  <c r="E58" i="97"/>
  <c r="E45" i="97"/>
  <c r="E41" i="97"/>
  <c r="E44" i="97"/>
  <c r="E42" i="97"/>
  <c r="E43" i="97"/>
  <c r="E39" i="97"/>
  <c r="E40" i="97"/>
  <c r="E46" i="97"/>
  <c r="E80" i="92"/>
  <c r="E88" i="92" s="1"/>
  <c r="E90" i="92" s="1"/>
  <c r="E114" i="92" s="1"/>
  <c r="E58" i="88"/>
  <c r="E43" i="88"/>
  <c r="E39" i="88"/>
  <c r="E40" i="88"/>
  <c r="E42" i="88"/>
  <c r="E45" i="88"/>
  <c r="E41" i="88"/>
  <c r="E44" i="88"/>
  <c r="E46" i="88"/>
  <c r="E80" i="91"/>
  <c r="E88" i="91" s="1"/>
  <c r="E90" i="91" s="1"/>
  <c r="E114" i="91" s="1"/>
  <c r="E58" i="92"/>
  <c r="E46" i="92"/>
  <c r="E80" i="86"/>
  <c r="E88" i="86" s="1"/>
  <c r="E90" i="86" s="1"/>
  <c r="E114" i="86" s="1"/>
  <c r="E36" i="86"/>
  <c r="E80" i="84"/>
  <c r="E88" i="84" s="1"/>
  <c r="E90" i="84" s="1"/>
  <c r="E114" i="84" s="1"/>
  <c r="E36" i="84"/>
  <c r="E52" i="89" l="1"/>
  <c r="E50" i="89"/>
  <c r="E49" i="89"/>
  <c r="E45" i="92"/>
  <c r="E44" i="92"/>
  <c r="E41" i="92"/>
  <c r="E43" i="92"/>
  <c r="E39" i="91"/>
  <c r="E43" i="91"/>
  <c r="E40" i="92"/>
  <c r="E47" i="92" s="1"/>
  <c r="E47" i="89"/>
  <c r="E48" i="89"/>
  <c r="E51" i="89"/>
  <c r="E45" i="89"/>
  <c r="E46" i="89"/>
  <c r="E47" i="87"/>
  <c r="E47" i="83"/>
  <c r="E46" i="85"/>
  <c r="E41" i="85"/>
  <c r="E44" i="91"/>
  <c r="E46" i="91"/>
  <c r="E40" i="91"/>
  <c r="E45" i="91"/>
  <c r="E42" i="91"/>
  <c r="E58" i="91"/>
  <c r="E47" i="96"/>
  <c r="E43" i="85"/>
  <c r="E59" i="83"/>
  <c r="E61" i="83" s="1"/>
  <c r="E112" i="83" s="1"/>
  <c r="E59" i="87"/>
  <c r="E61" i="87" s="1"/>
  <c r="E112" i="87" s="1"/>
  <c r="E39" i="85"/>
  <c r="E42" i="85"/>
  <c r="E45" i="85"/>
  <c r="E40" i="85"/>
  <c r="E44" i="85"/>
  <c r="E47" i="97"/>
  <c r="E47" i="95"/>
  <c r="E58" i="94"/>
  <c r="E43" i="94"/>
  <c r="E39" i="94"/>
  <c r="E46" i="94"/>
  <c r="E42" i="94"/>
  <c r="E40" i="94"/>
  <c r="E45" i="94"/>
  <c r="E41" i="94"/>
  <c r="E44" i="94"/>
  <c r="E47" i="93"/>
  <c r="E47" i="88"/>
  <c r="E58" i="86"/>
  <c r="E45" i="86"/>
  <c r="E41" i="86"/>
  <c r="E44" i="86"/>
  <c r="E40" i="86"/>
  <c r="E43" i="86"/>
  <c r="E39" i="86"/>
  <c r="E46" i="86"/>
  <c r="E42" i="86"/>
  <c r="E58" i="84"/>
  <c r="E45" i="84"/>
  <c r="E41" i="84"/>
  <c r="E44" i="84"/>
  <c r="E40" i="84"/>
  <c r="E43" i="84"/>
  <c r="E39" i="84"/>
  <c r="E46" i="84"/>
  <c r="E42" i="84"/>
  <c r="E59" i="92" l="1"/>
  <c r="E61" i="92" s="1"/>
  <c r="E112" i="92" s="1"/>
  <c r="E53" i="89"/>
  <c r="E70" i="89" s="1"/>
  <c r="E72" i="89" s="1"/>
  <c r="E124" i="89" s="1"/>
  <c r="E47" i="91"/>
  <c r="E59" i="96"/>
  <c r="E61" i="96" s="1"/>
  <c r="E112" i="96" s="1"/>
  <c r="E47" i="85"/>
  <c r="E59" i="85" s="1"/>
  <c r="E61" i="85" s="1"/>
  <c r="E112" i="85" s="1"/>
  <c r="E47" i="94"/>
  <c r="E59" i="97"/>
  <c r="E61" i="97" s="1"/>
  <c r="E112" i="97" s="1"/>
  <c r="E59" i="93"/>
  <c r="E61" i="93" s="1"/>
  <c r="E112" i="93" s="1"/>
  <c r="E59" i="95"/>
  <c r="E61" i="95" s="1"/>
  <c r="E112" i="95" s="1"/>
  <c r="E59" i="88"/>
  <c r="E61" i="88" s="1"/>
  <c r="E112" i="88" s="1"/>
  <c r="E59" i="91"/>
  <c r="E61" i="91" s="1"/>
  <c r="E112" i="91" s="1"/>
  <c r="E47" i="86"/>
  <c r="E47" i="84"/>
  <c r="E59" i="94" l="1"/>
  <c r="E61" i="94" s="1"/>
  <c r="E112" i="94" s="1"/>
  <c r="E59" i="86"/>
  <c r="E61" i="86" s="1"/>
  <c r="E112" i="86" s="1"/>
  <c r="E59" i="84"/>
  <c r="E61" i="84" s="1"/>
  <c r="E112" i="84" s="1"/>
  <c r="B27" i="80" l="1"/>
  <c r="E57" i="82"/>
  <c r="F57" i="82" s="1"/>
  <c r="E56" i="82"/>
  <c r="F56" i="82" s="1"/>
  <c r="E55" i="82"/>
  <c r="F55" i="82" s="1"/>
  <c r="E54" i="82"/>
  <c r="F54" i="82" s="1"/>
  <c r="E53" i="82"/>
  <c r="F53" i="82" s="1"/>
  <c r="E52" i="82"/>
  <c r="F52" i="82" s="1"/>
  <c r="E51" i="82"/>
  <c r="F51" i="82" s="1"/>
  <c r="E50" i="82"/>
  <c r="F50" i="82" s="1"/>
  <c r="E49" i="82"/>
  <c r="F49" i="82" s="1"/>
  <c r="E48" i="82"/>
  <c r="F48" i="82" s="1"/>
  <c r="E47" i="82"/>
  <c r="F47" i="82" s="1"/>
  <c r="E46" i="82"/>
  <c r="F46" i="82" s="1"/>
  <c r="E45" i="82"/>
  <c r="F45" i="82" s="1"/>
  <c r="E39" i="82"/>
  <c r="F39" i="82" s="1"/>
  <c r="E38" i="82"/>
  <c r="F38" i="82" s="1"/>
  <c r="E37" i="82"/>
  <c r="F37" i="82" s="1"/>
  <c r="E36" i="82"/>
  <c r="F36" i="82" s="1"/>
  <c r="E35" i="82"/>
  <c r="F35" i="82" s="1"/>
  <c r="E34" i="82"/>
  <c r="F34" i="82" s="1"/>
  <c r="E33" i="82"/>
  <c r="F33" i="82" s="1"/>
  <c r="E32" i="82"/>
  <c r="F32" i="82" s="1"/>
  <c r="E31" i="82"/>
  <c r="F31" i="82" s="1"/>
  <c r="E30" i="82"/>
  <c r="F30" i="82" s="1"/>
  <c r="E29" i="82"/>
  <c r="F29" i="82" s="1"/>
  <c r="E28" i="82"/>
  <c r="F28" i="82" s="1"/>
  <c r="E27" i="82"/>
  <c r="F27" i="82" s="1"/>
  <c r="E26" i="82"/>
  <c r="F26" i="82" s="1"/>
  <c r="E25" i="82"/>
  <c r="F25" i="82" s="1"/>
  <c r="E19" i="82"/>
  <c r="F19" i="82" s="1"/>
  <c r="E18" i="82"/>
  <c r="F18" i="82" s="1"/>
  <c r="E17" i="82"/>
  <c r="F17" i="82" s="1"/>
  <c r="E16" i="82"/>
  <c r="F16" i="82" s="1"/>
  <c r="E15" i="82"/>
  <c r="F15" i="82" s="1"/>
  <c r="E14" i="82"/>
  <c r="F14" i="82" s="1"/>
  <c r="E13" i="82"/>
  <c r="F13" i="82" s="1"/>
  <c r="E12" i="82"/>
  <c r="F12" i="82" s="1"/>
  <c r="E11" i="82"/>
  <c r="F11" i="82" s="1"/>
  <c r="E10" i="82"/>
  <c r="F10" i="82" s="1"/>
  <c r="E9" i="82"/>
  <c r="F9" i="82" s="1"/>
  <c r="E8" i="82"/>
  <c r="F8" i="82" s="1"/>
  <c r="E7" i="82"/>
  <c r="F7" i="82" s="1"/>
  <c r="E6" i="82"/>
  <c r="F6" i="82" s="1"/>
  <c r="E5" i="82"/>
  <c r="F5" i="82" s="1"/>
  <c r="E4" i="82"/>
  <c r="F4" i="82" s="1"/>
  <c r="E22" i="81"/>
  <c r="D84" i="81"/>
  <c r="D80" i="81"/>
  <c r="D70" i="81"/>
  <c r="D66" i="81"/>
  <c r="B51" i="81"/>
  <c r="B50" i="81"/>
  <c r="D47" i="81"/>
  <c r="D36" i="81"/>
  <c r="E50" i="81"/>
  <c r="E17" i="81"/>
  <c r="F59" i="82" l="1"/>
  <c r="E96" i="93"/>
  <c r="E96" i="92"/>
  <c r="E96" i="88"/>
  <c r="E96" i="87"/>
  <c r="E96" i="86"/>
  <c r="E96" i="97"/>
  <c r="E96" i="96"/>
  <c r="E96" i="95"/>
  <c r="E96" i="94"/>
  <c r="E96" i="85"/>
  <c r="E96" i="84"/>
  <c r="E96" i="83"/>
  <c r="E96" i="81"/>
  <c r="E96" i="51"/>
  <c r="E54" i="81"/>
  <c r="E60" i="81" s="1"/>
  <c r="F40" i="82"/>
  <c r="E95" i="87" s="1"/>
  <c r="E95" i="85"/>
  <c r="E95" i="95"/>
  <c r="E95" i="93"/>
  <c r="E95" i="51"/>
  <c r="F20" i="82"/>
  <c r="E30" i="81"/>
  <c r="E32" i="79"/>
  <c r="B32" i="79"/>
  <c r="A32" i="79"/>
  <c r="E31" i="79"/>
  <c r="B31" i="79"/>
  <c r="F31" i="79" s="1"/>
  <c r="A31" i="79"/>
  <c r="E30" i="79"/>
  <c r="B30" i="79"/>
  <c r="F30" i="79" s="1"/>
  <c r="A30" i="79"/>
  <c r="C29" i="79"/>
  <c r="E29" i="79" s="1"/>
  <c r="F29" i="79" s="1"/>
  <c r="B29" i="79"/>
  <c r="A29" i="79"/>
  <c r="E28" i="79"/>
  <c r="F28" i="79" s="1"/>
  <c r="C28" i="79"/>
  <c r="B28" i="79"/>
  <c r="A28" i="79"/>
  <c r="E27" i="79"/>
  <c r="B27" i="79"/>
  <c r="A27" i="79"/>
  <c r="E26" i="79"/>
  <c r="B26" i="79"/>
  <c r="F26" i="79" s="1"/>
  <c r="A26" i="79"/>
  <c r="E25" i="79"/>
  <c r="B25" i="79"/>
  <c r="F25" i="79" s="1"/>
  <c r="A25" i="79"/>
  <c r="E24" i="79"/>
  <c r="B24" i="79"/>
  <c r="A24" i="79"/>
  <c r="E23" i="79"/>
  <c r="B23" i="79"/>
  <c r="A23" i="79"/>
  <c r="E22" i="79"/>
  <c r="B22" i="79"/>
  <c r="F22" i="79" s="1"/>
  <c r="A22" i="79"/>
  <c r="E21" i="79"/>
  <c r="B21" i="79"/>
  <c r="F21" i="79" s="1"/>
  <c r="A21" i="79"/>
  <c r="E15" i="79"/>
  <c r="F15" i="79" s="1"/>
  <c r="E14" i="79"/>
  <c r="F14" i="79" s="1"/>
  <c r="E13" i="79"/>
  <c r="F13" i="79" s="1"/>
  <c r="E12" i="79"/>
  <c r="F12" i="79" s="1"/>
  <c r="C12" i="79"/>
  <c r="E11" i="79"/>
  <c r="F11" i="79" s="1"/>
  <c r="F10" i="79"/>
  <c r="E10" i="79"/>
  <c r="E9" i="79"/>
  <c r="F9" i="79" s="1"/>
  <c r="F8" i="79"/>
  <c r="E8" i="79"/>
  <c r="E7" i="79"/>
  <c r="F7" i="79" s="1"/>
  <c r="F6" i="79"/>
  <c r="E6" i="79"/>
  <c r="E5" i="79"/>
  <c r="F5" i="79" s="1"/>
  <c r="F4" i="79"/>
  <c r="E4" i="79"/>
  <c r="E94" i="51" l="1"/>
  <c r="E95" i="97"/>
  <c r="E107" i="89"/>
  <c r="E96" i="91"/>
  <c r="E108" i="89"/>
  <c r="E109" i="89" s="1"/>
  <c r="F24" i="79"/>
  <c r="E95" i="92"/>
  <c r="F23" i="79"/>
  <c r="F27" i="79"/>
  <c r="F32" i="79"/>
  <c r="E95" i="81"/>
  <c r="E95" i="88"/>
  <c r="E95" i="94"/>
  <c r="E95" i="83"/>
  <c r="E95" i="86"/>
  <c r="E95" i="91"/>
  <c r="E95" i="96"/>
  <c r="E94" i="97"/>
  <c r="E97" i="97" s="1"/>
  <c r="E94" i="95"/>
  <c r="E97" i="95" s="1"/>
  <c r="E94" i="93"/>
  <c r="E97" i="93" s="1"/>
  <c r="E94" i="88"/>
  <c r="E94" i="87"/>
  <c r="E97" i="87" s="1"/>
  <c r="E94" i="85"/>
  <c r="E97" i="85" s="1"/>
  <c r="E94" i="84"/>
  <c r="E97" i="84" s="1"/>
  <c r="E94" i="96"/>
  <c r="E94" i="94"/>
  <c r="E94" i="92"/>
  <c r="E94" i="91"/>
  <c r="E94" i="86"/>
  <c r="E97" i="86" s="1"/>
  <c r="E94" i="83"/>
  <c r="E97" i="83" s="1"/>
  <c r="E94" i="81"/>
  <c r="E111" i="81"/>
  <c r="E83" i="81"/>
  <c r="E84" i="81" s="1"/>
  <c r="E89" i="81" s="1"/>
  <c r="E78" i="81"/>
  <c r="E76" i="81"/>
  <c r="E67" i="81"/>
  <c r="E34" i="81"/>
  <c r="E79" i="81"/>
  <c r="E77" i="81"/>
  <c r="E75" i="81"/>
  <c r="E66" i="81"/>
  <c r="E65" i="81"/>
  <c r="E35" i="81"/>
  <c r="E70" i="81"/>
  <c r="G16" i="79"/>
  <c r="G33" i="79"/>
  <c r="E97" i="92" l="1"/>
  <c r="E97" i="94"/>
  <c r="E115" i="94" s="1"/>
  <c r="E97" i="96"/>
  <c r="E97" i="88"/>
  <c r="E115" i="88" s="1"/>
  <c r="E97" i="81"/>
  <c r="E115" i="81" s="1"/>
  <c r="E97" i="91"/>
  <c r="E115" i="91" s="1"/>
  <c r="E115" i="83"/>
  <c r="E127" i="89"/>
  <c r="E115" i="92"/>
  <c r="E115" i="96"/>
  <c r="E115" i="85"/>
  <c r="E115" i="93"/>
  <c r="E115" i="97"/>
  <c r="E115" i="86"/>
  <c r="E115" i="84"/>
  <c r="E115" i="87"/>
  <c r="E115" i="95"/>
  <c r="E80" i="81"/>
  <c r="E88" i="81" s="1"/>
  <c r="E90" i="81" s="1"/>
  <c r="E114" i="81" s="1"/>
  <c r="E36" i="81"/>
  <c r="H33" i="79"/>
  <c r="F33" i="79" s="1"/>
  <c r="H16" i="79"/>
  <c r="F16" i="79" s="1"/>
  <c r="D105" i="51"/>
  <c r="D104" i="96" l="1"/>
  <c r="D104" i="93"/>
  <c r="D104" i="87"/>
  <c r="D104" i="84"/>
  <c r="D104" i="91"/>
  <c r="D104" i="97"/>
  <c r="D104" i="95"/>
  <c r="D107" i="95" s="1"/>
  <c r="D104" i="86"/>
  <c r="D104" i="83"/>
  <c r="D107" i="83" s="1"/>
  <c r="D104" i="88"/>
  <c r="D104" i="85"/>
  <c r="D107" i="85" s="1"/>
  <c r="D104" i="94"/>
  <c r="D107" i="94" s="1"/>
  <c r="D104" i="92"/>
  <c r="D107" i="92" s="1"/>
  <c r="D104" i="81"/>
  <c r="D105" i="88"/>
  <c r="D105" i="85"/>
  <c r="D105" i="97"/>
  <c r="D105" i="86"/>
  <c r="D105" i="93"/>
  <c r="D105" i="94"/>
  <c r="D105" i="91"/>
  <c r="D105" i="95"/>
  <c r="D105" i="92"/>
  <c r="D105" i="83"/>
  <c r="D105" i="96"/>
  <c r="D105" i="87"/>
  <c r="D105" i="84"/>
  <c r="D105" i="81"/>
  <c r="D104" i="51"/>
  <c r="E58" i="81"/>
  <c r="E41" i="81"/>
  <c r="E44" i="81"/>
  <c r="E43" i="81"/>
  <c r="E45" i="81"/>
  <c r="E39" i="81"/>
  <c r="E46" i="81"/>
  <c r="E42" i="81"/>
  <c r="E40" i="81"/>
  <c r="J105" i="73"/>
  <c r="J135" i="73"/>
  <c r="J134" i="73"/>
  <c r="J133" i="73"/>
  <c r="J132" i="73"/>
  <c r="J111" i="73"/>
  <c r="F112" i="73" s="1"/>
  <c r="J99" i="73"/>
  <c r="J93" i="73"/>
  <c r="J87" i="73"/>
  <c r="J81" i="73"/>
  <c r="J75" i="73"/>
  <c r="J69" i="73"/>
  <c r="J63" i="73"/>
  <c r="J57" i="73"/>
  <c r="J51" i="73"/>
  <c r="J45" i="73"/>
  <c r="J39" i="73"/>
  <c r="J33" i="73"/>
  <c r="J27" i="73"/>
  <c r="J21" i="73"/>
  <c r="J15" i="73"/>
  <c r="J9" i="73"/>
  <c r="K119" i="73"/>
  <c r="K123" i="73"/>
  <c r="K127" i="73"/>
  <c r="K131" i="73"/>
  <c r="J119" i="73"/>
  <c r="J120" i="73"/>
  <c r="K120" i="73" s="1"/>
  <c r="J121" i="73"/>
  <c r="K121" i="73" s="1"/>
  <c r="J122" i="73"/>
  <c r="K122" i="73" s="1"/>
  <c r="J123" i="73"/>
  <c r="J124" i="73"/>
  <c r="K124" i="73" s="1"/>
  <c r="J125" i="73"/>
  <c r="K125" i="73" s="1"/>
  <c r="J126" i="73"/>
  <c r="K126" i="73" s="1"/>
  <c r="J127" i="73"/>
  <c r="J128" i="73"/>
  <c r="K128" i="73" s="1"/>
  <c r="J129" i="73"/>
  <c r="K129" i="73" s="1"/>
  <c r="J130" i="73"/>
  <c r="K130" i="73" s="1"/>
  <c r="J131" i="73"/>
  <c r="F136" i="73"/>
  <c r="B109" i="73"/>
  <c r="B103" i="73"/>
  <c r="B97" i="73"/>
  <c r="B91" i="73"/>
  <c r="B85" i="73"/>
  <c r="B79" i="73"/>
  <c r="B73" i="73"/>
  <c r="B67" i="73"/>
  <c r="B61" i="73"/>
  <c r="B55" i="73"/>
  <c r="B49" i="73"/>
  <c r="B43" i="73"/>
  <c r="B37" i="73"/>
  <c r="B31" i="73"/>
  <c r="B25" i="73"/>
  <c r="B19" i="73"/>
  <c r="B13" i="73"/>
  <c r="B7" i="73"/>
  <c r="D107" i="86" l="1"/>
  <c r="D107" i="93"/>
  <c r="D107" i="84"/>
  <c r="D107" i="96"/>
  <c r="D119" i="89"/>
  <c r="D107" i="91"/>
  <c r="D107" i="81"/>
  <c r="D107" i="88"/>
  <c r="D107" i="97"/>
  <c r="D107" i="87"/>
  <c r="E47" i="81"/>
  <c r="A13" i="73"/>
  <c r="A19" i="73" s="1"/>
  <c r="A25" i="73" s="1"/>
  <c r="A31" i="73" s="1"/>
  <c r="A37" i="73" s="1"/>
  <c r="A43" i="73" s="1"/>
  <c r="A49" i="73" s="1"/>
  <c r="A55" i="73" s="1"/>
  <c r="A61" i="73" s="1"/>
  <c r="A67" i="73" s="1"/>
  <c r="A73" i="73" s="1"/>
  <c r="A79" i="73" s="1"/>
  <c r="A85" i="73" s="1"/>
  <c r="A91" i="73" s="1"/>
  <c r="A97" i="73" s="1"/>
  <c r="A103" i="73" s="1"/>
  <c r="A109" i="73" s="1"/>
  <c r="C88" i="73"/>
  <c r="C70" i="73"/>
  <c r="C64" i="73"/>
  <c r="C46" i="73"/>
  <c r="C40" i="73"/>
  <c r="C34" i="73"/>
  <c r="C28" i="73"/>
  <c r="C22" i="73"/>
  <c r="K135" i="73"/>
  <c r="E59" i="81" l="1"/>
  <c r="E61" i="81" s="1"/>
  <c r="E112" i="81" s="1"/>
  <c r="C76" i="73"/>
  <c r="C58" i="73"/>
  <c r="C82" i="73"/>
  <c r="C52" i="73"/>
  <c r="C10" i="73"/>
  <c r="C16" i="73"/>
  <c r="F94" i="73"/>
  <c r="C100" i="73"/>
  <c r="F106" i="73"/>
  <c r="J118" i="73"/>
  <c r="J136" i="73" s="1"/>
  <c r="F111" i="73" s="1"/>
  <c r="K132" i="73"/>
  <c r="K133" i="73"/>
  <c r="K134" i="73"/>
  <c r="E81" i="73" l="1"/>
  <c r="K118" i="73"/>
  <c r="K136" i="73" s="1"/>
  <c r="C112" i="73"/>
  <c r="C106" i="73"/>
  <c r="F100" i="73"/>
  <c r="C94" i="73"/>
  <c r="H111" i="73" l="1"/>
  <c r="H113" i="73" s="1"/>
  <c r="E135" i="73" s="1"/>
  <c r="C111" i="73"/>
  <c r="E87" i="73"/>
  <c r="E89" i="73" s="1"/>
  <c r="E131" i="73" s="1"/>
  <c r="C69" i="73"/>
  <c r="C63" i="73"/>
  <c r="C45" i="73"/>
  <c r="C33" i="73"/>
  <c r="C75" i="73"/>
  <c r="E63" i="73"/>
  <c r="E65" i="73" s="1"/>
  <c r="E127" i="73" s="1"/>
  <c r="E45" i="73"/>
  <c r="E47" i="73" s="1"/>
  <c r="E124" i="73" s="1"/>
  <c r="E33" i="73"/>
  <c r="E35" i="73" s="1"/>
  <c r="E122" i="73" s="1"/>
  <c r="E69" i="73"/>
  <c r="E71" i="73" s="1"/>
  <c r="E128" i="73" s="1"/>
  <c r="E21" i="73"/>
  <c r="E23" i="73" s="1"/>
  <c r="E120" i="73" s="1"/>
  <c r="E51" i="73"/>
  <c r="E53" i="73" s="1"/>
  <c r="E125" i="73" s="1"/>
  <c r="C57" i="73"/>
  <c r="C87" i="73"/>
  <c r="C51" i="73"/>
  <c r="C27" i="73"/>
  <c r="E27" i="73"/>
  <c r="E29" i="73" s="1"/>
  <c r="E121" i="73" s="1"/>
  <c r="E57" i="73"/>
  <c r="E59" i="73" s="1"/>
  <c r="E126" i="73" s="1"/>
  <c r="E75" i="73"/>
  <c r="E77" i="73" s="1"/>
  <c r="E129" i="73" s="1"/>
  <c r="C81" i="73"/>
  <c r="E83" i="73"/>
  <c r="E130" i="73" s="1"/>
  <c r="C39" i="73"/>
  <c r="E39" i="73"/>
  <c r="E41" i="73" s="1"/>
  <c r="E123" i="73" s="1"/>
  <c r="C21" i="73"/>
  <c r="C15" i="73"/>
  <c r="E15" i="73"/>
  <c r="E17" i="73" s="1"/>
  <c r="E119" i="73" s="1"/>
  <c r="F105" i="73"/>
  <c r="H105" i="73" s="1"/>
  <c r="C9" i="73"/>
  <c r="F93" i="73"/>
  <c r="H93" i="73" s="1"/>
  <c r="C105" i="73"/>
  <c r="F99" i="73"/>
  <c r="H99" i="73" s="1"/>
  <c r="C99" i="73"/>
  <c r="E9" i="73"/>
  <c r="C93" i="73"/>
  <c r="G131" i="73" l="1"/>
  <c r="H131" i="73" s="1"/>
  <c r="G123" i="73"/>
  <c r="H123" i="73" s="1"/>
  <c r="G129" i="73"/>
  <c r="H129" i="73" s="1"/>
  <c r="G120" i="73"/>
  <c r="H120" i="73" s="1"/>
  <c r="G127" i="73"/>
  <c r="H127" i="73" s="1"/>
  <c r="G119" i="73"/>
  <c r="H119" i="73" s="1"/>
  <c r="G126" i="73"/>
  <c r="H126" i="73" s="1"/>
  <c r="G128" i="73"/>
  <c r="H128" i="73" s="1"/>
  <c r="G130" i="73"/>
  <c r="H130" i="73" s="1"/>
  <c r="G122" i="73"/>
  <c r="H122" i="73" s="1"/>
  <c r="G125" i="73"/>
  <c r="H125" i="73" s="1"/>
  <c r="G124" i="73"/>
  <c r="H124" i="73" s="1"/>
  <c r="G121" i="73"/>
  <c r="H121" i="73" s="1"/>
  <c r="G135" i="73"/>
  <c r="H135" i="73" s="1"/>
  <c r="H107" i="73"/>
  <c r="E134" i="73" s="1"/>
  <c r="H101" i="73"/>
  <c r="E133" i="73" s="1"/>
  <c r="H95" i="73"/>
  <c r="E132" i="73" s="1"/>
  <c r="G133" i="73" l="1"/>
  <c r="H133" i="73" s="1"/>
  <c r="G134" i="73"/>
  <c r="H134" i="73" s="1"/>
  <c r="G132" i="73"/>
  <c r="H132" i="73" s="1"/>
  <c r="D66" i="51" l="1"/>
  <c r="B51" i="51" l="1"/>
  <c r="B50" i="51"/>
  <c r="H71" i="67"/>
  <c r="H11" i="67"/>
  <c r="G7" i="72" l="1"/>
  <c r="H7" i="72" s="1"/>
  <c r="G6" i="72"/>
  <c r="H6" i="72" s="1"/>
  <c r="G5" i="72"/>
  <c r="H5" i="72" s="1"/>
  <c r="G4" i="72"/>
  <c r="H4" i="72" s="1"/>
  <c r="G3" i="72"/>
  <c r="H3" i="72" s="1"/>
  <c r="G2" i="72"/>
  <c r="H2" i="72" s="1"/>
  <c r="H8" i="72" l="1"/>
  <c r="D70" i="51" l="1"/>
  <c r="H5" i="67" l="1"/>
  <c r="H109" i="67" l="1"/>
  <c r="C109" i="67" s="1"/>
  <c r="H99" i="67"/>
  <c r="C99" i="67" s="1"/>
  <c r="H86" i="67"/>
  <c r="C86" i="67" s="1"/>
  <c r="H77" i="67"/>
  <c r="C77" i="67" s="1"/>
  <c r="C71" i="67"/>
  <c r="H50" i="67"/>
  <c r="C50" i="67"/>
  <c r="H44" i="67"/>
  <c r="C44" i="67" s="1"/>
  <c r="H31" i="67"/>
  <c r="C31" i="67" s="1"/>
  <c r="C11" i="67"/>
  <c r="C5" i="67"/>
  <c r="D68" i="97" l="1"/>
  <c r="D68" i="95"/>
  <c r="D68" i="84"/>
  <c r="D68" i="83"/>
  <c r="D68" i="94"/>
  <c r="D68" i="91"/>
  <c r="D68" i="92"/>
  <c r="D79" i="89"/>
  <c r="D68" i="96"/>
  <c r="D68" i="93"/>
  <c r="D68" i="87"/>
  <c r="D68" i="88"/>
  <c r="D68" i="85"/>
  <c r="D68" i="86"/>
  <c r="D68" i="81"/>
  <c r="D68" i="51"/>
  <c r="C17" i="67"/>
  <c r="C60" i="67" s="1"/>
  <c r="D47" i="51"/>
  <c r="D69" i="51" s="1"/>
  <c r="C3" i="67"/>
  <c r="C39" i="67"/>
  <c r="C68" i="67"/>
  <c r="D69" i="87" l="1"/>
  <c r="E69" i="87" s="1"/>
  <c r="D71" i="87"/>
  <c r="E68" i="87"/>
  <c r="D69" i="86"/>
  <c r="E69" i="86" s="1"/>
  <c r="E68" i="86"/>
  <c r="D69" i="91"/>
  <c r="E69" i="91" s="1"/>
  <c r="D71" i="91"/>
  <c r="E68" i="91"/>
  <c r="E68" i="96"/>
  <c r="D69" i="96"/>
  <c r="E69" i="96" s="1"/>
  <c r="D71" i="96"/>
  <c r="D69" i="94"/>
  <c r="E69" i="94" s="1"/>
  <c r="E68" i="94"/>
  <c r="D69" i="95"/>
  <c r="E69" i="95" s="1"/>
  <c r="E68" i="95"/>
  <c r="D69" i="81"/>
  <c r="E69" i="81" s="1"/>
  <c r="D71" i="81"/>
  <c r="E68" i="81"/>
  <c r="E71" i="81" s="1"/>
  <c r="D69" i="92"/>
  <c r="E69" i="92" s="1"/>
  <c r="D71" i="92"/>
  <c r="E68" i="92"/>
  <c r="E71" i="92" s="1"/>
  <c r="D71" i="84"/>
  <c r="D69" i="84"/>
  <c r="E69" i="84" s="1"/>
  <c r="E68" i="84"/>
  <c r="E71" i="84" s="1"/>
  <c r="D69" i="93"/>
  <c r="E69" i="93" s="1"/>
  <c r="E68" i="93"/>
  <c r="E71" i="93" s="1"/>
  <c r="D69" i="85"/>
  <c r="E69" i="85" s="1"/>
  <c r="D71" i="85"/>
  <c r="E68" i="85"/>
  <c r="E71" i="85" s="1"/>
  <c r="D69" i="88"/>
  <c r="E69" i="88" s="1"/>
  <c r="D71" i="88"/>
  <c r="E68" i="88"/>
  <c r="D80" i="89"/>
  <c r="E80" i="89" s="1"/>
  <c r="E79" i="89"/>
  <c r="D69" i="83"/>
  <c r="E68" i="83"/>
  <c r="D69" i="97"/>
  <c r="E69" i="97" s="1"/>
  <c r="E68" i="97"/>
  <c r="E71" i="97" s="1"/>
  <c r="D71" i="97"/>
  <c r="C28" i="67"/>
  <c r="E71" i="88" l="1"/>
  <c r="E71" i="87"/>
  <c r="E71" i="95"/>
  <c r="E113" i="95" s="1"/>
  <c r="E116" i="95" s="1"/>
  <c r="E113" i="93"/>
  <c r="E116" i="93" s="1"/>
  <c r="H96" i="93"/>
  <c r="E113" i="81"/>
  <c r="E116" i="81" s="1"/>
  <c r="H96" i="81"/>
  <c r="E113" i="88"/>
  <c r="E116" i="88" s="1"/>
  <c r="H96" i="88"/>
  <c r="E113" i="92"/>
  <c r="E116" i="92" s="1"/>
  <c r="H96" i="92"/>
  <c r="E113" i="97"/>
  <c r="E116" i="97" s="1"/>
  <c r="H96" i="97"/>
  <c r="E113" i="84"/>
  <c r="E116" i="84" s="1"/>
  <c r="H96" i="84"/>
  <c r="E71" i="94"/>
  <c r="D71" i="86"/>
  <c r="E113" i="85"/>
  <c r="E116" i="85" s="1"/>
  <c r="H96" i="85"/>
  <c r="D71" i="83"/>
  <c r="E69" i="83"/>
  <c r="E71" i="83" s="1"/>
  <c r="E113" i="87"/>
  <c r="E116" i="87" s="1"/>
  <c r="H96" i="87"/>
  <c r="E82" i="89"/>
  <c r="E125" i="89" s="1"/>
  <c r="D82" i="89"/>
  <c r="D71" i="93"/>
  <c r="D71" i="95"/>
  <c r="D71" i="94"/>
  <c r="E71" i="96"/>
  <c r="E71" i="91"/>
  <c r="E71" i="86"/>
  <c r="E50" i="51"/>
  <c r="E54" i="51" s="1"/>
  <c r="E30" i="51"/>
  <c r="E66" i="51" s="1"/>
  <c r="H108" i="89" l="1"/>
  <c r="H96" i="95"/>
  <c r="E113" i="83"/>
  <c r="E116" i="83" s="1"/>
  <c r="H96" i="83"/>
  <c r="E113" i="91"/>
  <c r="E116" i="91" s="1"/>
  <c r="H96" i="91"/>
  <c r="E113" i="96"/>
  <c r="E116" i="96" s="1"/>
  <c r="H96" i="96"/>
  <c r="E101" i="87"/>
  <c r="E101" i="85"/>
  <c r="E102" i="85" s="1"/>
  <c r="E113" i="86"/>
  <c r="E116" i="86" s="1"/>
  <c r="H96" i="86"/>
  <c r="E101" i="84"/>
  <c r="E102" i="84" s="1"/>
  <c r="H97" i="84" s="1"/>
  <c r="E113" i="94"/>
  <c r="E116" i="94" s="1"/>
  <c r="H96" i="94"/>
  <c r="E128" i="89"/>
  <c r="E113" i="89" s="1"/>
  <c r="E101" i="95"/>
  <c r="E101" i="97"/>
  <c r="E102" i="97" s="1"/>
  <c r="F120" i="97" s="1"/>
  <c r="E101" i="92"/>
  <c r="E102" i="92" s="1"/>
  <c r="E101" i="88"/>
  <c r="E102" i="88" s="1"/>
  <c r="E106" i="88" s="1"/>
  <c r="E101" i="81"/>
  <c r="E101" i="93"/>
  <c r="D107" i="51"/>
  <c r="E97" i="51"/>
  <c r="D84" i="51"/>
  <c r="E17" i="51"/>
  <c r="H97" i="85" l="1"/>
  <c r="E104" i="85"/>
  <c r="E106" i="92"/>
  <c r="E105" i="97"/>
  <c r="E105" i="85"/>
  <c r="E104" i="97"/>
  <c r="E105" i="84"/>
  <c r="E101" i="96"/>
  <c r="E102" i="93"/>
  <c r="E106" i="93" s="1"/>
  <c r="H97" i="88"/>
  <c r="F120" i="88"/>
  <c r="E104" i="84"/>
  <c r="F120" i="92"/>
  <c r="H97" i="92"/>
  <c r="E101" i="86"/>
  <c r="E102" i="81"/>
  <c r="E106" i="81" s="1"/>
  <c r="E101" i="94"/>
  <c r="F120" i="84"/>
  <c r="E105" i="88"/>
  <c r="E104" i="92"/>
  <c r="E104" i="81"/>
  <c r="E104" i="88"/>
  <c r="E105" i="92"/>
  <c r="E106" i="97"/>
  <c r="H97" i="97"/>
  <c r="E102" i="95"/>
  <c r="E106" i="84"/>
  <c r="E106" i="85"/>
  <c r="F120" i="85"/>
  <c r="E102" i="87"/>
  <c r="H97" i="87" s="1"/>
  <c r="E101" i="91"/>
  <c r="E102" i="91" s="1"/>
  <c r="F120" i="91" s="1"/>
  <c r="E101" i="83"/>
  <c r="E102" i="83" s="1"/>
  <c r="E105" i="83" s="1"/>
  <c r="E115" i="51"/>
  <c r="E69" i="51"/>
  <c r="E60" i="51"/>
  <c r="E111" i="51"/>
  <c r="E83" i="51"/>
  <c r="E84" i="51" s="1"/>
  <c r="E89" i="51" s="1"/>
  <c r="E78" i="51"/>
  <c r="E77" i="51"/>
  <c r="E79" i="51"/>
  <c r="E67" i="51"/>
  <c r="E76" i="51"/>
  <c r="E68" i="51"/>
  <c r="E65" i="51"/>
  <c r="E70" i="51"/>
  <c r="E35" i="51"/>
  <c r="D36" i="51"/>
  <c r="E34" i="51"/>
  <c r="D71" i="51"/>
  <c r="E105" i="81" l="1"/>
  <c r="H97" i="81"/>
  <c r="E107" i="88"/>
  <c r="E117" i="88" s="1"/>
  <c r="E118" i="88" s="1"/>
  <c r="E107" i="81"/>
  <c r="E117" i="81" s="1"/>
  <c r="E118" i="81" s="1"/>
  <c r="E120" i="81" s="1"/>
  <c r="E107" i="85"/>
  <c r="E117" i="85" s="1"/>
  <c r="E118" i="85" s="1"/>
  <c r="E114" i="89"/>
  <c r="E118" i="89" s="1"/>
  <c r="E107" i="97"/>
  <c r="E117" i="97" s="1"/>
  <c r="E118" i="97" s="1"/>
  <c r="D43" i="80" s="1"/>
  <c r="E43" i="80" s="1"/>
  <c r="F43" i="80" s="1"/>
  <c r="F120" i="81"/>
  <c r="G120" i="81" s="1"/>
  <c r="E104" i="87"/>
  <c r="G120" i="85"/>
  <c r="E107" i="92"/>
  <c r="E117" i="92" s="1"/>
  <c r="E118" i="92" s="1"/>
  <c r="D38" i="80" s="1"/>
  <c r="E38" i="80" s="1"/>
  <c r="F38" i="80" s="1"/>
  <c r="F120" i="87"/>
  <c r="E107" i="84"/>
  <c r="E117" i="84" s="1"/>
  <c r="E118" i="84" s="1"/>
  <c r="G120" i="84" s="1"/>
  <c r="E106" i="91"/>
  <c r="D36" i="80"/>
  <c r="E104" i="93"/>
  <c r="E105" i="93"/>
  <c r="H97" i="95"/>
  <c r="E104" i="95"/>
  <c r="E106" i="95"/>
  <c r="F120" i="95"/>
  <c r="E104" i="91"/>
  <c r="H97" i="91"/>
  <c r="D32" i="80"/>
  <c r="E102" i="86"/>
  <c r="E105" i="95"/>
  <c r="G120" i="88"/>
  <c r="H97" i="93"/>
  <c r="E120" i="88"/>
  <c r="D34" i="80"/>
  <c r="F120" i="83"/>
  <c r="H97" i="83"/>
  <c r="E120" i="85"/>
  <c r="D30" i="80"/>
  <c r="E30" i="80" s="1"/>
  <c r="F30" i="80" s="1"/>
  <c r="F120" i="93"/>
  <c r="E106" i="83"/>
  <c r="E104" i="83"/>
  <c r="E105" i="91"/>
  <c r="E102" i="94"/>
  <c r="H97" i="94" s="1"/>
  <c r="E106" i="87"/>
  <c r="E102" i="96"/>
  <c r="E105" i="87"/>
  <c r="E36" i="51"/>
  <c r="E71" i="51"/>
  <c r="E113" i="51" s="1"/>
  <c r="E75" i="51"/>
  <c r="E80" i="51" s="1"/>
  <c r="E88" i="51" s="1"/>
  <c r="E90" i="51" s="1"/>
  <c r="E114" i="51" s="1"/>
  <c r="D80" i="51"/>
  <c r="F121" i="88" l="1"/>
  <c r="G121" i="88"/>
  <c r="G121" i="85"/>
  <c r="F121" i="85"/>
  <c r="E107" i="91"/>
  <c r="E117" i="91" s="1"/>
  <c r="E118" i="91" s="1"/>
  <c r="E120" i="91" s="1"/>
  <c r="G120" i="97"/>
  <c r="E120" i="97"/>
  <c r="F121" i="81"/>
  <c r="G121" i="81"/>
  <c r="G120" i="92"/>
  <c r="F132" i="89"/>
  <c r="H109" i="89"/>
  <c r="E116" i="89"/>
  <c r="E120" i="84"/>
  <c r="E107" i="93"/>
  <c r="E117" i="93" s="1"/>
  <c r="E118" i="93" s="1"/>
  <c r="D39" i="80" s="1"/>
  <c r="E39" i="80" s="1"/>
  <c r="F39" i="80" s="1"/>
  <c r="E117" i="89"/>
  <c r="E120" i="92"/>
  <c r="E107" i="95"/>
  <c r="E117" i="95" s="1"/>
  <c r="E118" i="95" s="1"/>
  <c r="E120" i="95" s="1"/>
  <c r="D29" i="80"/>
  <c r="E29" i="80" s="1"/>
  <c r="F29" i="80" s="1"/>
  <c r="E32" i="80"/>
  <c r="F32" i="80" s="1"/>
  <c r="E36" i="80"/>
  <c r="F36" i="80" s="1"/>
  <c r="E107" i="87"/>
  <c r="E117" i="87" s="1"/>
  <c r="E118" i="87" s="1"/>
  <c r="E120" i="87" s="1"/>
  <c r="E107" i="83"/>
  <c r="E117" i="83" s="1"/>
  <c r="E118" i="83" s="1"/>
  <c r="D28" i="80" s="1"/>
  <c r="E28" i="80" s="1"/>
  <c r="F28" i="80" s="1"/>
  <c r="E34" i="80"/>
  <c r="F34" i="80" s="1"/>
  <c r="E104" i="96"/>
  <c r="E106" i="96"/>
  <c r="E105" i="96"/>
  <c r="E104" i="86"/>
  <c r="E105" i="86"/>
  <c r="E106" i="86"/>
  <c r="F120" i="96"/>
  <c r="H97" i="86"/>
  <c r="H97" i="96"/>
  <c r="E105" i="94"/>
  <c r="E106" i="94"/>
  <c r="E104" i="94"/>
  <c r="F120" i="94"/>
  <c r="F120" i="86"/>
  <c r="E41" i="51"/>
  <c r="E46" i="51"/>
  <c r="E44" i="51"/>
  <c r="E43" i="51"/>
  <c r="E39" i="51"/>
  <c r="E40" i="51"/>
  <c r="E45" i="51"/>
  <c r="E42" i="51"/>
  <c r="E58" i="51"/>
  <c r="E120" i="93" l="1"/>
  <c r="G121" i="91"/>
  <c r="F121" i="91"/>
  <c r="F121" i="87"/>
  <c r="G121" i="87"/>
  <c r="F121" i="97"/>
  <c r="G121" i="97"/>
  <c r="D37" i="80"/>
  <c r="E37" i="80" s="1"/>
  <c r="F37" i="80" s="1"/>
  <c r="G120" i="91"/>
  <c r="F121" i="92"/>
  <c r="G121" i="92"/>
  <c r="G120" i="87"/>
  <c r="G120" i="93"/>
  <c r="G121" i="95"/>
  <c r="F121" i="95"/>
  <c r="G121" i="93"/>
  <c r="F121" i="93"/>
  <c r="F137" i="89"/>
  <c r="F138" i="89" s="1"/>
  <c r="E119" i="89"/>
  <c r="E129" i="89" s="1"/>
  <c r="G121" i="84"/>
  <c r="G123" i="84" s="1"/>
  <c r="F121" i="84"/>
  <c r="F123" i="84" s="1"/>
  <c r="D41" i="80"/>
  <c r="E41" i="80" s="1"/>
  <c r="F41" i="80" s="1"/>
  <c r="E120" i="83"/>
  <c r="H120" i="83" s="1"/>
  <c r="E107" i="96"/>
  <c r="E117" i="96" s="1"/>
  <c r="E118" i="96" s="1"/>
  <c r="G120" i="96" s="1"/>
  <c r="G120" i="83"/>
  <c r="G120" i="95"/>
  <c r="D33" i="80"/>
  <c r="E33" i="80" s="1"/>
  <c r="F33" i="80" s="1"/>
  <c r="E107" i="94"/>
  <c r="E117" i="94" s="1"/>
  <c r="E118" i="94" s="1"/>
  <c r="E107" i="86"/>
  <c r="E117" i="86" s="1"/>
  <c r="E118" i="86" s="1"/>
  <c r="E47" i="51"/>
  <c r="E120" i="96" l="1"/>
  <c r="H120" i="84"/>
  <c r="E130" i="89"/>
  <c r="D35" i="80" s="1"/>
  <c r="E35" i="80" s="1"/>
  <c r="F35" i="80" s="1"/>
  <c r="F121" i="83"/>
  <c r="F123" i="83" s="1"/>
  <c r="G121" i="83"/>
  <c r="G123" i="83" s="1"/>
  <c r="D42" i="80"/>
  <c r="E42" i="80" s="1"/>
  <c r="F42" i="80" s="1"/>
  <c r="E120" i="94"/>
  <c r="D40" i="80"/>
  <c r="E40" i="80" s="1"/>
  <c r="F40" i="80" s="1"/>
  <c r="E120" i="86"/>
  <c r="D31" i="80"/>
  <c r="G120" i="86"/>
  <c r="G120" i="94"/>
  <c r="H96" i="51"/>
  <c r="E59" i="51"/>
  <c r="E61" i="51" s="1"/>
  <c r="E112" i="51" s="1"/>
  <c r="E116" i="51" s="1"/>
  <c r="E101" i="51" s="1"/>
  <c r="G121" i="86" l="1"/>
  <c r="F121" i="86"/>
  <c r="F121" i="94"/>
  <c r="G121" i="94"/>
  <c r="G121" i="96"/>
  <c r="F121" i="96"/>
  <c r="G132" i="89"/>
  <c r="E132" i="89"/>
  <c r="E31" i="80"/>
  <c r="F31" i="80" s="1"/>
  <c r="E102" i="51"/>
  <c r="E105" i="51" s="1"/>
  <c r="H132" i="89" l="1"/>
  <c r="F133" i="89"/>
  <c r="F135" i="89" s="1"/>
  <c r="G133" i="89"/>
  <c r="G135" i="89" s="1"/>
  <c r="F120" i="51"/>
  <c r="H97" i="51"/>
  <c r="E106" i="51"/>
  <c r="E104" i="51"/>
  <c r="E107" i="51" l="1"/>
  <c r="E117" i="51" s="1"/>
  <c r="E118" i="51" s="1"/>
  <c r="D27" i="80" l="1"/>
  <c r="E27" i="80" s="1"/>
  <c r="F27" i="80" s="1"/>
  <c r="E120" i="51"/>
  <c r="G106" i="73"/>
  <c r="G94" i="73"/>
  <c r="D82" i="73"/>
  <c r="D70" i="73"/>
  <c r="D58" i="73"/>
  <c r="D46" i="73"/>
  <c r="D34" i="73"/>
  <c r="D22" i="73"/>
  <c r="D10" i="73"/>
  <c r="G112" i="73"/>
  <c r="G100" i="73"/>
  <c r="D88" i="73"/>
  <c r="D76" i="73"/>
  <c r="D64" i="73"/>
  <c r="D52" i="73"/>
  <c r="D40" i="73"/>
  <c r="D28" i="73"/>
  <c r="D16" i="73"/>
  <c r="G120" i="51"/>
  <c r="G121" i="51" l="1"/>
  <c r="F121" i="51"/>
  <c r="H94" i="73"/>
  <c r="E76" i="73"/>
  <c r="E40" i="73"/>
  <c r="E58" i="73"/>
  <c r="E22" i="73"/>
  <c r="E28" i="73"/>
  <c r="E10" i="73"/>
  <c r="E11" i="73" s="1"/>
  <c r="E118" i="73" s="1"/>
  <c r="G118" i="73" s="1"/>
  <c r="H118" i="73" s="1"/>
  <c r="H136" i="73" s="1"/>
  <c r="H106" i="73"/>
  <c r="E88" i="73"/>
  <c r="E70" i="73"/>
  <c r="E52" i="73"/>
  <c r="H100" i="73"/>
  <c r="E34" i="73"/>
  <c r="E82" i="73"/>
  <c r="E16" i="73"/>
  <c r="E64" i="73"/>
  <c r="H112" i="73"/>
  <c r="E46" i="73"/>
  <c r="G136" i="73" l="1"/>
  <c r="E44" i="80" l="1"/>
  <c r="F44" i="80" l="1"/>
  <c r="A45" i="80"/>
  <c r="I102" i="84" l="1"/>
  <c r="I102" i="86"/>
  <c r="I102" i="87"/>
  <c r="I114" i="89"/>
  <c r="I102" i="91"/>
  <c r="I102" i="93"/>
  <c r="I102" i="95"/>
  <c r="I102" i="97"/>
  <c r="I102" i="83"/>
  <c r="I102" i="85"/>
  <c r="I102" i="81"/>
  <c r="I102" i="88"/>
  <c r="I102" i="92"/>
  <c r="I102" i="94"/>
  <c r="I102" i="96"/>
  <c r="I10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tc={EA044E48-6676-4FC6-A5A5-61BB8D5C9C6D}</author>
    <author>tc={61A9D6EB-95AA-4702-8443-C03A129488F6}</author>
    <author>tc={53880A78-A6DF-4457-82BD-F4DA11DC6D9F}</author>
    <author>tc={E98AC1F7-5A40-41A7-BEE4-2FF3485F8EC9}</author>
    <author>tc={8093C25B-EDF8-4EC1-A3CA-F4879F31841C}</author>
    <author>tc={7B2D383F-8E20-406D-928F-12530EDFB6E8}</author>
    <author>tc={AA3ACD45-31FD-4031-B5CD-FFBA0037FF9D}</author>
    <author>Elaine de Fátima Sarmento Kohanoski</author>
    <author>tc={88CD8D79-B354-4027-83D2-811EDABC89D0}</author>
    <author>tc={7796365D-2C92-4B8D-981D-82A31207AA2B}</author>
    <author>tc={9EB947A9-B0FE-4D46-BFD2-F2123BDF69EA}</author>
    <author>tc={2CF9D43A-1901-4AC3-95F3-7BC0A6E23401}</author>
    <author>tc={E0AF0B91-42B9-43D6-B915-40949A50D465}</author>
    <author>tc={46F0FF27-7471-4FE1-A013-594617064B26}</author>
    <author>tc={5F18077D-BF7D-4689-8943-D30237560ED0}</author>
    <author>tc={EF1AC5CE-4DBD-4D24-BEE0-127AACC6FCF7}</author>
    <author>tc={381DA638-2C12-45A3-B492-9EE726C5E6A3}</author>
    <author>tc={777574EF-8D09-4E56-9E13-236FE309B8B4}</author>
    <author>tc={D6CA4050-64EA-4A1A-8186-67A255C38921}</author>
    <author>tc={526C9C17-3F90-4AA6-A679-691C0A83F24B}</author>
    <author>tc={5BFF545D-F562-41DD-8F42-E6FEBDFF837D}</author>
    <author>tc={85FED38E-C7EE-465F-AEFA-A864B60FAB93}</author>
  </authors>
  <commentList>
    <comment ref="E28" authorId="0" shapeId="0" xr:uid="{EA044E48-6676-4FC6-A5A5-61BB8D5C9C6D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Salário normativo x Percentual de insalubridade</t>
      </text>
    </comment>
    <comment ref="E38" authorId="1" shapeId="0" xr:uid="{61A9D6EB-95AA-4702-8443-C03A129488F6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Total do modulo 1 X Percentual FGTS (8,33%)</t>
      </text>
    </comment>
    <comment ref="E39" authorId="2" shapeId="0" xr:uid="{53880A78-A6DF-4457-82BD-F4DA11DC6D9F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Total da remuneração x 12,10% (% da tabela IN 5)</t>
      </text>
    </comment>
    <comment ref="E41" authorId="3" shapeId="0" xr:uid="{E98AC1F7-5A40-41A7-BEE4-2FF3485F8EC9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Total da remuneração x 7,82% (% da tabela XII da IN 05)</t>
      </text>
    </comment>
    <comment ref="E47" authorId="4" shapeId="0" xr:uid="{8093C25B-EDF8-4EC1-A3CA-F4879F31841C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De acordo com cada tributação</t>
      </text>
    </comment>
    <comment ref="E63" authorId="5" shapeId="0" xr:uid="{7B2D383F-8E20-406D-928F-12530EDFB6E8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do plano de saúde mensal - desconto da parte do empregado)</t>
      </text>
    </comment>
    <comment ref="E64" authorId="6" shapeId="0" xr:uid="{AA3ACD45-31FD-4031-B5CD-FFBA0037FF9D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Pode incluir auxilio creche, aux. Funeral ou outros da convenção coletiva.</t>
      </text>
    </comment>
    <comment ref="E66" authorId="7" shapeId="0" xr:uid="{67D89906-A785-4AF4-A83A-45C01F9E3012}">
      <text>
        <r>
          <rPr>
            <b/>
            <sz val="9"/>
            <color indexed="81"/>
            <rFont val="Segoe UI"/>
            <family val="2"/>
          </rPr>
          <t>Elaine de Fátima Sarmento Kohanoski: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67" authorId="8" shapeId="0" xr:uid="{88CD8D79-B354-4027-83D2-811EDABC89D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Calculo  conforme tipo de tributação da empresa.</t>
      </text>
    </comment>
    <comment ref="E76" authorId="9" shapeId="0" xr:uid="{7796365D-2C92-4B8D-981D-82A31207AA2B}">
      <text>
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(Total da remuneração ÷ Meses do ano) x Porcentagem de dispensa sem justa causa com aviso_x0002_prévio indenizado </t>
      </text>
    </comment>
    <comment ref="I76" authorId="10" shapeId="0" xr:uid="{9EB947A9-B0FE-4D46-BFD2-F2123BDF69EA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(total da remuneração: meses do ano)x porcentagem de dispensa sem justa causa com aviso prévio indenizado).</t>
      </text>
    </comment>
    <comment ref="E77" authorId="11" shapeId="0" xr:uid="{2CF9D43A-1901-4AC3-95F3-7BC0A6E23401}">
      <text>
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Aviso-prévio indenizado x Porcentagem de recolhimento mensal do FGTS </t>
      </text>
    </comment>
    <comment ref="E79" authorId="12" shapeId="0" xr:uid="{E0AF0B91-42B9-43D6-B915-40949A50D465}">
      <text>
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{[(Total da remuneração ÷ Dias do mês) ÷ Meses do ano] x 7 dias de redução da jornada} x Porcentagem de dispensa sem justa causa </t>
      </text>
    </comment>
    <comment ref="E81" authorId="13" shapeId="0" xr:uid="{46F0FF27-7471-4FE1-A013-594617064B26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Total da remuneração x 4%</t>
      </text>
    </comment>
    <comment ref="E87" authorId="14" shapeId="0" xr:uid="{5F18077D-BF7D-4689-8943-D30237560ED0}">
      <text>
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[(Total da remuneração ÷ Mês) ÷ Meses do ano] x Média de ausências por ano </t>
      </text>
    </comment>
    <comment ref="E88" authorId="15" shapeId="0" xr:uid="{EF1AC5CE-4DBD-4D24-BEE0-127AACC6FCF7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[(Total da remuneração ÷ Mês) ÷ Meses do ano] x Média de dias de licença por ano} x Porcentagem de incidência de ocorrência da licença-paternidade</t>
      </text>
    </comment>
    <comment ref="E89" authorId="16" shapeId="0" xr:uid="{381DA638-2C12-45A3-B492-9EE726C5E6A3}">
      <text>
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(Total da remuneração ÷ Mês) ÷ Meses do ano] x Média de dias pagos pela empresa} x Porcentagem de incidência de ocorrência de acidentes </t>
      </text>
    </comment>
    <comment ref="E113" authorId="17" shapeId="0" xr:uid="{777574EF-8D09-4E56-9E13-236FE309B8B4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(Módulo 1 + Módulo 2 + Módulo 3 + Módulo 4 + Módulo 5) x Média praticada pelas empresas do setor</t>
      </text>
    </comment>
    <comment ref="E114" authorId="18" shapeId="0" xr:uid="{D6CA4050-64EA-4A1A-8186-67A255C38921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(Módulo 1 + Módulo 2 + Módulo 3 + Módulo 4 + Módulo 5 + Custos indiretos) x Média praticada pelas empresas do setor</t>
      </text>
    </comment>
    <comment ref="D116" authorId="19" shapeId="0" xr:uid="{526C9C17-3F90-4AA6-A679-691C0A83F24B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1,65 % (lucro Real)
0,65% (Presumido)
0,47% (Simples Nacional)</t>
      </text>
    </comment>
    <comment ref="D117" authorId="20" shapeId="0" xr:uid="{5BFF545D-F562-41DD-8F42-E6FEBDFF837D}">
      <text>
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7,60 % (lucro Real)
3,00% (Presumido)
2,18% (Simples Nacional)
</t>
      </text>
    </comment>
    <comment ref="D118" authorId="21" shapeId="0" xr:uid="{85FED38E-C7EE-465F-AEFA-A864B60FAB93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ISS da Prefeitura que será emitida a NF</t>
      </text>
    </comment>
  </commentList>
</comments>
</file>

<file path=xl/sharedStrings.xml><?xml version="1.0" encoding="utf-8"?>
<sst xmlns="http://schemas.openxmlformats.org/spreadsheetml/2006/main" count="3654" uniqueCount="420">
  <si>
    <t>PROPOSTA DE PREÇOS</t>
  </si>
  <si>
    <t>SERVIÇO DE APOIO ÀS MICRO E PEQUENAS EMPRESAS DO ESTADO DO RIO GRANDE DO SUL – Sebrae RS</t>
  </si>
  <si>
    <t>PREGÃO ELETRÔNICO Nº 53/2022</t>
  </si>
  <si>
    <t>Processo Administrativo n° 21042.009963/2022-76</t>
  </si>
  <si>
    <t>DATA DA ABERTURA: 22/11/2022</t>
  </si>
  <si>
    <t>HORA: 09:00h</t>
  </si>
  <si>
    <t>IDENTIFICAÇÃO DO PROPONENTE:</t>
  </si>
  <si>
    <r>
      <t xml:space="preserve">RAZÃO SOCIAL: </t>
    </r>
    <r>
      <rPr>
        <sz val="10"/>
        <rFont val="Arial"/>
        <family val="2"/>
      </rPr>
      <t>LIDERANÇA LIMPEZA E CONSERVAÇÃO LTDA</t>
    </r>
  </si>
  <si>
    <r>
      <t>CNPJ:</t>
    </r>
    <r>
      <rPr>
        <sz val="10"/>
        <rFont val="Arial"/>
        <family val="2"/>
      </rPr>
      <t xml:space="preserve"> 00.482.840/0001-38</t>
    </r>
  </si>
  <si>
    <r>
      <t>ENDEREÇO:</t>
    </r>
    <r>
      <rPr>
        <sz val="10"/>
        <rFont val="Arial"/>
        <family val="2"/>
      </rPr>
      <t xml:space="preserve"> Rua Antonio Mariano de Souza, 775 - Ipiranga - São José/SC - CEP 88111-510</t>
    </r>
  </si>
  <si>
    <t>FONE/FAX: 48 3733-3101</t>
  </si>
  <si>
    <r>
      <t>E-MAIL:</t>
    </r>
    <r>
      <rPr>
        <sz val="10"/>
        <rFont val="Arial"/>
        <family val="2"/>
      </rPr>
      <t xml:space="preserve"> licitacoes@lideranca.com.br</t>
    </r>
  </si>
  <si>
    <r>
      <t>AGENCIA E Nº. DA CONTA NO BANCO DO BRASIL:</t>
    </r>
    <r>
      <rPr>
        <sz val="10"/>
        <rFont val="Arial"/>
        <family val="2"/>
      </rPr>
      <t xml:space="preserve"> BB 001 - Ag 3125-9 e CC 75669-5</t>
    </r>
  </si>
  <si>
    <t xml:space="preserve">OBJETO: </t>
  </si>
  <si>
    <t>CONTRATAÇÃO DE EMPRESA ESPECIALIZADA NA PRESTAÇÃO DE SERVIÇOS DE LIMPEZA E DE AUXILIAR DE MANUTENÇÃO PREDIAL PARA AS UNIDADES REGIONAIS DO SEBRAE RS, conforme especificações estabelecidas neste Edital e seus Anexos.</t>
  </si>
  <si>
    <t>CONDIÇÕES GERAIS:</t>
  </si>
  <si>
    <t>As relações empregado/empregador, concernentes ao controle de frequência, disciplina, folha de pagamento e demais obrigações de Lei serão sempre de inteira e exclusiva responsabilidade desta empresa.</t>
  </si>
  <si>
    <t>PREÇO DO SERVIÇO:</t>
  </si>
  <si>
    <t>Item</t>
  </si>
  <si>
    <t>DESCRIÇÃO</t>
  </si>
  <si>
    <t>Quantidade</t>
  </si>
  <si>
    <t>Valor Unitário</t>
  </si>
  <si>
    <t>Valor Mensal</t>
  </si>
  <si>
    <t>Valor Total 12 Meses</t>
  </si>
  <si>
    <t xml:space="preserve">Valor estimado </t>
  </si>
  <si>
    <t xml:space="preserve">VALOR TOTAL </t>
  </si>
  <si>
    <r>
      <t xml:space="preserve">A validade de proposta será de </t>
    </r>
    <r>
      <rPr>
        <b/>
        <sz val="10"/>
        <rFont val="Arial"/>
        <family val="2"/>
      </rPr>
      <t>180 (cento e oitenta) dias da sua apresentação.</t>
    </r>
  </si>
  <si>
    <t>Lance</t>
  </si>
  <si>
    <t>Convenção coletiva utilizada: SIND DAS EMPR DE ASSEIO E CONSERVACAO DO EST DO R G S, CNPJ n. 87.078.325/0001-75 e SINDICATO DOS TRABALHADORES EM EMP. DE ASSEIO, CONSERV, ZELADORIA, RECICL DE LIXO, LIMPEZA URB, AMBIENTAL E DE AREAS VERDES E EMP. DE SER TERCEIRIZ., CNPJ n. 10.141.903/0001-46, de 01º de janeiro de 2022 a 31 de dezembro de 2022 e a data-base da categoria em 01º de janeiro REGISTRO NO MTE: RS000043/2022.</t>
  </si>
  <si>
    <t>Declaro estarem incluídos nos preços cotados todos os impostos, taxas, fretes, seguros, custos operacionais, encargos previdenciários, trabalhistas, sociais, tributários, comerciais, bem como quaisquer outras despesas, diretas e indiretas, incidentes sobre o objeto do Pregão, nada mais sendo lícito pleitear a esse título.</t>
  </si>
  <si>
    <t>Declaramos que concordamos com todos os termos do edital e anexos.</t>
  </si>
  <si>
    <t>São José/SC, 22 de novembro de 2022.</t>
  </si>
  <si>
    <t>Liderança Limpeza e Conservação Ltda</t>
  </si>
  <si>
    <t>CNPJ: 00.482.840/0001-38</t>
  </si>
  <si>
    <t>Willian Lopes de Aguiar</t>
  </si>
  <si>
    <t>Representante Legal</t>
  </si>
  <si>
    <t>ITEM 
UNIFORMES</t>
  </si>
  <si>
    <t>CUSTO 
UNITÁRIO</t>
  </si>
  <si>
    <t>QTD.</t>
  </si>
  <si>
    <t>VALOR 
TOTAL</t>
  </si>
  <si>
    <t>VALOR 
AMORTIZADO</t>
  </si>
  <si>
    <t>MEIAS DE ALGODÃO (PAR)</t>
  </si>
  <si>
    <t>COTURNOS COR PRETA (PAR)</t>
  </si>
  <si>
    <t>BOTINAS NA COR PRETA (PAR)</t>
  </si>
  <si>
    <t>SAPATOS NA COR PRETA</t>
  </si>
  <si>
    <t>CAMISETA MANGA CURTA</t>
  </si>
  <si>
    <t>CAMISETA MANGA LONGA</t>
  </si>
  <si>
    <t>JALECO</t>
  </si>
  <si>
    <t>CALÇA</t>
  </si>
  <si>
    <t>CINTO</t>
  </si>
  <si>
    <t>JAQUETA DE FRIO OU JAPONA</t>
  </si>
  <si>
    <t>CAMISA SOCIAL BRANCA MANGA CURTA</t>
  </si>
  <si>
    <t>CAMISA SOCIAL BRANCA MANGA COMPRIDA</t>
  </si>
  <si>
    <t>CALÇA SOCIAL PRETA</t>
  </si>
  <si>
    <t>BLASER PRETO</t>
  </si>
  <si>
    <t>LENÇO DE PESCOÇO</t>
  </si>
  <si>
    <t>MOLETON</t>
  </si>
  <si>
    <t>ITEM 
MATERIAIS</t>
  </si>
  <si>
    <t>ASPIRADOR DE PÓ INDUSTRIAL</t>
  </si>
  <si>
    <t>ENCERADEIRA BANDEIRANTE 350</t>
  </si>
  <si>
    <t>ESCADA 6 DEGRAUS</t>
  </si>
  <si>
    <t>ESPANADOR DE PENAS Nº 50</t>
  </si>
  <si>
    <t>DISCOS P/ ENCERADEIRA 350</t>
  </si>
  <si>
    <t>BALDE PLÁSTICO</t>
  </si>
  <si>
    <t>VASSOURA PELO</t>
  </si>
  <si>
    <t>VASSOURINHA SANITÁRIA</t>
  </si>
  <si>
    <t>VASSOURA FEITICEIRA</t>
  </si>
  <si>
    <t>DESENTUPIDOR DE VASO SANITÁRIO</t>
  </si>
  <si>
    <t>PÁ DE LIXO</t>
  </si>
  <si>
    <t>RODO 2 BORRACHAS</t>
  </si>
  <si>
    <t>RODO KIT LIMPEZA DE VIDROS</t>
  </si>
  <si>
    <t xml:space="preserve">LAVA JATO </t>
  </si>
  <si>
    <t>PLACAS SINALIZAÇÃO PISO MOLHADO TOMKI</t>
  </si>
  <si>
    <t>QUEPE (COM EMBLEMA)</t>
  </si>
  <si>
    <t>CAPA DE CHUVA</t>
  </si>
  <si>
    <t>CRACHÁ</t>
  </si>
  <si>
    <t>DISTINTIVO TIPO BROCHE</t>
  </si>
  <si>
    <t>CACETETE</t>
  </si>
  <si>
    <t>PORTA CACETETE</t>
  </si>
  <si>
    <t>APITO</t>
  </si>
  <si>
    <t>CORDÃO DE APITO</t>
  </si>
  <si>
    <t>LANTERNA GRANDE</t>
  </si>
  <si>
    <t>3 PILHAS GRANDES PARA LANTERNA</t>
  </si>
  <si>
    <t>KIT DE PRIMEIROS SOCORROS</t>
  </si>
  <si>
    <t>ÓCULOS DE SEGURANÇA</t>
  </si>
  <si>
    <t>LUVAS DE SEGURANÇA (PAR)</t>
  </si>
  <si>
    <t>PLANILHA DE FORMAÇÃO DE PREÇOS PARA APRESENTAÇÃO DA PROPOSTA</t>
  </si>
  <si>
    <t>Discriminação dos Serviços</t>
  </si>
  <si>
    <t>A</t>
  </si>
  <si>
    <t>Data de apresentação da proposta</t>
  </si>
  <si>
    <t>B</t>
  </si>
  <si>
    <t>Município</t>
  </si>
  <si>
    <t>Canoas/RS</t>
  </si>
  <si>
    <t>C</t>
  </si>
  <si>
    <t>Ano do Acordo, Convenção ou Dissídio Coletivo</t>
  </si>
  <si>
    <t>D</t>
  </si>
  <si>
    <t>Nº de meses de execução contratual</t>
  </si>
  <si>
    <t>Identificação do Serviço</t>
  </si>
  <si>
    <t>Tipo de Serviço</t>
  </si>
  <si>
    <t>Unidade de Medida</t>
  </si>
  <si>
    <t>Quantidade total a contratar
(em função da unidade de medida)</t>
  </si>
  <si>
    <t>Servente 30 horas Canoas</t>
  </si>
  <si>
    <t>POSTO</t>
  </si>
  <si>
    <t>Dados para composição dos custos referentes à mão de obra</t>
  </si>
  <si>
    <t>Tipo de serviço (mesmo serviço com características distintas)</t>
  </si>
  <si>
    <t>Asseio e Conservação</t>
  </si>
  <si>
    <t>Classificação Brasileira de Ocupações (CBO)</t>
  </si>
  <si>
    <t>Salário Nominativo da Categoria Profissional</t>
  </si>
  <si>
    <t>Categoria profissional (vinculada à execução contratual)</t>
  </si>
  <si>
    <t>Data base da categoria (dia/mês/ano)</t>
  </si>
  <si>
    <t>MÓDULO 1 - COMPOSIÇÃO DA REMUNERAÇÃO</t>
  </si>
  <si>
    <t>COMPOSIÇÃO DA REMUNERAÇÃO</t>
  </si>
  <si>
    <t>%</t>
  </si>
  <si>
    <t>VALOR (R$)</t>
  </si>
  <si>
    <t>Salário Base</t>
  </si>
  <si>
    <t>Adicional de Insalubridade</t>
  </si>
  <si>
    <t>Adicional de Periculosidade</t>
  </si>
  <si>
    <t>Adicional Noturno</t>
  </si>
  <si>
    <t>Hora Noturna Reduzida</t>
  </si>
  <si>
    <t>Feriado Trabalhado</t>
  </si>
  <si>
    <t>E</t>
  </si>
  <si>
    <t>Outros</t>
  </si>
  <si>
    <t>F</t>
  </si>
  <si>
    <t>Reflexo sobre o D.S.R</t>
  </si>
  <si>
    <t>Subtotal módulo 1 (incide encargos sociais e trabalhistas)</t>
  </si>
  <si>
    <t>MÓDULO 2 – ENCARGOS E BENEFÍCIOS ANUAIS, MENSAIS E DIÁRIOS</t>
  </si>
  <si>
    <t>Submódulo 2.1 - 13º Salário, Férias e Adicional de Férias</t>
  </si>
  <si>
    <t>13 (Décimo-terceiro) salário</t>
  </si>
  <si>
    <t>Férias  e Adicional de Férias</t>
  </si>
  <si>
    <t>TOTAL SUBMÓDULO 2.1</t>
  </si>
  <si>
    <t>Submódulo 2.2 - GPS, FGTS e Outras Contribuições</t>
  </si>
  <si>
    <t xml:space="preserve">INSS </t>
  </si>
  <si>
    <t>Salário Educação</t>
  </si>
  <si>
    <t xml:space="preserve">SAT (Seguro Acidente de Trabalho) </t>
  </si>
  <si>
    <t xml:space="preserve">SESC ou SESI </t>
  </si>
  <si>
    <t>SENAI - SENAC</t>
  </si>
  <si>
    <t xml:space="preserve">SEBRAE </t>
  </si>
  <si>
    <t>G</t>
  </si>
  <si>
    <t xml:space="preserve">INCRA </t>
  </si>
  <si>
    <t>H</t>
  </si>
  <si>
    <t xml:space="preserve">FGTS </t>
  </si>
  <si>
    <t>TOTAL SUBMÓDULO 2.2</t>
  </si>
  <si>
    <t>Submódulo 2.3 - Benefícios Mensais e Diários</t>
  </si>
  <si>
    <t>-</t>
  </si>
  <si>
    <t>Benefício Social familiar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</si>
  <si>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</si>
  <si>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</si>
  <si>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</si>
  <si>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</si>
  <si>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</si>
  <si>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</si>
  <si>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</si>
  <si>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</si>
  <si>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</si>
  <si>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</si>
  <si>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</si>
  <si>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</si>
  <si>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 xml:space="preserve">Aviso Prévio Indenizado </t>
  </si>
  <si>
    <t>Incidência do FGTS sobre Aviso Prévio Indenizado</t>
  </si>
  <si>
    <t xml:space="preserve">Multa do FGTS e Contribuição Social sobre o Aviso Prévio Indenizado </t>
  </si>
  <si>
    <t>Aviso Prévio Trabalhado</t>
  </si>
  <si>
    <t xml:space="preserve">Incidência dos encargos do submódulo 2.2 sobre Aviso Prévio Trabalhado </t>
  </si>
  <si>
    <t>Multa do FGTS e Contribuição Social sobre o Aviso Prévio Trabalhado</t>
  </si>
  <si>
    <t>TOTAL DO MÓDULO 3</t>
  </si>
  <si>
    <t>MÓDULO 4 – CUSTO DE REPOSIÇÃO DO PROFISSIONAL AUSENTE</t>
  </si>
  <si>
    <t>Submódulo 4.1 - Substituto nas Ausências Legais</t>
  </si>
  <si>
    <t xml:space="preserve">Substituto na cobertura de Férias </t>
  </si>
  <si>
    <t>Substituto na cobertura de Ausências Legais</t>
  </si>
  <si>
    <t>Substituto na cobertura de Licença-Paternidade</t>
  </si>
  <si>
    <t>Substituto na cobertura de Ausência por acidente de trabalho</t>
  </si>
  <si>
    <t xml:space="preserve">Substituto na cobertura de Afastamento Maternidade </t>
  </si>
  <si>
    <t>TOTAL SUBMÓDULO 4.1</t>
  </si>
  <si>
    <t xml:space="preserve">Submódulo 4.2 - Substituto na Intrajornada </t>
  </si>
  <si>
    <t>Substituto na cobertura de Intervalo para repouso ou alimentação</t>
  </si>
  <si>
    <t>TOTAL SUBMÓDULO 4.2</t>
  </si>
  <si>
    <t>Diz que estas vendo a questão dos calculos e insalubridade...</t>
  </si>
  <si>
    <t>QUADRO-RESUMO DO MÓDULO 4 - CUSTO DE REPOSIÇÃO DO PROFISSIONAL AUSENTE</t>
  </si>
  <si>
    <t>Módulo 4 - Custo de Reposição do Profissional Ausente</t>
  </si>
  <si>
    <t>4.1</t>
  </si>
  <si>
    <t>Substituto nas Ausências Legais</t>
  </si>
  <si>
    <t>4.2</t>
  </si>
  <si>
    <t xml:space="preserve">Substituto na Intrajornada </t>
  </si>
  <si>
    <t>TOTAL DO MÓDULO 4</t>
  </si>
  <si>
    <t>MÓDULO 5 – INSUMOS DIVERSOS</t>
  </si>
  <si>
    <t>INSUMOS DIVERSOS</t>
  </si>
  <si>
    <t>Uniforme/EPIs</t>
  </si>
  <si>
    <t>Materiais</t>
  </si>
  <si>
    <t>Equipamentos</t>
  </si>
  <si>
    <t>TOTAL DO MÓDULO 5</t>
  </si>
  <si>
    <t>MÓDULO 6 – CUSTOS INDIRETOS, TRIBUTOS E LUCRO</t>
  </si>
  <si>
    <t>CUSTOS INDIRETOS, TRIBUTOS E LUCRO</t>
  </si>
  <si>
    <t>Mensal</t>
  </si>
  <si>
    <t>Global</t>
  </si>
  <si>
    <t>Custos Indiretos</t>
  </si>
  <si>
    <t>Estimado</t>
  </si>
  <si>
    <t>Lucro</t>
  </si>
  <si>
    <t>Proposta</t>
  </si>
  <si>
    <t>TRIBUTOS</t>
  </si>
  <si>
    <t>C.1</t>
  </si>
  <si>
    <t>PIS - Opção pelo Lucro Real - utilizada a média de recolhimento dos últimos 12 meses</t>
  </si>
  <si>
    <t>C.2</t>
  </si>
  <si>
    <t>COFINS  - Opção pelo Lucro Real - utilizada a média de recolhimento dos últimos 12 meses</t>
  </si>
  <si>
    <t>C.3</t>
  </si>
  <si>
    <t>ISS - Alíquota vigente no local da prestação dos serviços</t>
  </si>
  <si>
    <t>TOTAL DO MÓDULO 6</t>
  </si>
  <si>
    <t>QUADRO RESUMO DO CUSTO POR EMPREGADO</t>
  </si>
  <si>
    <t>Mão de Obra vinculada à execução contratual (valor por empregado)</t>
  </si>
  <si>
    <t>Subtotal (A + B + C + D + E)</t>
  </si>
  <si>
    <t>PREÇO TOTAL POR EMPREGADO</t>
  </si>
  <si>
    <t>QUANTIDADE DE EMPREGADOS POR POSTO</t>
  </si>
  <si>
    <t>PREÇO TOTAL POR POSTO</t>
  </si>
  <si>
    <t>Descrição Uniforme</t>
  </si>
  <si>
    <t>Unidade</t>
  </si>
  <si>
    <t>Depreciação</t>
  </si>
  <si>
    <t>Unitário</t>
  </si>
  <si>
    <t>Total</t>
  </si>
  <si>
    <t>Calça tecido brim azul marinho</t>
  </si>
  <si>
    <t>Camiseta cinza manga-curta gola redonda, em algodão.Com a logomarca da empresa.</t>
  </si>
  <si>
    <t>Camiseta cinza manga-longa, gola redonda, em algodão. .Com a logomarca da empresa.</t>
  </si>
  <si>
    <t>Blusão de lã gola V .Com a logomarca da empresa.</t>
  </si>
  <si>
    <t>Japona  forrada de nylon com bolso e touca.</t>
  </si>
  <si>
    <t>unidade</t>
  </si>
  <si>
    <t>Tênis profissional com sola antiderrapante, preto.</t>
  </si>
  <si>
    <t>Valor Total Mensal por Colaborador</t>
  </si>
  <si>
    <t>Caxias do Sul/RS</t>
  </si>
  <si>
    <t>Servente 44 horas Caxias do Sul</t>
  </si>
  <si>
    <t>Manutenção 44 horas Caxias do Sul</t>
  </si>
  <si>
    <t>Porto Alegre</t>
  </si>
  <si>
    <t>Servente 30 horas Centro de Distribuição</t>
  </si>
  <si>
    <t>Erechim/RS</t>
  </si>
  <si>
    <t>Servente 30 horas Erechim</t>
  </si>
  <si>
    <t>Gravataí/RS</t>
  </si>
  <si>
    <t>Servente 30 horas Gravataí</t>
  </si>
  <si>
    <t>Ijuí/RS</t>
  </si>
  <si>
    <t>Servente 40 horas Ijuí</t>
  </si>
  <si>
    <t>Lajeado/RS</t>
  </si>
  <si>
    <t>Servente 30 horas Lajeado</t>
  </si>
  <si>
    <t>Novo Hamburgo/RS</t>
  </si>
  <si>
    <t>Servente 30 horas Novo Hamburgo</t>
  </si>
  <si>
    <t>Passo Fundo/RS</t>
  </si>
  <si>
    <t>Servente 30 horas Passo Fundo</t>
  </si>
  <si>
    <t>Pelotas/RS</t>
  </si>
  <si>
    <t>Servente 30 horas Pelotas</t>
  </si>
  <si>
    <t>Santa Cruz do Sul/RS</t>
  </si>
  <si>
    <t>Servente 30 horas Santa Cruz do Sul</t>
  </si>
  <si>
    <t>Santa Maria/RS</t>
  </si>
  <si>
    <t>Servente 30 horas Santa Maria</t>
  </si>
  <si>
    <t>Sant'Ana do Livramento/RS</t>
  </si>
  <si>
    <t>Servente 30 horas Santana do Livramento</t>
  </si>
  <si>
    <t>São Leopoldo/RS</t>
  </si>
  <si>
    <t>Servente 30 horas São Leopoldo</t>
  </si>
  <si>
    <t>APURAÇÃO DO PERCENTUAL MÉDIO DE RECOLHIMENTO DE PIS</t>
  </si>
  <si>
    <t>MÊS</t>
  </si>
  <si>
    <t xml:space="preserve">FATURAMENTO MENSAL                     A </t>
  </si>
  <si>
    <t>CONTRIBUIÇÃO APURADA                                                        B</t>
  </si>
  <si>
    <t>CRÉDITO DESCONTADO                       C</t>
  </si>
  <si>
    <t>CONTRIBUIÇÃO DEVIDA                                   D = (B - C)</t>
  </si>
  <si>
    <t>PERCENTUAL EFETIVO                             E = D / A</t>
  </si>
  <si>
    <t>Percentual médio do período</t>
  </si>
  <si>
    <t>APURAÇÃO DO PERCENTUAL MÉDIO DE RECOLHIMENTO DE COFINS</t>
  </si>
  <si>
    <t xml:space="preserve">CONTRIBUIÇÃO APURADA                                                        B </t>
  </si>
  <si>
    <t>CRÉDITO DESCONTADO                                        C</t>
  </si>
  <si>
    <t>PERCENTUAL EFETIVO                                      E = D / A</t>
  </si>
  <si>
    <t>MEMÓRIA DE CÁLCULO / JUSTIFICATIVA VALORES APRESENTADOS</t>
  </si>
  <si>
    <t>Submódulo 2.1 - 13º Salário e Adicional de Férias</t>
  </si>
  <si>
    <t>13º Salário</t>
  </si>
  <si>
    <t>CÁLCULO:</t>
  </si>
  <si>
    <t>= [ ( 1 ÷ 12 ) x 100 ] =</t>
  </si>
  <si>
    <t>= [ 0,0833x 100 ]  =</t>
  </si>
  <si>
    <t>=8,33%</t>
  </si>
  <si>
    <t>Férias e Adicional de Férias</t>
  </si>
  <si>
    <t>= [  ( 1 ÷ 12 ) + ( 1  ÷ 3  x  1  ÷ 12) x 100 ] =</t>
  </si>
  <si>
    <t>= [ (0,08333 + 0,0278) x 100 ]  =</t>
  </si>
  <si>
    <t>=11,11%</t>
  </si>
  <si>
    <t>INSS</t>
  </si>
  <si>
    <t>Definidos por legislação (fixos)</t>
  </si>
  <si>
    <t>Seguro Acidente do Trabalho</t>
  </si>
  <si>
    <t>SESC ou SESI</t>
  </si>
  <si>
    <t>SENAI ou SENAC</t>
  </si>
  <si>
    <t>SEBRAE</t>
  </si>
  <si>
    <t>INCRA</t>
  </si>
  <si>
    <t>FGTS</t>
  </si>
  <si>
    <t>Aviso Prévio Indenizado</t>
  </si>
  <si>
    <t>Estatística da Empresa 5,00% dos empregados são substituídos durante o ano (turnover da empresa)</t>
  </si>
  <si>
    <t>= { [ 0,05 x (1 ÷ 12) ] x 100 } =</t>
  </si>
  <si>
    <t>= { [ 0,05 x 0,083333 ] x 100 } =</t>
  </si>
  <si>
    <t>= { 0,0042x 100 } =</t>
  </si>
  <si>
    <t>= 0,42%</t>
  </si>
  <si>
    <t>Incidência do FGTS sobre aviso prévio Indenizado</t>
  </si>
  <si>
    <t>Apenas Incidências</t>
  </si>
  <si>
    <t>= { [ 0,42% x 8,00% ] } =</t>
  </si>
  <si>
    <t>= 0,03%</t>
  </si>
  <si>
    <t>Multa do FGTS sobre o Aviso Prévio Indenizado</t>
  </si>
  <si>
    <t>(Multa de 40% FGTS) +  (Multa de 10% Contribuição Social - LC 110/01) em relação ao percentual de aviso prévio indenizado</t>
  </si>
  <si>
    <t>Considerando que 10% dos empregados pedem contas, essa penalidade recai sobre os 90% remanescentes. Considerando o pagamento da multa para os valores depositados relativos a salários, férias e 13º salário o cálculo.</t>
  </si>
  <si>
    <t xml:space="preserve">= { (0,08 x 0,4 x 0,9) x (1 + 1/11 + 1/11 + 1/3 * 1/11) x 100 }= </t>
  </si>
  <si>
    <t>= 3,49%</t>
  </si>
  <si>
    <t>DADOS:</t>
  </si>
  <si>
    <t>Redução de 7 dias ou de 2h por dia</t>
  </si>
  <si>
    <t>Cerca de 10,00% do pessoal é demitido nessa situação.</t>
  </si>
  <si>
    <t>= { [ ( 7 ÷ 30 ) ÷ 12 ] x 0,10 x 100 } =</t>
  </si>
  <si>
    <t>= { [ 0,2333 ÷ 12] x 0,10 x 100 } =</t>
  </si>
  <si>
    <t>= { 0,0019 x 100 } =</t>
  </si>
  <si>
    <t>= 0,19%</t>
  </si>
  <si>
    <t>Incidência do Submódulo 4.1 sobre Aviso Prévio Trabalhado</t>
  </si>
  <si>
    <t>Multa do FGTS sobre o Aviso Prévio Trabalhado</t>
  </si>
  <si>
    <t>(Multa de 40% FGTS) +  (Multa de 10% Contribuição Social - LC 110/01) em relação ao percentual de aviso prévio trabalhado</t>
  </si>
  <si>
    <t>De acordo com a Tabela (RESERVA MENSAL PARA O PAGAMENTO DE ENCARGOS TRABALHISTAS - PERCENTUAIS INCIDENTES SOBRE A REMUNERAÇÃO) do Anexo VII da Instrução Normativa nº 2 de 30 de abril de 2008, o percentual da Multa do FGTS e contribuição social sobre o aviso prévio indenizado e sobre o aviso prévio trabalhado é de 5%. Portanto, como o percentual da Multa do FGTS e contribuições sociais sobre Aviso Prévio Indenizado é de 4,36%, conforme calculado no item XV acima, o percentual da Multa do FGTS e contribuições sociais sobre Aviso Prévio trabalhado será de 0,64%.</t>
  </si>
  <si>
    <t>= (4,00% - 3,49%) x 100</t>
  </si>
  <si>
    <t>= 0,51%</t>
  </si>
  <si>
    <t>Submódulo 4.1 - Ausências Legais</t>
  </si>
  <si>
    <t>= [  (( 1 ÷ 12 ) + ( 1  ÷ 3  x  1  ÷ 12))  ÷ 12 x 100 ] =</t>
  </si>
  <si>
    <t>= [ (0,08333 + 0,0278)  ÷ 12 x 100 ]  =</t>
  </si>
  <si>
    <t>Parâmetro: em média 2,00 ausências no ano</t>
  </si>
  <si>
    <t>{ [ ( 2 ÷ 30 ) ÷ 12 ] X 100 } =</t>
  </si>
  <si>
    <t>= { [ 0,06 ÷ 12 ] X 100 } =</t>
  </si>
  <si>
    <t>= { 0,0056 X 100 } =</t>
  </si>
  <si>
    <t>= 0,56%</t>
  </si>
  <si>
    <t>Estatísticas da empresa: porcentagem dos funcionários que tornam-se pais em um ano</t>
  </si>
  <si>
    <t>Fórmula:</t>
  </si>
  <si>
    <t xml:space="preserve">= {[ (5 ÷ 30) ÷ 12 ] x % dos empregados que tornam-se pais em um ano ÷ 100} x 100 </t>
  </si>
  <si>
    <t>4,00% dos funcionários tornam-se pais em um ano, o cálculo será:</t>
  </si>
  <si>
    <t>= {[ (5 ÷ 30) ÷ 12 ] x 0,04 } x 100 =</t>
  </si>
  <si>
    <t>= { [ 0,1666 ÷ 12 ] x 0,04 } x 100 =</t>
  </si>
  <si>
    <t>= { 0,013889 x 0,04 } x 100 =</t>
  </si>
  <si>
    <t>= 0,0006 x 100 =</t>
  </si>
  <si>
    <t>=0,06%</t>
  </si>
  <si>
    <t>Estatística: 8,00% sofrem acidente durante o ano</t>
  </si>
  <si>
    <t>= { [ ( 15 ÷ 30 ) ÷ 12 ] x 0,08 } x 100 =</t>
  </si>
  <si>
    <t>= { [ 0,5 ÷ 12 ] x 0,08 } x 100 =</t>
  </si>
  <si>
    <t>= { 0,0416 x 0,08 } x 100 =</t>
  </si>
  <si>
    <t>= 0,0033 x 100 =</t>
  </si>
  <si>
    <t>= 0,33%</t>
  </si>
  <si>
    <t>11,11% = 0,1111 (custo sobre os salários das férias integrais (12/12) dos trabalhadores)</t>
  </si>
  <si>
    <t>1,00% = 0,01 (percentual estatístico adotado como de empregadas que se afastam por licença maternidade)</t>
  </si>
  <si>
    <t>4 meses no ano = 4/12 = 0,3333 (período em um ano a que se referem as férias proporcionais ora calculadas)</t>
  </si>
  <si>
    <t>= [ ( 0,1111 x 0,01 x 0,3333 ) x 100 ] =</t>
  </si>
  <si>
    <t>= [ 0,0004 x 100 ] =</t>
  </si>
  <si>
    <t>= 0,04%</t>
  </si>
  <si>
    <t>Complemento dos Serviços de Limpeza, Conservação e Jardinagem</t>
  </si>
  <si>
    <t>I -  PREÇO MENSAL UNITÁRIO POR M²:</t>
  </si>
  <si>
    <t>MÃO DE OBRA</t>
  </si>
  <si>
    <t>(1)
PRODUTIVIDADE
(1/m²)</t>
  </si>
  <si>
    <t>(2)
PREÇO HOMEM-MÊS
(R$)</t>
  </si>
  <si>
    <t>(1 X 2)
SUB-TOTAL
(R$/m²)</t>
  </si>
  <si>
    <t>Encarregado</t>
  </si>
  <si>
    <t>Servente</t>
  </si>
  <si>
    <t>TOTAL</t>
  </si>
  <si>
    <t>(2)
FREQUÊNCIA NO MÊS
(HORAS)</t>
  </si>
  <si>
    <t>(3)
JORNADA DE
TRABALHO NO MÊS
(HORAS)</t>
  </si>
  <si>
    <t>(4)
( 1 X 2 X 3 )
(ki)</t>
  </si>
  <si>
    <t>(5)
PREÇO HOMEM-MÊS
(R$)</t>
  </si>
  <si>
    <t>(6)
=(4X5) SUBTOTAL
(R$/m²)</t>
  </si>
  <si>
    <t>1/188,76</t>
  </si>
  <si>
    <t>1/1132,6</t>
  </si>
  <si>
    <t>II - VALOR MENSAL DOS SERVIÇOS:</t>
  </si>
  <si>
    <t>Tipo de Área</t>
  </si>
  <si>
    <t>Produtividade</t>
  </si>
  <si>
    <t>Valor M2</t>
  </si>
  <si>
    <t xml:space="preserve">ÁREA 
(m²)                                        </t>
  </si>
  <si>
    <t>SUB-TOTAL
(R$)</t>
  </si>
  <si>
    <t>Valor 12 Meses</t>
  </si>
  <si>
    <t>Serventes</t>
  </si>
  <si>
    <t>Encarregados</t>
  </si>
  <si>
    <t>]</t>
  </si>
  <si>
    <t>800 m2 a 1200 m2</t>
  </si>
  <si>
    <t>Pisos acarpetados</t>
  </si>
  <si>
    <t>800 m² a 1200 m2</t>
  </si>
  <si>
    <t>Pisos frios</t>
  </si>
  <si>
    <t>360 m² a 450 m2</t>
  </si>
  <si>
    <t>Laboratórios</t>
  </si>
  <si>
    <t>1500 m² a 2500 m2'</t>
  </si>
  <si>
    <t>Almoxarifados/galpões</t>
  </si>
  <si>
    <t>1200 m² a 1800 m2</t>
  </si>
  <si>
    <t>Oficinas</t>
  </si>
  <si>
    <t>1000 m²a 1500 m2</t>
  </si>
  <si>
    <t>Áreas com espaços livres - saguão, hall e salão</t>
  </si>
  <si>
    <t>200 m² a 300 m²</t>
  </si>
  <si>
    <t>Banheiros</t>
  </si>
  <si>
    <t>1800 m² a 2700 m2</t>
  </si>
  <si>
    <t>Pisos pavimentados adjacentes/contíguos às edificações</t>
  </si>
  <si>
    <t>6000 m² a 9000m2</t>
  </si>
  <si>
    <t>Varrição de passeios e arruamentos</t>
  </si>
  <si>
    <t>Pátios e áreas verdes com alta frequência</t>
  </si>
  <si>
    <t>Pátios e áreas verdes com média frequência</t>
  </si>
  <si>
    <t>Pátios e áreas verdes com baixa frequência</t>
  </si>
  <si>
    <t>100.000 m2</t>
  </si>
  <si>
    <t>Coleta de detritos em pátios e áreas verdes com frequência diária</t>
  </si>
  <si>
    <t>Áreas Hospitalares e assemelhadas</t>
  </si>
  <si>
    <t>130 m² a160 m²</t>
  </si>
  <si>
    <r>
      <t xml:space="preserve">Esquadrias Externas face externa </t>
    </r>
    <r>
      <rPr>
        <b/>
        <u/>
        <sz val="10"/>
        <rFont val="Arial"/>
        <family val="2"/>
      </rPr>
      <t>com</t>
    </r>
    <r>
      <rPr>
        <sz val="10"/>
        <rFont val="Arial"/>
        <family val="2"/>
      </rPr>
      <t xml:space="preserve"> exposição a situação de risco</t>
    </r>
  </si>
  <si>
    <t>300 m² a380 m²</t>
  </si>
  <si>
    <r>
      <t xml:space="preserve">Esquadrias Externas face externa </t>
    </r>
    <r>
      <rPr>
        <b/>
        <u/>
        <sz val="10"/>
        <rFont val="Arial"/>
        <family val="2"/>
      </rPr>
      <t>sem</t>
    </r>
    <r>
      <rPr>
        <sz val="10"/>
        <rFont val="Arial"/>
        <family val="2"/>
      </rPr>
      <t xml:space="preserve"> exposição a situação de risco</t>
    </r>
  </si>
  <si>
    <t>Esquadrias Externas face interna</t>
  </si>
  <si>
    <t>130 m2 a 160 m²</t>
  </si>
  <si>
    <t>Fachadas Envidraçadas</t>
  </si>
  <si>
    <t xml:space="preserve">TOTAL MENSAL </t>
  </si>
  <si>
    <t>A.2) Quantidade de passagens por dia por empregado:</t>
  </si>
  <si>
    <t>Valores e Precentuais</t>
  </si>
  <si>
    <t>Auxílio Alimentação (Vales, cesta básica etc.): (Valor do VA x dias trabalhados - Desconto Legal CCT)</t>
  </si>
  <si>
    <t>Auxílio Transporte Público:(Valor do VT x dias trabalhados) - (Salario base X Desconto Legal 6%)</t>
  </si>
  <si>
    <t>Convenção Coletiva de Trabalho</t>
  </si>
  <si>
    <t>Regime de Tributação</t>
  </si>
  <si>
    <t>ITEM 
EQUIPAMENTOS (EPI)</t>
  </si>
  <si>
    <t>MARCARA</t>
  </si>
  <si>
    <t xml:space="preserve">B.3) Desconto legal CCT </t>
  </si>
  <si>
    <t>A.1) Valor da tarifa do transporte coletivo no município de prestação de serviços:</t>
  </si>
  <si>
    <t>B.2) Quantidade de Vale Alimentação por empregado por dia trabalhado</t>
  </si>
  <si>
    <t>Limpeza e Conservação</t>
  </si>
  <si>
    <t>ANEXO III - MODELO DE PLANILHA DE CUSTOS</t>
  </si>
  <si>
    <t xml:space="preserve">B.1) Valor do Vale Alimentação,Cesta básica, etc.  </t>
  </si>
  <si>
    <r>
      <t xml:space="preserve">Data de apresentação da proposta </t>
    </r>
    <r>
      <rPr>
        <sz val="10"/>
        <color rgb="FFFF0000"/>
        <rFont val="Arial"/>
        <family val="2"/>
      </rPr>
      <t>(dia/mês/ano)</t>
    </r>
  </si>
  <si>
    <t>Incidência dos encargos do submodulo 2.2 sobre o 13° salário, férias e adicional de férias.</t>
  </si>
  <si>
    <t>Substituto na cobertura de Ausencia por doença</t>
  </si>
  <si>
    <t>Subtotal</t>
  </si>
  <si>
    <t>Pregão Eletrônico nº 046/2026</t>
  </si>
  <si>
    <t>xx/xx/2026</t>
  </si>
  <si>
    <r>
      <t>Muni</t>
    </r>
    <r>
      <rPr>
        <sz val="10"/>
        <rFont val="Arial"/>
        <family val="2"/>
      </rPr>
      <t>cípio/UF</t>
    </r>
  </si>
  <si>
    <t>Auxiliar de Limpeza</t>
  </si>
  <si>
    <t>*observar as exigências do TR - anexo I e III (insalubridades)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</si>
</sst>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_(&quot;R$ &quot;* #,##0.00_);_(&quot;R$ &quot;* \(#,##0.00\);_(&quot;R$ &quot;* &quot;-&quot;??_);_(@_)"/>
    <numFmt numFmtId="166" formatCode="#,##0;#,##0"/>
    <numFmt numFmtId="167" formatCode="&quot;R$&quot;\ #,##0.00"/>
    <numFmt numFmtId="168" formatCode="&quot;R$ &quot;#,##0.00"/>
    <numFmt numFmtId="169" formatCode="_(* #,##0.00_);_(* \(#,##0.00\);_(* &quot;-&quot;??_);_(@_)"/>
    <numFmt numFmtId="170" formatCode="_-&quot;R$ &quot;* #,##0.00_-;&quot;-R$ &quot;* #,##0.00_-;_-&quot;R$ &quot;* \-??_-;_-@_-"/>
    <numFmt numFmtId="171" formatCode="_(&quot;R$ &quot;* #,##0.00_);_(&quot;R$ &quot;* \(#,##0.00\);_(&quot;R$ &quot;* \-??_);_(@_)"/>
    <numFmt numFmtId="172" formatCode="0.0000"/>
    <numFmt numFmtId="173" formatCode="0.000%"/>
    <numFmt numFmtId="174" formatCode="0.0000%"/>
    <numFmt numFmtId="175" formatCode="0.000000"/>
    <numFmt numFmtId="176" formatCode="&quot;R$&quot;\ #,##0.000"/>
    <numFmt numFmtId="177" formatCode="&quot;R$ &quot;#,##0.00_);\(&quot;R$ &quot;#,##0.00\)"/>
    <numFmt numFmtId="178" formatCode="0.0000000"/>
    <numFmt numFmtId="179" formatCode="[$R$]&quot; &quot;#,##0.00&quot; &quot;;&quot;-&quot;[$R$]&quot; &quot;#,##0.00&quot; &quot;;[$R$]&quot; -&quot;00&quot; &quot;;@&quot; &quot;"/>
    <numFmt numFmtId="180" formatCode="#,##0_ ;\-#,##0\ 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10"/>
      <name val="Times New Roman"/>
      <family val="1"/>
    </font>
    <font>
      <sz val="10"/>
      <color indexed="1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8"/>
      <color indexed="9"/>
      <name val="Arial"/>
      <family val="2"/>
    </font>
    <font>
      <b/>
      <i/>
      <u/>
      <sz val="12"/>
      <name val="Arial"/>
      <family val="2"/>
    </font>
    <font>
      <b/>
      <sz val="10"/>
      <color rgb="FF0070C0"/>
      <name val="Arial"/>
      <family val="2"/>
    </font>
    <font>
      <b/>
      <sz val="10"/>
      <color rgb="FFFFFF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FFFF00"/>
      <name val="Arial"/>
      <family val="2"/>
    </font>
    <font>
      <sz val="10"/>
      <color indexed="13"/>
      <name val="Arial"/>
      <family val="2"/>
    </font>
    <font>
      <sz val="10"/>
      <color rgb="FF7030A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EF3F8"/>
        <bgColor indexed="64"/>
      </patternFill>
    </fill>
    <fill>
      <patternFill patternType="solid">
        <fgColor theme="4" tint="-0.24997711111789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25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3" fillId="10" borderId="0" applyNumberFormat="0" applyBorder="0" applyAlignment="0" applyProtection="0"/>
    <xf numFmtId="0" fontId="14" fillId="22" borderId="18" applyNumberFormat="0" applyAlignment="0" applyProtection="0"/>
    <xf numFmtId="0" fontId="15" fillId="23" borderId="19" applyNumberFormat="0" applyAlignment="0" applyProtection="0"/>
    <xf numFmtId="0" fontId="16" fillId="0" borderId="20" applyNumberFormat="0" applyFill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7" borderId="0" applyNumberFormat="0" applyBorder="0" applyAlignment="0" applyProtection="0"/>
    <xf numFmtId="0" fontId="17" fillId="13" borderId="18" applyNumberFormat="0" applyAlignment="0" applyProtection="0"/>
    <xf numFmtId="0" fontId="18" fillId="9" borderId="0" applyNumberFormat="0" applyBorder="0" applyAlignment="0" applyProtection="0"/>
    <xf numFmtId="44" fontId="1" fillId="0" borderId="0" applyFont="0" applyFill="0" applyBorder="0" applyAlignment="0" applyProtection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1" fontId="3" fillId="0" borderId="0" applyFill="0" applyBorder="0" applyAlignment="0" applyProtection="0"/>
    <xf numFmtId="170" fontId="11" fillId="0" borderId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0" fontId="11" fillId="0" borderId="0"/>
    <xf numFmtId="170" fontId="11" fillId="0" borderId="0"/>
    <xf numFmtId="170" fontId="11" fillId="0" borderId="0"/>
    <xf numFmtId="0" fontId="19" fillId="28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1" fillId="0" borderId="0"/>
    <xf numFmtId="0" fontId="11" fillId="0" borderId="0"/>
    <xf numFmtId="0" fontId="3" fillId="29" borderId="21" applyNumberFormat="0" applyAlignment="0" applyProtection="0"/>
    <xf numFmtId="9" fontId="1" fillId="0" borderId="0" applyFont="0" applyFill="0" applyBorder="0" applyAlignment="0" applyProtection="0"/>
    <xf numFmtId="0" fontId="20" fillId="22" borderId="22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23" applyNumberFormat="0" applyFill="0" applyAlignment="0" applyProtection="0"/>
    <xf numFmtId="0" fontId="23" fillId="0" borderId="0" applyNumberFormat="0" applyFill="0" applyBorder="0" applyAlignment="0" applyProtection="0"/>
    <xf numFmtId="0" fontId="25" fillId="0" borderId="24" applyNumberFormat="0" applyFill="0" applyAlignment="0" applyProtection="0"/>
    <xf numFmtId="0" fontId="26" fillId="0" borderId="25" applyNumberFormat="0" applyFill="0" applyAlignment="0" applyProtection="0"/>
    <xf numFmtId="0" fontId="26" fillId="0" borderId="0" applyNumberFormat="0" applyFill="0" applyBorder="0" applyAlignment="0" applyProtection="0"/>
    <xf numFmtId="0" fontId="10" fillId="0" borderId="26" applyNumberFormat="0" applyFill="0" applyAlignment="0" applyProtection="0"/>
    <xf numFmtId="0" fontId="10" fillId="0" borderId="26" applyNumberFormat="0" applyFill="0" applyAlignment="0" applyProtection="0"/>
    <xf numFmtId="0" fontId="3" fillId="0" borderId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0" fontId="3" fillId="0" borderId="0"/>
    <xf numFmtId="169" fontId="3" fillId="0" borderId="0" applyFont="0" applyFill="0" applyBorder="0" applyAlignment="0" applyProtection="0"/>
    <xf numFmtId="0" fontId="45" fillId="0" borderId="0"/>
    <xf numFmtId="0" fontId="46" fillId="0" borderId="0"/>
    <xf numFmtId="179" fontId="45" fillId="0" borderId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4" fillId="0" borderId="0"/>
    <xf numFmtId="43" fontId="51" fillId="0" borderId="0" applyFont="0" applyFill="0" applyBorder="0" applyAlignment="0" applyProtection="0"/>
  </cellStyleXfs>
  <cellXfs count="465">
    <xf numFmtId="0" fontId="0" fillId="0" borderId="0" xfId="0"/>
    <xf numFmtId="0" fontId="5" fillId="2" borderId="0" xfId="0" applyFont="1" applyFill="1" applyAlignment="1">
      <alignment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0" fontId="6" fillId="2" borderId="7" xfId="2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10" fontId="6" fillId="2" borderId="7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67" fontId="6" fillId="2" borderId="0" xfId="0" applyNumberFormat="1" applyFont="1" applyFill="1" applyAlignment="1">
      <alignment horizontal="center" vertical="center" wrapText="1"/>
    </xf>
    <xf numFmtId="167" fontId="4" fillId="2" borderId="1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67" fontId="4" fillId="3" borderId="1" xfId="0" applyNumberFormat="1" applyFont="1" applyFill="1" applyBorder="1" applyAlignment="1">
      <alignment horizontal="center" vertical="center" wrapText="1"/>
    </xf>
    <xf numFmtId="10" fontId="5" fillId="3" borderId="7" xfId="0" applyNumberFormat="1" applyFont="1" applyFill="1" applyBorder="1" applyAlignment="1">
      <alignment horizontal="center" vertical="center" wrapText="1"/>
    </xf>
    <xf numFmtId="167" fontId="4" fillId="3" borderId="7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7" fontId="4" fillId="3" borderId="7" xfId="1" applyNumberFormat="1" applyFont="1" applyFill="1" applyBorder="1" applyAlignment="1">
      <alignment horizontal="center" vertical="center" wrapText="1"/>
    </xf>
    <xf numFmtId="10" fontId="5" fillId="3" borderId="7" xfId="2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10" fontId="6" fillId="2" borderId="8" xfId="2" applyNumberFormat="1" applyFont="1" applyFill="1" applyBorder="1" applyAlignment="1">
      <alignment horizontal="center" vertical="center" wrapText="1"/>
    </xf>
    <xf numFmtId="0" fontId="3" fillId="0" borderId="0" xfId="3"/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167" fontId="3" fillId="2" borderId="0" xfId="1" applyNumberFormat="1" applyFont="1" applyFill="1" applyAlignment="1">
      <alignment horizontal="left" vertical="center"/>
    </xf>
    <xf numFmtId="10" fontId="3" fillId="2" borderId="0" xfId="0" applyNumberFormat="1" applyFont="1" applyFill="1" applyAlignment="1">
      <alignment vertical="center"/>
    </xf>
    <xf numFmtId="167" fontId="4" fillId="30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67" fontId="3" fillId="2" borderId="0" xfId="0" applyNumberFormat="1" applyFont="1" applyFill="1" applyAlignment="1">
      <alignment horizontal="center" vertical="center"/>
    </xf>
    <xf numFmtId="167" fontId="3" fillId="2" borderId="7" xfId="1" applyNumberFormat="1" applyFont="1" applyFill="1" applyBorder="1" applyAlignment="1">
      <alignment horizontal="center" vertical="center" wrapText="1"/>
    </xf>
    <xf numFmtId="10" fontId="3" fillId="2" borderId="7" xfId="2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/>
    </xf>
    <xf numFmtId="10" fontId="3" fillId="2" borderId="0" xfId="0" applyNumberFormat="1" applyFont="1" applyFill="1" applyAlignment="1">
      <alignment horizontal="center" vertical="center"/>
    </xf>
    <xf numFmtId="0" fontId="3" fillId="3" borderId="7" xfId="0" applyFont="1" applyFill="1" applyBorder="1" applyAlignment="1">
      <alignment horizontal="left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left" vertical="center" wrapText="1"/>
    </xf>
    <xf numFmtId="10" fontId="3" fillId="2" borderId="7" xfId="0" applyNumberFormat="1" applyFont="1" applyFill="1" applyBorder="1" applyAlignment="1">
      <alignment horizontal="center" vertical="center" wrapText="1"/>
    </xf>
    <xf numFmtId="167" fontId="3" fillId="2" borderId="7" xfId="0" applyNumberFormat="1" applyFont="1" applyFill="1" applyBorder="1" applyAlignment="1">
      <alignment horizontal="center" vertical="center" wrapText="1"/>
    </xf>
    <xf numFmtId="167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167" fontId="3" fillId="2" borderId="0" xfId="0" applyNumberFormat="1" applyFont="1" applyFill="1" applyAlignment="1">
      <alignment vertical="center"/>
    </xf>
    <xf numFmtId="165" fontId="3" fillId="2" borderId="0" xfId="1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5" fontId="4" fillId="2" borderId="0" xfId="1" applyFont="1" applyFill="1" applyAlignment="1">
      <alignment horizontal="center" vertical="center"/>
    </xf>
    <xf numFmtId="165" fontId="7" fillId="2" borderId="0" xfId="1" applyFont="1" applyFill="1" applyAlignment="1">
      <alignment horizontal="center" vertical="center"/>
    </xf>
    <xf numFmtId="168" fontId="27" fillId="6" borderId="1" xfId="115" applyNumberFormat="1" applyFont="1" applyFill="1" applyBorder="1" applyAlignment="1">
      <alignment horizontal="center" vertical="center" wrapText="1"/>
    </xf>
    <xf numFmtId="168" fontId="28" fillId="6" borderId="0" xfId="116" applyNumberFormat="1" applyFont="1" applyFill="1" applyAlignment="1">
      <alignment horizontal="center" vertical="center" wrapText="1"/>
    </xf>
    <xf numFmtId="173" fontId="6" fillId="2" borderId="7" xfId="2" applyNumberFormat="1" applyFont="1" applyFill="1" applyBorder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0" fontId="32" fillId="0" borderId="0" xfId="3" applyFont="1"/>
    <xf numFmtId="0" fontId="33" fillId="0" borderId="0" xfId="3" applyFont="1"/>
    <xf numFmtId="0" fontId="3" fillId="2" borderId="0" xfId="3" applyFill="1"/>
    <xf numFmtId="0" fontId="4" fillId="2" borderId="43" xfId="3" applyFont="1" applyFill="1" applyBorder="1"/>
    <xf numFmtId="0" fontId="3" fillId="2" borderId="15" xfId="3" applyFill="1" applyBorder="1"/>
    <xf numFmtId="10" fontId="4" fillId="2" borderId="15" xfId="3" applyNumberFormat="1" applyFont="1" applyFill="1" applyBorder="1" applyAlignment="1">
      <alignment horizontal="center"/>
    </xf>
    <xf numFmtId="0" fontId="3" fillId="2" borderId="44" xfId="3" applyFill="1" applyBorder="1"/>
    <xf numFmtId="0" fontId="3" fillId="2" borderId="45" xfId="3" applyFill="1" applyBorder="1"/>
    <xf numFmtId="0" fontId="3" fillId="2" borderId="46" xfId="3" applyFill="1" applyBorder="1"/>
    <xf numFmtId="49" fontId="4" fillId="2" borderId="45" xfId="3" applyNumberFormat="1" applyFont="1" applyFill="1" applyBorder="1" applyAlignment="1">
      <alignment horizontal="center" vertical="center" wrapText="1"/>
    </xf>
    <xf numFmtId="0" fontId="4" fillId="2" borderId="0" xfId="3" applyFont="1" applyFill="1" applyAlignment="1">
      <alignment vertical="center" wrapText="1"/>
    </xf>
    <xf numFmtId="10" fontId="4" fillId="2" borderId="0" xfId="8" applyNumberFormat="1" applyFont="1" applyFill="1" applyBorder="1" applyAlignment="1">
      <alignment horizontal="center" vertical="center"/>
    </xf>
    <xf numFmtId="10" fontId="4" fillId="0" borderId="0" xfId="9" applyNumberFormat="1" applyFont="1" applyBorder="1" applyAlignment="1">
      <alignment horizontal="center" vertical="center"/>
    </xf>
    <xf numFmtId="0" fontId="3" fillId="2" borderId="0" xfId="3" applyFill="1" applyAlignment="1">
      <alignment horizontal="left"/>
    </xf>
    <xf numFmtId="0" fontId="3" fillId="2" borderId="0" xfId="3" quotePrefix="1" applyFill="1" applyAlignment="1">
      <alignment horizontal="left"/>
    </xf>
    <xf numFmtId="0" fontId="3" fillId="2" borderId="47" xfId="3" applyFill="1" applyBorder="1"/>
    <xf numFmtId="0" fontId="3" fillId="2" borderId="16" xfId="3" applyFill="1" applyBorder="1"/>
    <xf numFmtId="0" fontId="3" fillId="2" borderId="48" xfId="3" applyFill="1" applyBorder="1"/>
    <xf numFmtId="10" fontId="7" fillId="2" borderId="0" xfId="8" applyNumberFormat="1" applyFont="1" applyFill="1" applyBorder="1" applyAlignment="1">
      <alignment horizontal="center" vertical="center"/>
    </xf>
    <xf numFmtId="175" fontId="7" fillId="0" borderId="0" xfId="3" applyNumberFormat="1" applyFont="1" applyAlignment="1">
      <alignment horizontal="center" vertical="center"/>
    </xf>
    <xf numFmtId="0" fontId="29" fillId="0" borderId="0" xfId="3" applyFont="1" applyAlignment="1">
      <alignment horizontal="left" vertical="center"/>
    </xf>
    <xf numFmtId="49" fontId="4" fillId="2" borderId="47" xfId="3" applyNumberFormat="1" applyFont="1" applyFill="1" applyBorder="1" applyAlignment="1">
      <alignment horizontal="center" vertical="center" wrapText="1"/>
    </xf>
    <xf numFmtId="0" fontId="4" fillId="2" borderId="16" xfId="3" applyFont="1" applyFill="1" applyBorder="1" applyAlignment="1">
      <alignment vertical="center" wrapText="1"/>
    </xf>
    <xf numFmtId="10" fontId="4" fillId="2" borderId="16" xfId="8" applyNumberFormat="1" applyFont="1" applyFill="1" applyBorder="1" applyAlignment="1">
      <alignment horizontal="center" vertical="center"/>
    </xf>
    <xf numFmtId="0" fontId="4" fillId="2" borderId="45" xfId="3" applyFont="1" applyFill="1" applyBorder="1"/>
    <xf numFmtId="10" fontId="4" fillId="2" borderId="0" xfId="3" applyNumberFormat="1" applyFont="1" applyFill="1" applyAlignment="1">
      <alignment horizontal="center"/>
    </xf>
    <xf numFmtId="10" fontId="4" fillId="0" borderId="0" xfId="10" applyNumberFormat="1" applyFont="1" applyBorder="1" applyAlignment="1">
      <alignment horizontal="center" vertical="center"/>
    </xf>
    <xf numFmtId="10" fontId="3" fillId="2" borderId="0" xfId="8" applyNumberFormat="1" applyFont="1" applyFill="1" applyBorder="1" applyAlignment="1">
      <alignment horizontal="center" vertical="center"/>
    </xf>
    <xf numFmtId="172" fontId="7" fillId="0" borderId="0" xfId="3" applyNumberFormat="1" applyFont="1" applyAlignment="1">
      <alignment horizontal="center" vertical="center"/>
    </xf>
    <xf numFmtId="0" fontId="3" fillId="2" borderId="0" xfId="3" quotePrefix="1" applyFill="1"/>
    <xf numFmtId="10" fontId="4" fillId="0" borderId="0" xfId="3" applyNumberFormat="1" applyFont="1" applyAlignment="1">
      <alignment horizontal="center" vertical="center"/>
    </xf>
    <xf numFmtId="174" fontId="4" fillId="2" borderId="0" xfId="8" applyNumberFormat="1" applyFont="1" applyFill="1" applyBorder="1" applyAlignment="1">
      <alignment horizontal="center" vertical="center"/>
    </xf>
    <xf numFmtId="0" fontId="4" fillId="2" borderId="0" xfId="3" applyFont="1" applyFill="1"/>
    <xf numFmtId="10" fontId="4" fillId="0" borderId="0" xfId="11" applyNumberFormat="1" applyFont="1" applyBorder="1" applyAlignment="1">
      <alignment horizontal="center" vertical="center"/>
    </xf>
    <xf numFmtId="10" fontId="3" fillId="0" borderId="0" xfId="3" applyNumberFormat="1"/>
    <xf numFmtId="10" fontId="4" fillId="0" borderId="0" xfId="10" applyNumberFormat="1" applyFont="1" applyAlignment="1">
      <alignment horizontal="center" vertical="center"/>
    </xf>
    <xf numFmtId="0" fontId="34" fillId="0" borderId="0" xfId="3" applyFont="1" applyAlignment="1">
      <alignment horizontal="left" vertical="center"/>
    </xf>
    <xf numFmtId="0" fontId="3" fillId="0" borderId="45" xfId="3" applyBorder="1"/>
    <xf numFmtId="2" fontId="7" fillId="0" borderId="0" xfId="3" applyNumberFormat="1" applyFont="1" applyAlignment="1">
      <alignment horizontal="center" vertical="center"/>
    </xf>
    <xf numFmtId="0" fontId="3" fillId="2" borderId="16" xfId="3" quotePrefix="1" applyFill="1" applyBorder="1"/>
    <xf numFmtId="174" fontId="6" fillId="2" borderId="7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0" fontId="3" fillId="2" borderId="0" xfId="2" applyNumberFormat="1" applyFont="1" applyFill="1" applyBorder="1" applyAlignment="1">
      <alignment vertical="center"/>
    </xf>
    <xf numFmtId="43" fontId="3" fillId="2" borderId="0" xfId="0" applyNumberFormat="1" applyFont="1" applyFill="1" applyAlignment="1">
      <alignment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167" fontId="4" fillId="4" borderId="29" xfId="0" applyNumberFormat="1" applyFont="1" applyFill="1" applyBorder="1" applyAlignment="1">
      <alignment horizontal="center" vertical="center"/>
    </xf>
    <xf numFmtId="167" fontId="4" fillId="4" borderId="30" xfId="0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67" fontId="3" fillId="0" borderId="32" xfId="0" applyNumberFormat="1" applyFont="1" applyBorder="1" applyAlignment="1">
      <alignment horizontal="center" vertical="center"/>
    </xf>
    <xf numFmtId="167" fontId="4" fillId="4" borderId="51" xfId="0" applyNumberFormat="1" applyFont="1" applyFill="1" applyBorder="1" applyAlignment="1">
      <alignment horizontal="center" vertical="center"/>
    </xf>
    <xf numFmtId="165" fontId="3" fillId="2" borderId="0" xfId="1" applyFont="1" applyFill="1" applyAlignment="1">
      <alignment horizontal="center" vertical="center"/>
    </xf>
    <xf numFmtId="165" fontId="29" fillId="2" borderId="0" xfId="1" applyFont="1" applyFill="1" applyAlignment="1">
      <alignment horizontal="center" vertical="center"/>
    </xf>
    <xf numFmtId="0" fontId="29" fillId="2" borderId="0" xfId="0" applyFont="1" applyFill="1" applyAlignment="1">
      <alignment vertical="center"/>
    </xf>
    <xf numFmtId="10" fontId="3" fillId="2" borderId="0" xfId="2" applyNumberFormat="1" applyFont="1" applyFill="1" applyAlignment="1">
      <alignment vertical="center"/>
    </xf>
    <xf numFmtId="0" fontId="35" fillId="6" borderId="0" xfId="116" applyFont="1" applyFill="1" applyAlignment="1">
      <alignment horizontal="center" vertical="center" wrapText="1"/>
    </xf>
    <xf numFmtId="0" fontId="3" fillId="0" borderId="0" xfId="12" applyAlignment="1">
      <alignment vertical="center"/>
    </xf>
    <xf numFmtId="167" fontId="3" fillId="0" borderId="0" xfId="12" applyNumberFormat="1" applyAlignment="1">
      <alignment vertical="center"/>
    </xf>
    <xf numFmtId="176" fontId="3" fillId="0" borderId="0" xfId="12" applyNumberFormat="1" applyAlignment="1">
      <alignment horizontal="center" vertical="center"/>
    </xf>
    <xf numFmtId="165" fontId="3" fillId="0" borderId="0" xfId="1" applyFont="1" applyAlignment="1">
      <alignment vertical="center"/>
    </xf>
    <xf numFmtId="4" fontId="3" fillId="0" borderId="0" xfId="12" applyNumberFormat="1" applyAlignment="1">
      <alignment vertical="center"/>
    </xf>
    <xf numFmtId="0" fontId="3" fillId="0" borderId="0" xfId="12" applyAlignment="1">
      <alignment horizontal="center" vertical="center"/>
    </xf>
    <xf numFmtId="167" fontId="4" fillId="0" borderId="0" xfId="12" applyNumberFormat="1" applyFont="1" applyAlignment="1">
      <alignment horizontal="center" vertical="center"/>
    </xf>
    <xf numFmtId="167" fontId="3" fillId="0" borderId="0" xfId="12" applyNumberFormat="1" applyAlignment="1">
      <alignment horizontal="center" vertical="center"/>
    </xf>
    <xf numFmtId="172" fontId="3" fillId="0" borderId="0" xfId="12" applyNumberFormat="1" applyAlignment="1">
      <alignment vertical="center"/>
    </xf>
    <xf numFmtId="43" fontId="4" fillId="0" borderId="0" xfId="12" applyNumberFormat="1" applyFont="1" applyAlignment="1">
      <alignment horizontal="center" vertical="center"/>
    </xf>
    <xf numFmtId="165" fontId="4" fillId="0" borderId="0" xfId="12" applyNumberFormat="1" applyFont="1" applyAlignment="1">
      <alignment horizontal="center" vertical="center"/>
    </xf>
    <xf numFmtId="4" fontId="4" fillId="0" borderId="0" xfId="12" applyNumberFormat="1" applyFont="1" applyAlignment="1">
      <alignment horizontal="center" vertical="center"/>
    </xf>
    <xf numFmtId="168" fontId="4" fillId="4" borderId="0" xfId="114" applyNumberFormat="1" applyFont="1" applyFill="1" applyBorder="1" applyAlignment="1">
      <alignment horizontal="center" vertical="center"/>
    </xf>
    <xf numFmtId="172" fontId="3" fillId="0" borderId="0" xfId="1" applyNumberFormat="1" applyFont="1" applyAlignment="1">
      <alignment horizontal="center" vertical="center"/>
    </xf>
    <xf numFmtId="1" fontId="4" fillId="0" borderId="0" xfId="12" applyNumberFormat="1" applyFont="1" applyAlignment="1">
      <alignment horizontal="center" vertical="center"/>
    </xf>
    <xf numFmtId="4" fontId="3" fillId="0" borderId="0" xfId="12" applyNumberFormat="1" applyAlignment="1">
      <alignment horizontal="center" vertical="center"/>
    </xf>
    <xf numFmtId="0" fontId="4" fillId="5" borderId="0" xfId="12" applyFont="1" applyFill="1" applyAlignment="1">
      <alignment horizontal="center" vertical="center" wrapText="1"/>
    </xf>
    <xf numFmtId="0" fontId="4" fillId="4" borderId="0" xfId="12" applyFont="1" applyFill="1" applyAlignment="1">
      <alignment horizontal="center" vertical="center" wrapText="1"/>
    </xf>
    <xf numFmtId="0" fontId="3" fillId="0" borderId="0" xfId="12"/>
    <xf numFmtId="0" fontId="4" fillId="0" borderId="0" xfId="12" applyFont="1" applyAlignment="1">
      <alignment horizontal="center" vertical="center"/>
    </xf>
    <xf numFmtId="0" fontId="3" fillId="6" borderId="0" xfId="12" applyFill="1" applyAlignment="1">
      <alignment vertical="center"/>
    </xf>
    <xf numFmtId="0" fontId="4" fillId="6" borderId="27" xfId="12" applyFont="1" applyFill="1" applyBorder="1" applyAlignment="1">
      <alignment vertical="center"/>
    </xf>
    <xf numFmtId="0" fontId="4" fillId="0" borderId="0" xfId="12" applyFont="1" applyAlignment="1">
      <alignment horizontal="left" vertical="center"/>
    </xf>
    <xf numFmtId="0" fontId="4" fillId="0" borderId="0" xfId="12" applyFont="1" applyAlignment="1">
      <alignment horizontal="left" vertical="center" wrapText="1"/>
    </xf>
    <xf numFmtId="177" fontId="4" fillId="0" borderId="0" xfId="12" applyNumberFormat="1" applyFont="1" applyAlignment="1">
      <alignment horizontal="center" vertical="center"/>
    </xf>
    <xf numFmtId="0" fontId="4" fillId="0" borderId="0" xfId="12" applyFont="1" applyAlignment="1">
      <alignment horizontal="right" vertical="center"/>
    </xf>
    <xf numFmtId="0" fontId="4" fillId="0" borderId="27" xfId="12" applyFont="1" applyBorder="1" applyAlignment="1">
      <alignment horizontal="right" vertical="center"/>
    </xf>
    <xf numFmtId="0" fontId="4" fillId="0" borderId="0" xfId="12" applyFont="1" applyAlignment="1">
      <alignment vertical="center" wrapText="1"/>
    </xf>
    <xf numFmtId="177" fontId="3" fillId="0" borderId="0" xfId="6" applyNumberFormat="1" applyFont="1" applyFill="1" applyBorder="1" applyAlignment="1">
      <alignment horizontal="center" vertical="center"/>
    </xf>
    <xf numFmtId="0" fontId="4" fillId="0" borderId="0" xfId="12" applyFont="1" applyAlignment="1">
      <alignment vertical="center"/>
    </xf>
    <xf numFmtId="0" fontId="4" fillId="0" borderId="0" xfId="12" applyFont="1" applyAlignment="1">
      <alignment horizontal="center" vertical="center" wrapText="1"/>
    </xf>
    <xf numFmtId="0" fontId="4" fillId="6" borderId="0" xfId="12" applyFont="1" applyFill="1" applyAlignment="1">
      <alignment horizontal="right" vertical="center"/>
    </xf>
    <xf numFmtId="0" fontId="4" fillId="6" borderId="27" xfId="12" applyFont="1" applyFill="1" applyBorder="1" applyAlignment="1">
      <alignment horizontal="right" vertical="center"/>
    </xf>
    <xf numFmtId="0" fontId="4" fillId="32" borderId="0" xfId="12" applyFont="1" applyFill="1" applyAlignment="1">
      <alignment horizontal="center" vertical="center"/>
    </xf>
    <xf numFmtId="0" fontId="4" fillId="4" borderId="0" xfId="12" applyFont="1" applyFill="1" applyAlignment="1">
      <alignment horizontal="center" vertical="center"/>
    </xf>
    <xf numFmtId="165" fontId="4" fillId="0" borderId="0" xfId="1" applyFont="1" applyBorder="1" applyAlignment="1">
      <alignment vertical="center"/>
    </xf>
    <xf numFmtId="165" fontId="4" fillId="0" borderId="0" xfId="1" applyFont="1" applyBorder="1" applyAlignment="1">
      <alignment horizontal="center" vertical="center"/>
    </xf>
    <xf numFmtId="0" fontId="3" fillId="0" borderId="0" xfId="12" applyAlignment="1">
      <alignment horizontal="left" vertical="center"/>
    </xf>
    <xf numFmtId="167" fontId="4" fillId="0" borderId="0" xfId="12" applyNumberFormat="1" applyFont="1" applyAlignment="1">
      <alignment horizontal="center" vertical="center" wrapText="1"/>
    </xf>
    <xf numFmtId="2" fontId="4" fillId="0" borderId="0" xfId="6" applyNumberFormat="1" applyFont="1" applyBorder="1" applyAlignment="1">
      <alignment horizontal="center" vertical="center"/>
    </xf>
    <xf numFmtId="2" fontId="4" fillId="31" borderId="0" xfId="6" applyNumberFormat="1" applyFont="1" applyFill="1" applyBorder="1" applyAlignment="1">
      <alignment horizontal="center" vertical="center"/>
    </xf>
    <xf numFmtId="0" fontId="4" fillId="4" borderId="1" xfId="12" applyFont="1" applyFill="1" applyBorder="1" applyAlignment="1">
      <alignment horizontal="center" vertical="center" wrapText="1"/>
    </xf>
    <xf numFmtId="0" fontId="3" fillId="0" borderId="1" xfId="12" applyBorder="1" applyAlignment="1">
      <alignment vertical="center"/>
    </xf>
    <xf numFmtId="0" fontId="3" fillId="0" borderId="1" xfId="12" applyBorder="1" applyAlignment="1">
      <alignment horizontal="center" vertical="center"/>
    </xf>
    <xf numFmtId="167" fontId="3" fillId="0" borderId="1" xfId="6" applyNumberFormat="1" applyFont="1" applyBorder="1" applyAlignment="1">
      <alignment horizontal="center" vertical="center"/>
    </xf>
    <xf numFmtId="177" fontId="3" fillId="0" borderId="1" xfId="6" applyNumberFormat="1" applyFont="1" applyBorder="1" applyAlignment="1">
      <alignment horizontal="center" vertical="center"/>
    </xf>
    <xf numFmtId="177" fontId="4" fillId="4" borderId="1" xfId="12" applyNumberFormat="1" applyFont="1" applyFill="1" applyBorder="1" applyAlignment="1">
      <alignment horizontal="center" vertical="center"/>
    </xf>
    <xf numFmtId="0" fontId="4" fillId="6" borderId="0" xfId="12" applyFont="1" applyFill="1" applyAlignment="1">
      <alignment horizontal="center" vertical="center"/>
    </xf>
    <xf numFmtId="167" fontId="4" fillId="0" borderId="0" xfId="12" applyNumberFormat="1" applyFont="1" applyAlignment="1">
      <alignment horizontal="left" vertical="center"/>
    </xf>
    <xf numFmtId="178" fontId="3" fillId="0" borderId="1" xfId="12" applyNumberFormat="1" applyBorder="1" applyAlignment="1">
      <alignment horizontal="center" vertical="center"/>
    </xf>
    <xf numFmtId="0" fontId="3" fillId="6" borderId="27" xfId="12" applyFill="1" applyBorder="1" applyAlignment="1">
      <alignment vertical="center"/>
    </xf>
    <xf numFmtId="0" fontId="39" fillId="0" borderId="0" xfId="12" applyFont="1" applyAlignment="1">
      <alignment horizontal="center" vertical="center"/>
    </xf>
    <xf numFmtId="0" fontId="39" fillId="0" borderId="0" xfId="12" quotePrefix="1" applyFont="1" applyAlignment="1">
      <alignment horizontal="center" vertical="center"/>
    </xf>
    <xf numFmtId="39" fontId="4" fillId="4" borderId="1" xfId="12" applyNumberFormat="1" applyFont="1" applyFill="1" applyBorder="1" applyAlignment="1">
      <alignment horizontal="center" vertical="center"/>
    </xf>
    <xf numFmtId="168" fontId="4" fillId="4" borderId="1" xfId="114" applyNumberFormat="1" applyFont="1" applyFill="1" applyBorder="1" applyAlignment="1">
      <alignment horizontal="center" vertical="center"/>
    </xf>
    <xf numFmtId="17" fontId="27" fillId="6" borderId="1" xfId="115" applyNumberFormat="1" applyFont="1" applyFill="1" applyBorder="1" applyAlignment="1">
      <alignment horizontal="center" vertical="center" wrapText="1"/>
    </xf>
    <xf numFmtId="0" fontId="28" fillId="6" borderId="27" xfId="116" applyFont="1" applyFill="1" applyBorder="1" applyAlignment="1">
      <alignment horizontal="center" vertical="center" wrapText="1"/>
    </xf>
    <xf numFmtId="0" fontId="28" fillId="6" borderId="0" xfId="116" applyFont="1" applyFill="1" applyAlignment="1">
      <alignment horizontal="center" vertical="center" wrapText="1"/>
    </xf>
    <xf numFmtId="0" fontId="27" fillId="6" borderId="0" xfId="116" applyFont="1" applyFill="1" applyAlignment="1">
      <alignment horizontal="center" vertical="center" wrapText="1"/>
    </xf>
    <xf numFmtId="0" fontId="40" fillId="6" borderId="0" xfId="116" applyFont="1" applyFill="1" applyAlignment="1">
      <alignment vertical="center" wrapText="1"/>
    </xf>
    <xf numFmtId="17" fontId="27" fillId="6" borderId="46" xfId="115" applyNumberFormat="1" applyFont="1" applyFill="1" applyBorder="1" applyAlignment="1">
      <alignment horizontal="center" vertical="center" wrapText="1"/>
    </xf>
    <xf numFmtId="168" fontId="27" fillId="6" borderId="60" xfId="115" applyNumberFormat="1" applyFont="1" applyFill="1" applyBorder="1" applyAlignment="1">
      <alignment horizontal="center" vertical="center" wrapText="1"/>
    </xf>
    <xf numFmtId="168" fontId="27" fillId="6" borderId="45" xfId="115" applyNumberFormat="1" applyFont="1" applyFill="1" applyBorder="1" applyAlignment="1">
      <alignment horizontal="center" vertical="center" wrapText="1"/>
    </xf>
    <xf numFmtId="10" fontId="28" fillId="0" borderId="0" xfId="8" applyNumberFormat="1" applyFont="1" applyAlignment="1">
      <alignment horizontal="center" vertical="center"/>
    </xf>
    <xf numFmtId="10" fontId="4" fillId="0" borderId="0" xfId="8" applyNumberFormat="1" applyFont="1" applyAlignment="1">
      <alignment horizontal="center" vertical="center"/>
    </xf>
    <xf numFmtId="0" fontId="7" fillId="2" borderId="9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43" fillId="34" borderId="7" xfId="0" applyFont="1" applyFill="1" applyBorder="1" applyAlignment="1">
      <alignment horizontal="center" vertical="center" wrapText="1"/>
    </xf>
    <xf numFmtId="167" fontId="43" fillId="34" borderId="7" xfId="0" applyNumberFormat="1" applyFont="1" applyFill="1" applyBorder="1" applyAlignment="1">
      <alignment horizontal="center" vertical="center" wrapText="1"/>
    </xf>
    <xf numFmtId="167" fontId="43" fillId="34" borderId="1" xfId="0" applyNumberFormat="1" applyFont="1" applyFill="1" applyBorder="1" applyAlignment="1">
      <alignment horizontal="center" vertical="center" wrapText="1"/>
    </xf>
    <xf numFmtId="0" fontId="3" fillId="35" borderId="1" xfId="12" applyFill="1" applyBorder="1" applyAlignment="1">
      <alignment horizontal="center" vertical="center" wrapText="1"/>
    </xf>
    <xf numFmtId="0" fontId="3" fillId="35" borderId="1" xfId="12" applyFill="1" applyBorder="1" applyAlignment="1">
      <alignment horizontal="left" vertical="center" wrapText="1"/>
    </xf>
    <xf numFmtId="2" fontId="3" fillId="35" borderId="1" xfId="12" applyNumberFormat="1" applyFill="1" applyBorder="1" applyAlignment="1">
      <alignment horizontal="center" vertical="center"/>
    </xf>
    <xf numFmtId="167" fontId="3" fillId="35" borderId="1" xfId="12" applyNumberFormat="1" applyFill="1" applyBorder="1" applyAlignment="1">
      <alignment horizontal="center" vertical="center"/>
    </xf>
    <xf numFmtId="39" fontId="3" fillId="35" borderId="1" xfId="114" applyNumberFormat="1" applyFont="1" applyFill="1" applyBorder="1" applyAlignment="1">
      <alignment horizontal="center" vertical="center"/>
    </xf>
    <xf numFmtId="168" fontId="3" fillId="35" borderId="1" xfId="6" applyNumberFormat="1" applyFont="1" applyFill="1" applyBorder="1" applyAlignment="1">
      <alignment horizontal="center" vertical="center"/>
    </xf>
    <xf numFmtId="167" fontId="3" fillId="35" borderId="1" xfId="6" applyNumberFormat="1" applyFont="1" applyFill="1" applyBorder="1" applyAlignment="1">
      <alignment horizontal="center" vertical="center"/>
    </xf>
    <xf numFmtId="0" fontId="3" fillId="36" borderId="1" xfId="12" applyFill="1" applyBorder="1" applyAlignment="1">
      <alignment horizontal="center" vertical="center" wrapText="1"/>
    </xf>
    <xf numFmtId="0" fontId="3" fillId="36" borderId="1" xfId="12" applyFill="1" applyBorder="1" applyAlignment="1">
      <alignment horizontal="left" vertical="center" wrapText="1"/>
    </xf>
    <xf numFmtId="2" fontId="3" fillId="36" borderId="1" xfId="12" applyNumberFormat="1" applyFill="1" applyBorder="1" applyAlignment="1">
      <alignment horizontal="center" vertical="center"/>
    </xf>
    <xf numFmtId="167" fontId="3" fillId="36" borderId="1" xfId="12" applyNumberFormat="1" applyFill="1" applyBorder="1" applyAlignment="1">
      <alignment horizontal="center" vertical="center"/>
    </xf>
    <xf numFmtId="39" fontId="3" fillId="36" borderId="1" xfId="114" applyNumberFormat="1" applyFont="1" applyFill="1" applyBorder="1" applyAlignment="1">
      <alignment horizontal="center" vertical="center"/>
    </xf>
    <xf numFmtId="168" fontId="3" fillId="36" borderId="1" xfId="6" applyNumberFormat="1" applyFont="1" applyFill="1" applyBorder="1" applyAlignment="1">
      <alignment horizontal="center" vertical="center"/>
    </xf>
    <xf numFmtId="167" fontId="3" fillId="36" borderId="1" xfId="6" applyNumberFormat="1" applyFont="1" applyFill="1" applyBorder="1" applyAlignment="1">
      <alignment horizontal="center" vertical="center"/>
    </xf>
    <xf numFmtId="0" fontId="3" fillId="37" borderId="1" xfId="12" applyFill="1" applyBorder="1" applyAlignment="1">
      <alignment horizontal="center" vertical="center" wrapText="1"/>
    </xf>
    <xf numFmtId="0" fontId="3" fillId="37" borderId="1" xfId="12" applyFill="1" applyBorder="1" applyAlignment="1">
      <alignment horizontal="left" vertical="center" wrapText="1"/>
    </xf>
    <xf numFmtId="2" fontId="3" fillId="37" borderId="1" xfId="12" applyNumberFormat="1" applyFill="1" applyBorder="1" applyAlignment="1">
      <alignment horizontal="center" vertical="center"/>
    </xf>
    <xf numFmtId="167" fontId="3" fillId="37" borderId="1" xfId="12" applyNumberFormat="1" applyFill="1" applyBorder="1" applyAlignment="1">
      <alignment horizontal="center" vertical="center"/>
    </xf>
    <xf numFmtId="39" fontId="3" fillId="37" borderId="1" xfId="114" applyNumberFormat="1" applyFont="1" applyFill="1" applyBorder="1" applyAlignment="1">
      <alignment horizontal="center" vertical="center"/>
    </xf>
    <xf numFmtId="168" fontId="3" fillId="37" borderId="1" xfId="6" applyNumberFormat="1" applyFont="1" applyFill="1" applyBorder="1" applyAlignment="1">
      <alignment horizontal="center" vertical="center"/>
    </xf>
    <xf numFmtId="167" fontId="3" fillId="37" borderId="1" xfId="6" applyNumberFormat="1" applyFont="1" applyFill="1" applyBorder="1" applyAlignment="1">
      <alignment horizontal="center" vertical="center"/>
    </xf>
    <xf numFmtId="0" fontId="27" fillId="0" borderId="0" xfId="12" applyFont="1"/>
    <xf numFmtId="0" fontId="27" fillId="0" borderId="0" xfId="12" applyFont="1" applyAlignment="1">
      <alignment horizontal="center" vertical="center"/>
    </xf>
    <xf numFmtId="10" fontId="27" fillId="0" borderId="0" xfId="12" applyNumberFormat="1" applyFont="1"/>
    <xf numFmtId="10" fontId="3" fillId="0" borderId="0" xfId="12" applyNumberFormat="1" applyAlignment="1">
      <alignment horizontal="center" vertical="center"/>
    </xf>
    <xf numFmtId="168" fontId="3" fillId="0" borderId="0" xfId="12" applyNumberFormat="1" applyAlignment="1">
      <alignment horizontal="center" vertical="center"/>
    </xf>
    <xf numFmtId="169" fontId="4" fillId="0" borderId="0" xfId="121" applyFont="1" applyAlignment="1">
      <alignment horizontal="center" vertical="center"/>
    </xf>
    <xf numFmtId="169" fontId="0" fillId="0" borderId="0" xfId="121" applyFont="1" applyAlignment="1">
      <alignment horizontal="center" vertical="center"/>
    </xf>
    <xf numFmtId="0" fontId="3" fillId="0" borderId="0" xfId="12" applyAlignment="1">
      <alignment horizontal="center" vertical="center" wrapText="1"/>
    </xf>
    <xf numFmtId="0" fontId="4" fillId="0" borderId="0" xfId="12" applyFont="1"/>
    <xf numFmtId="0" fontId="28" fillId="6" borderId="0" xfId="12" applyFont="1" applyFill="1" applyAlignment="1">
      <alignment vertical="center"/>
    </xf>
    <xf numFmtId="0" fontId="28" fillId="6" borderId="0" xfId="12" applyFont="1" applyFill="1" applyAlignment="1">
      <alignment horizontal="center" vertical="center"/>
    </xf>
    <xf numFmtId="0" fontId="28" fillId="6" borderId="61" xfId="123" applyFont="1" applyFill="1" applyBorder="1" applyAlignment="1">
      <alignment horizontal="center" vertical="center"/>
    </xf>
    <xf numFmtId="0" fontId="28" fillId="6" borderId="62" xfId="123" applyFont="1" applyFill="1" applyBorder="1" applyAlignment="1">
      <alignment horizontal="center" vertical="center"/>
    </xf>
    <xf numFmtId="0" fontId="28" fillId="6" borderId="63" xfId="123" applyFont="1" applyFill="1" applyBorder="1" applyAlignment="1">
      <alignment horizontal="center" vertical="center"/>
    </xf>
    <xf numFmtId="0" fontId="3" fillId="0" borderId="0" xfId="12" applyAlignment="1">
      <alignment horizontal="center"/>
    </xf>
    <xf numFmtId="0" fontId="3" fillId="6" borderId="0" xfId="12" applyFill="1" applyAlignment="1">
      <alignment horizontal="center"/>
    </xf>
    <xf numFmtId="0" fontId="4" fillId="6" borderId="0" xfId="12" applyFont="1" applyFill="1" applyAlignment="1">
      <alignment horizontal="center"/>
    </xf>
    <xf numFmtId="0" fontId="3" fillId="6" borderId="0" xfId="12" applyFill="1" applyAlignment="1">
      <alignment horizontal="left"/>
    </xf>
    <xf numFmtId="0" fontId="3" fillId="6" borderId="17" xfId="12" applyFill="1" applyBorder="1" applyAlignment="1">
      <alignment horizontal="left"/>
    </xf>
    <xf numFmtId="0" fontId="3" fillId="6" borderId="27" xfId="12" applyFill="1" applyBorder="1" applyAlignment="1">
      <alignment horizontal="center"/>
    </xf>
    <xf numFmtId="0" fontId="3" fillId="0" borderId="0" xfId="12" applyAlignment="1">
      <alignment horizontal="justify" vertical="center" wrapText="1"/>
    </xf>
    <xf numFmtId="0" fontId="3" fillId="6" borderId="0" xfId="12" applyFill="1" applyAlignment="1">
      <alignment horizontal="right" vertical="center"/>
    </xf>
    <xf numFmtId="0" fontId="3" fillId="6" borderId="0" xfId="12" applyFill="1" applyAlignment="1">
      <alignment horizontal="left" vertical="center"/>
    </xf>
    <xf numFmtId="0" fontId="3" fillId="6" borderId="0" xfId="12" applyFill="1" applyAlignment="1">
      <alignment horizontal="justify" vertical="center" wrapText="1"/>
    </xf>
    <xf numFmtId="167" fontId="3" fillId="0" borderId="0" xfId="12" applyNumberFormat="1" applyAlignment="1">
      <alignment horizontal="justify" vertical="center" wrapText="1"/>
    </xf>
    <xf numFmtId="167" fontId="3" fillId="6" borderId="0" xfId="12" applyNumberFormat="1" applyFill="1" applyAlignment="1">
      <alignment horizontal="justify" vertical="center" wrapText="1"/>
    </xf>
    <xf numFmtId="0" fontId="3" fillId="6" borderId="0" xfId="12" applyFill="1" applyAlignment="1">
      <alignment horizontal="center" vertical="center"/>
    </xf>
    <xf numFmtId="168" fontId="4" fillId="3" borderId="0" xfId="12" applyNumberFormat="1" applyFont="1" applyFill="1" applyAlignment="1">
      <alignment horizontal="center" vertical="center" wrapText="1"/>
    </xf>
    <xf numFmtId="168" fontId="43" fillId="34" borderId="32" xfId="12" applyNumberFormat="1" applyFont="1" applyFill="1" applyBorder="1" applyAlignment="1">
      <alignment horizontal="center" vertical="center" wrapText="1"/>
    </xf>
    <xf numFmtId="168" fontId="43" fillId="34" borderId="1" xfId="12" applyNumberFormat="1" applyFont="1" applyFill="1" applyBorder="1" applyAlignment="1">
      <alignment horizontal="center" vertical="center" wrapText="1"/>
    </xf>
    <xf numFmtId="167" fontId="3" fillId="2" borderId="0" xfId="12" applyNumberFormat="1" applyFill="1" applyAlignment="1">
      <alignment horizontal="center" vertical="center" wrapText="1"/>
    </xf>
    <xf numFmtId="172" fontId="3" fillId="2" borderId="0" xfId="12" applyNumberFormat="1" applyFill="1" applyAlignment="1">
      <alignment horizontal="center" vertical="center" wrapText="1"/>
    </xf>
    <xf numFmtId="167" fontId="3" fillId="2" borderId="32" xfId="12" applyNumberFormat="1" applyFill="1" applyBorder="1" applyAlignment="1">
      <alignment horizontal="center" vertical="center" wrapText="1"/>
    </xf>
    <xf numFmtId="168" fontId="3" fillId="2" borderId="1" xfId="12" applyNumberFormat="1" applyFill="1" applyBorder="1" applyAlignment="1">
      <alignment horizontal="center" vertical="center" wrapText="1"/>
    </xf>
    <xf numFmtId="3" fontId="3" fillId="2" borderId="1" xfId="12" applyNumberFormat="1" applyFill="1" applyBorder="1" applyAlignment="1">
      <alignment horizontal="center" vertical="center" wrapText="1"/>
    </xf>
    <xf numFmtId="0" fontId="36" fillId="2" borderId="1" xfId="12" applyFont="1" applyFill="1" applyBorder="1" applyAlignment="1">
      <alignment horizontal="center" vertical="center" wrapText="1"/>
    </xf>
    <xf numFmtId="0" fontId="3" fillId="2" borderId="37" xfId="12" applyFill="1" applyBorder="1" applyAlignment="1">
      <alignment horizontal="center" vertical="center" wrapText="1"/>
    </xf>
    <xf numFmtId="0" fontId="42" fillId="33" borderId="32" xfId="12" applyFont="1" applyFill="1" applyBorder="1" applyAlignment="1">
      <alignment horizontal="center" vertical="center" wrapText="1"/>
    </xf>
    <xf numFmtId="0" fontId="42" fillId="33" borderId="1" xfId="12" applyFont="1" applyFill="1" applyBorder="1" applyAlignment="1">
      <alignment horizontal="center" vertical="center" wrapText="1"/>
    </xf>
    <xf numFmtId="0" fontId="42" fillId="33" borderId="31" xfId="12" applyFont="1" applyFill="1" applyBorder="1" applyAlignment="1">
      <alignment horizontal="center" vertical="center" wrapText="1"/>
    </xf>
    <xf numFmtId="0" fontId="3" fillId="6" borderId="17" xfId="12" applyFill="1" applyBorder="1" applyAlignment="1">
      <alignment horizontal="center" vertical="center"/>
    </xf>
    <xf numFmtId="0" fontId="3" fillId="6" borderId="27" xfId="12" applyFill="1" applyBorder="1" applyAlignment="1">
      <alignment horizontal="center" vertical="center"/>
    </xf>
    <xf numFmtId="0" fontId="4" fillId="5" borderId="0" xfId="12" applyFont="1" applyFill="1" applyAlignment="1">
      <alignment horizontal="center" vertical="center"/>
    </xf>
    <xf numFmtId="172" fontId="3" fillId="0" borderId="0" xfId="12" applyNumberFormat="1" applyAlignment="1">
      <alignment horizontal="center" vertical="center"/>
    </xf>
    <xf numFmtId="0" fontId="3" fillId="6" borderId="36" xfId="12" applyFill="1" applyBorder="1" applyAlignment="1">
      <alignment horizontal="center" vertical="center"/>
    </xf>
    <xf numFmtId="0" fontId="3" fillId="6" borderId="16" xfId="12" applyFill="1" applyBorder="1" applyAlignment="1">
      <alignment horizontal="center" vertical="center"/>
    </xf>
    <xf numFmtId="0" fontId="4" fillId="6" borderId="16" xfId="12" applyFont="1" applyFill="1" applyBorder="1" applyAlignment="1">
      <alignment horizontal="center"/>
    </xf>
    <xf numFmtId="0" fontId="4" fillId="6" borderId="35" xfId="12" applyFont="1" applyFill="1" applyBorder="1" applyAlignment="1">
      <alignment horizontal="center"/>
    </xf>
    <xf numFmtId="0" fontId="4" fillId="6" borderId="0" xfId="12" applyFont="1" applyFill="1" applyAlignment="1">
      <alignment horizontal="left" vertical="center"/>
    </xf>
    <xf numFmtId="0" fontId="4" fillId="6" borderId="17" xfId="12" applyFont="1" applyFill="1" applyBorder="1" applyAlignment="1">
      <alignment vertical="center"/>
    </xf>
    <xf numFmtId="0" fontId="4" fillId="6" borderId="0" xfId="12" applyFont="1" applyFill="1" applyAlignment="1">
      <alignment vertical="center"/>
    </xf>
    <xf numFmtId="0" fontId="3" fillId="6" borderId="34" xfId="12" applyFill="1" applyBorder="1" applyAlignment="1">
      <alignment horizontal="center" vertical="center"/>
    </xf>
    <xf numFmtId="0" fontId="3" fillId="6" borderId="15" xfId="12" applyFill="1" applyBorder="1" applyAlignment="1">
      <alignment horizontal="center" vertical="center"/>
    </xf>
    <xf numFmtId="0" fontId="3" fillId="6" borderId="33" xfId="12" applyFill="1" applyBorder="1" applyAlignment="1">
      <alignment horizontal="center" vertical="center"/>
    </xf>
    <xf numFmtId="0" fontId="4" fillId="6" borderId="32" xfId="12" applyFont="1" applyFill="1" applyBorder="1" applyAlignment="1">
      <alignment horizontal="center" vertical="center"/>
    </xf>
    <xf numFmtId="0" fontId="28" fillId="5" borderId="53" xfId="0" applyFont="1" applyFill="1" applyBorder="1" applyAlignment="1">
      <alignment horizontal="center" vertical="center" wrapText="1"/>
    </xf>
    <xf numFmtId="0" fontId="28" fillId="5" borderId="54" xfId="0" applyFont="1" applyFill="1" applyBorder="1" applyAlignment="1">
      <alignment horizontal="center" vertical="center" wrapText="1"/>
    </xf>
    <xf numFmtId="0" fontId="28" fillId="5" borderId="55" xfId="0" applyFont="1" applyFill="1" applyBorder="1" applyAlignment="1">
      <alignment horizontal="center" vertical="center" wrapText="1"/>
    </xf>
    <xf numFmtId="168" fontId="27" fillId="6" borderId="60" xfId="1" applyNumberFormat="1" applyFont="1" applyFill="1" applyBorder="1" applyAlignment="1">
      <alignment horizontal="center" vertical="center" wrapText="1"/>
    </xf>
    <xf numFmtId="10" fontId="27" fillId="6" borderId="45" xfId="2" applyNumberFormat="1" applyFont="1" applyFill="1" applyBorder="1" applyAlignment="1">
      <alignment horizontal="center" vertical="center" wrapText="1"/>
    </xf>
    <xf numFmtId="168" fontId="27" fillId="6" borderId="1" xfId="1" applyNumberFormat="1" applyFont="1" applyFill="1" applyBorder="1" applyAlignment="1">
      <alignment horizontal="center" vertical="center" wrapText="1"/>
    </xf>
    <xf numFmtId="10" fontId="27" fillId="6" borderId="1" xfId="2" applyNumberFormat="1" applyFont="1" applyFill="1" applyBorder="1" applyAlignment="1">
      <alignment horizontal="center" vertical="center" wrapText="1"/>
    </xf>
    <xf numFmtId="10" fontId="28" fillId="4" borderId="59" xfId="2" applyNumberFormat="1" applyFont="1" applyFill="1" applyBorder="1" applyAlignment="1">
      <alignment horizontal="center" vertical="center" wrapText="1"/>
    </xf>
    <xf numFmtId="0" fontId="27" fillId="0" borderId="0" xfId="0" applyFont="1"/>
    <xf numFmtId="10" fontId="28" fillId="6" borderId="17" xfId="2" applyNumberFormat="1" applyFont="1" applyFill="1" applyBorder="1" applyAlignment="1">
      <alignment horizontal="center" vertical="center" wrapText="1"/>
    </xf>
    <xf numFmtId="10" fontId="3" fillId="2" borderId="7" xfId="2" quotePrefix="1" applyNumberFormat="1" applyFont="1" applyFill="1" applyBorder="1" applyAlignment="1">
      <alignment horizontal="center" vertical="center" wrapText="1"/>
    </xf>
    <xf numFmtId="0" fontId="3" fillId="0" borderId="0" xfId="0" applyFont="1"/>
    <xf numFmtId="43" fontId="0" fillId="0" borderId="0" xfId="0" applyNumberFormat="1"/>
    <xf numFmtId="165" fontId="3" fillId="0" borderId="0" xfId="1" applyFont="1" applyAlignment="1">
      <alignment horizontal="justify" vertical="center" wrapText="1"/>
    </xf>
    <xf numFmtId="165" fontId="3" fillId="0" borderId="0" xfId="1" applyFont="1" applyBorder="1" applyAlignment="1">
      <alignment horizontal="justify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0" fontId="29" fillId="2" borderId="0" xfId="0" applyNumberFormat="1" applyFont="1" applyFill="1" applyAlignment="1">
      <alignment vertical="center"/>
    </xf>
    <xf numFmtId="10" fontId="29" fillId="2" borderId="0" xfId="2" applyNumberFormat="1" applyFont="1" applyFill="1" applyAlignment="1">
      <alignment vertical="center"/>
    </xf>
    <xf numFmtId="167" fontId="3" fillId="33" borderId="1" xfId="1" applyNumberFormat="1" applyFont="1" applyFill="1" applyBorder="1" applyAlignment="1">
      <alignment horizontal="center" vertical="center" wrapText="1"/>
    </xf>
    <xf numFmtId="167" fontId="3" fillId="33" borderId="7" xfId="1" applyNumberFormat="1" applyFont="1" applyFill="1" applyBorder="1" applyAlignment="1">
      <alignment horizontal="center" vertical="center" wrapText="1"/>
    </xf>
    <xf numFmtId="173" fontId="47" fillId="2" borderId="0" xfId="2" applyNumberFormat="1" applyFont="1" applyFill="1" applyAlignment="1">
      <alignment vertical="center"/>
    </xf>
    <xf numFmtId="167" fontId="47" fillId="2" borderId="0" xfId="0" applyNumberFormat="1" applyFont="1" applyFill="1" applyAlignment="1">
      <alignment vertical="center"/>
    </xf>
    <xf numFmtId="167" fontId="47" fillId="30" borderId="0" xfId="0" applyNumberFormat="1" applyFont="1" applyFill="1" applyAlignment="1">
      <alignment horizontal="center" vertical="center" wrapText="1"/>
    </xf>
    <xf numFmtId="167" fontId="48" fillId="30" borderId="0" xfId="0" applyNumberFormat="1" applyFont="1" applyFill="1" applyAlignment="1">
      <alignment horizontal="center" vertical="center" wrapText="1"/>
    </xf>
    <xf numFmtId="173" fontId="49" fillId="0" borderId="0" xfId="2" applyNumberFormat="1" applyFont="1" applyFill="1" applyAlignment="1">
      <alignment vertical="center"/>
    </xf>
    <xf numFmtId="167" fontId="49" fillId="0" borderId="0" xfId="0" applyNumberFormat="1" applyFont="1" applyAlignment="1">
      <alignment horizontal="center" vertical="center" wrapText="1"/>
    </xf>
    <xf numFmtId="173" fontId="49" fillId="2" borderId="0" xfId="2" applyNumberFormat="1" applyFont="1" applyFill="1" applyAlignment="1">
      <alignment vertical="center"/>
    </xf>
    <xf numFmtId="167" fontId="49" fillId="30" borderId="0" xfId="0" applyNumberFormat="1" applyFont="1" applyFill="1" applyAlignment="1">
      <alignment horizontal="center" vertical="center" wrapText="1"/>
    </xf>
    <xf numFmtId="0" fontId="43" fillId="34" borderId="4" xfId="0" applyFont="1" applyFill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167" fontId="43" fillId="34" borderId="8" xfId="0" applyNumberFormat="1" applyFont="1" applyFill="1" applyBorder="1" applyAlignment="1">
      <alignment horizontal="center" vertical="center" wrapText="1"/>
    </xf>
    <xf numFmtId="167" fontId="3" fillId="2" borderId="7" xfId="1" applyNumberFormat="1" applyFont="1" applyFill="1" applyBorder="1" applyAlignment="1">
      <alignment vertical="center" wrapText="1"/>
    </xf>
    <xf numFmtId="167" fontId="4" fillId="3" borderId="7" xfId="0" applyNumberFormat="1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39" borderId="7" xfId="0" applyFont="1" applyFill="1" applyBorder="1" applyAlignment="1">
      <alignment horizontal="left" vertical="center" wrapText="1"/>
    </xf>
    <xf numFmtId="0" fontId="43" fillId="34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169" fontId="3" fillId="0" borderId="1" xfId="7" applyFont="1" applyFill="1" applyBorder="1" applyAlignment="1" applyProtection="1">
      <alignment horizontal="right" vertical="center" wrapText="1"/>
      <protection locked="0"/>
    </xf>
    <xf numFmtId="165" fontId="3" fillId="0" borderId="1" xfId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right" vertical="center" wrapText="1"/>
    </xf>
    <xf numFmtId="167" fontId="4" fillId="33" borderId="1" xfId="0" applyNumberFormat="1" applyFont="1" applyFill="1" applyBorder="1" applyAlignment="1">
      <alignment horizontal="center" vertical="center" wrapText="1"/>
    </xf>
    <xf numFmtId="0" fontId="43" fillId="34" borderId="1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center" wrapText="1"/>
    </xf>
    <xf numFmtId="2" fontId="4" fillId="0" borderId="1" xfId="0" applyNumberFormat="1" applyFont="1" applyBorder="1"/>
    <xf numFmtId="165" fontId="3" fillId="0" borderId="1" xfId="1" applyFont="1" applyFill="1" applyBorder="1" applyAlignment="1">
      <alignment vertical="center" wrapText="1"/>
    </xf>
    <xf numFmtId="4" fontId="3" fillId="0" borderId="1" xfId="1" applyNumberFormat="1" applyFont="1" applyFill="1" applyBorder="1" applyAlignment="1">
      <alignment vertical="center" wrapText="1"/>
    </xf>
    <xf numFmtId="180" fontId="3" fillId="0" borderId="1" xfId="124" applyNumberFormat="1" applyFont="1" applyFill="1" applyBorder="1" applyAlignment="1">
      <alignment horizontal="center" vertical="center" wrapText="1"/>
    </xf>
    <xf numFmtId="9" fontId="3" fillId="0" borderId="1" xfId="2" applyFont="1" applyFill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167" fontId="3" fillId="0" borderId="7" xfId="1" applyNumberFormat="1" applyFont="1" applyFill="1" applyBorder="1" applyAlignment="1">
      <alignment vertical="center" wrapText="1"/>
    </xf>
    <xf numFmtId="14" fontId="29" fillId="2" borderId="1" xfId="0" applyNumberFormat="1" applyFont="1" applyFill="1" applyBorder="1" applyAlignment="1">
      <alignment horizontal="center" vertical="center" wrapText="1"/>
    </xf>
    <xf numFmtId="10" fontId="29" fillId="2" borderId="7" xfId="2" quotePrefix="1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0" fontId="29" fillId="2" borderId="7" xfId="2" applyNumberFormat="1" applyFont="1" applyFill="1" applyBorder="1" applyAlignment="1">
      <alignment horizontal="center" vertical="center" wrapText="1"/>
    </xf>
    <xf numFmtId="0" fontId="43" fillId="34" borderId="4" xfId="0" applyFont="1" applyFill="1" applyBorder="1" applyAlignment="1">
      <alignment horizontal="center" vertical="center" wrapText="1"/>
    </xf>
    <xf numFmtId="0" fontId="43" fillId="34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3" fillId="34" borderId="5" xfId="0" applyFont="1" applyFill="1" applyBorder="1" applyAlignment="1">
      <alignment horizontal="center" vertical="center" wrapText="1"/>
    </xf>
    <xf numFmtId="0" fontId="43" fillId="3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6" fillId="2" borderId="1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8" fillId="38" borderId="66" xfId="0" applyFont="1" applyFill="1" applyBorder="1" applyAlignment="1">
      <alignment horizontal="left" vertical="center" wrapText="1"/>
    </xf>
    <xf numFmtId="0" fontId="28" fillId="38" borderId="6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0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0" fontId="28" fillId="38" borderId="64" xfId="0" applyFont="1" applyFill="1" applyBorder="1" applyAlignment="1">
      <alignment horizontal="left" vertical="center" wrapText="1"/>
    </xf>
    <xf numFmtId="0" fontId="28" fillId="38" borderId="65" xfId="0" applyFont="1" applyFill="1" applyBorder="1" applyAlignment="1">
      <alignment horizontal="left" vertical="center" wrapText="1"/>
    </xf>
    <xf numFmtId="167" fontId="3" fillId="2" borderId="1" xfId="1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6" xfId="0" applyFont="1" applyFill="1" applyBorder="1" applyAlignment="1">
      <alignment horizontal="justify" vertical="center" wrapText="1"/>
    </xf>
    <xf numFmtId="0" fontId="7" fillId="2" borderId="9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43" fontId="30" fillId="2" borderId="9" xfId="0" applyNumberFormat="1" applyFont="1" applyFill="1" applyBorder="1" applyAlignment="1">
      <alignment horizontal="center" vertical="center" wrapText="1"/>
    </xf>
    <xf numFmtId="43" fontId="30" fillId="2" borderId="0" xfId="0" applyNumberFormat="1" applyFont="1" applyFill="1" applyAlignment="1">
      <alignment horizontal="center" vertical="center" wrapText="1"/>
    </xf>
    <xf numFmtId="0" fontId="41" fillId="2" borderId="0" xfId="0" applyFont="1" applyFill="1" applyAlignment="1">
      <alignment horizontal="center" vertical="center" wrapText="1"/>
    </xf>
    <xf numFmtId="0" fontId="53" fillId="2" borderId="4" xfId="0" applyFont="1" applyFill="1" applyBorder="1" applyAlignment="1">
      <alignment horizontal="justify" vertical="center" wrapText="1"/>
    </xf>
    <xf numFmtId="0" fontId="53" fillId="2" borderId="6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0" fontId="3" fillId="2" borderId="9" xfId="2" applyNumberFormat="1" applyFont="1" applyFill="1" applyBorder="1" applyAlignment="1">
      <alignment horizontal="center" vertical="center"/>
    </xf>
    <xf numFmtId="10" fontId="3" fillId="2" borderId="0" xfId="2" applyNumberFormat="1" applyFont="1" applyFill="1" applyBorder="1" applyAlignment="1">
      <alignment horizontal="center" vertical="center"/>
    </xf>
    <xf numFmtId="0" fontId="5" fillId="33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52" fillId="2" borderId="0" xfId="0" applyFont="1" applyFill="1" applyAlignment="1">
      <alignment horizontal="center" vertical="center"/>
    </xf>
    <xf numFmtId="167" fontId="3" fillId="0" borderId="69" xfId="1" applyNumberFormat="1" applyFont="1" applyFill="1" applyBorder="1" applyAlignment="1">
      <alignment horizontal="right" vertical="center" wrapText="1"/>
    </xf>
    <xf numFmtId="167" fontId="3" fillId="0" borderId="71" xfId="1" applyNumberFormat="1" applyFont="1" applyFill="1" applyBorder="1" applyAlignment="1">
      <alignment horizontal="right" vertical="center" wrapText="1"/>
    </xf>
    <xf numFmtId="167" fontId="3" fillId="0" borderId="10" xfId="1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6" borderId="27" xfId="12" applyFill="1" applyBorder="1" applyAlignment="1">
      <alignment horizontal="justify" vertical="center" wrapText="1"/>
    </xf>
    <xf numFmtId="0" fontId="3" fillId="6" borderId="0" xfId="12" applyFill="1" applyAlignment="1">
      <alignment horizontal="justify" vertical="center" wrapText="1"/>
    </xf>
    <xf numFmtId="0" fontId="3" fillId="6" borderId="17" xfId="12" applyFill="1" applyBorder="1" applyAlignment="1">
      <alignment horizontal="justify" vertical="center" wrapText="1"/>
    </xf>
    <xf numFmtId="0" fontId="42" fillId="33" borderId="28" xfId="12" applyFont="1" applyFill="1" applyBorder="1" applyAlignment="1">
      <alignment horizontal="center" vertical="center" wrapText="1"/>
    </xf>
    <xf numFmtId="0" fontId="42" fillId="33" borderId="29" xfId="12" applyFont="1" applyFill="1" applyBorder="1" applyAlignment="1">
      <alignment horizontal="center" vertical="center" wrapText="1"/>
    </xf>
    <xf numFmtId="0" fontId="42" fillId="33" borderId="30" xfId="12" applyFont="1" applyFill="1" applyBorder="1" applyAlignment="1">
      <alignment horizontal="center" vertical="center" wrapText="1"/>
    </xf>
    <xf numFmtId="0" fontId="4" fillId="6" borderId="27" xfId="12" applyFont="1" applyFill="1" applyBorder="1" applyAlignment="1">
      <alignment horizontal="center" vertical="center"/>
    </xf>
    <xf numFmtId="0" fontId="4" fillId="6" borderId="0" xfId="12" applyFont="1" applyFill="1" applyAlignment="1">
      <alignment horizontal="center" vertical="center"/>
    </xf>
    <xf numFmtId="0" fontId="4" fillId="6" borderId="17" xfId="12" applyFont="1" applyFill="1" applyBorder="1" applyAlignment="1">
      <alignment horizontal="center" vertical="center"/>
    </xf>
    <xf numFmtId="0" fontId="4" fillId="6" borderId="31" xfId="12" applyFont="1" applyFill="1" applyBorder="1" applyAlignment="1">
      <alignment horizontal="center" vertical="center"/>
    </xf>
    <xf numFmtId="0" fontId="4" fillId="6" borderId="1" xfId="12" applyFont="1" applyFill="1" applyBorder="1" applyAlignment="1">
      <alignment horizontal="center" vertical="center"/>
    </xf>
    <xf numFmtId="0" fontId="4" fillId="6" borderId="27" xfId="12" applyFont="1" applyFill="1" applyBorder="1" applyAlignment="1">
      <alignment horizontal="center" vertical="center" wrapText="1"/>
    </xf>
    <xf numFmtId="0" fontId="4" fillId="7" borderId="0" xfId="12" applyFont="1" applyFill="1" applyAlignment="1">
      <alignment horizontal="center" vertical="center" wrapText="1"/>
    </xf>
    <xf numFmtId="0" fontId="7" fillId="6" borderId="0" xfId="12" applyFont="1" applyFill="1" applyAlignment="1">
      <alignment horizontal="center" vertical="center"/>
    </xf>
    <xf numFmtId="0" fontId="43" fillId="34" borderId="31" xfId="12" applyFont="1" applyFill="1" applyBorder="1" applyAlignment="1">
      <alignment horizontal="center" vertical="center"/>
    </xf>
    <xf numFmtId="0" fontId="43" fillId="34" borderId="1" xfId="12" applyFont="1" applyFill="1" applyBorder="1" applyAlignment="1">
      <alignment horizontal="center" vertical="center"/>
    </xf>
    <xf numFmtId="0" fontId="43" fillId="34" borderId="32" xfId="12" applyFont="1" applyFill="1" applyBorder="1" applyAlignment="1">
      <alignment horizontal="center" vertical="center"/>
    </xf>
    <xf numFmtId="0" fontId="43" fillId="34" borderId="38" xfId="12" applyFont="1" applyFill="1" applyBorder="1" applyAlignment="1">
      <alignment horizontal="center" vertical="center" wrapText="1"/>
    </xf>
    <xf numFmtId="0" fontId="43" fillId="34" borderId="42" xfId="12" applyFont="1" applyFill="1" applyBorder="1" applyAlignment="1">
      <alignment horizontal="center" vertical="center" wrapText="1"/>
    </xf>
    <xf numFmtId="0" fontId="43" fillId="34" borderId="14" xfId="12" applyFont="1" applyFill="1" applyBorder="1" applyAlignment="1">
      <alignment horizontal="center" vertical="center" wrapText="1"/>
    </xf>
    <xf numFmtId="0" fontId="32" fillId="6" borderId="33" xfId="12" applyFont="1" applyFill="1" applyBorder="1" applyAlignment="1">
      <alignment horizontal="center" vertical="center"/>
    </xf>
    <xf numFmtId="0" fontId="32" fillId="6" borderId="15" xfId="12" applyFont="1" applyFill="1" applyBorder="1" applyAlignment="1">
      <alignment horizontal="center" vertical="center"/>
    </xf>
    <xf numFmtId="0" fontId="32" fillId="6" borderId="34" xfId="12" applyFont="1" applyFill="1" applyBorder="1" applyAlignment="1">
      <alignment horizontal="center" vertical="center"/>
    </xf>
    <xf numFmtId="0" fontId="3" fillId="6" borderId="27" xfId="12" applyFill="1" applyBorder="1" applyAlignment="1">
      <alignment horizontal="center" vertical="center"/>
    </xf>
    <xf numFmtId="0" fontId="3" fillId="6" borderId="0" xfId="12" applyFill="1" applyAlignment="1">
      <alignment horizontal="center" vertical="center"/>
    </xf>
    <xf numFmtId="0" fontId="3" fillId="6" borderId="17" xfId="12" applyFill="1" applyBorder="1" applyAlignment="1">
      <alignment horizontal="center" vertical="center"/>
    </xf>
    <xf numFmtId="0" fontId="3" fillId="6" borderId="39" xfId="12" applyFill="1" applyBorder="1" applyAlignment="1">
      <alignment horizontal="center"/>
    </xf>
    <xf numFmtId="0" fontId="3" fillId="6" borderId="40" xfId="12" applyFill="1" applyBorder="1" applyAlignment="1">
      <alignment horizontal="center"/>
    </xf>
    <xf numFmtId="0" fontId="3" fillId="6" borderId="41" xfId="12" applyFill="1" applyBorder="1" applyAlignment="1">
      <alignment horizontal="center"/>
    </xf>
    <xf numFmtId="0" fontId="3" fillId="6" borderId="27" xfId="12" applyFill="1" applyBorder="1" applyAlignment="1">
      <alignment horizontal="right" vertical="center"/>
    </xf>
    <xf numFmtId="0" fontId="3" fillId="6" borderId="0" xfId="12" applyFill="1" applyAlignment="1">
      <alignment horizontal="right" vertical="center"/>
    </xf>
    <xf numFmtId="0" fontId="3" fillId="6" borderId="17" xfId="12" applyFill="1" applyBorder="1" applyAlignment="1">
      <alignment horizontal="right" vertical="center"/>
    </xf>
    <xf numFmtId="0" fontId="4" fillId="6" borderId="27" xfId="12" applyFont="1" applyFill="1" applyBorder="1" applyAlignment="1">
      <alignment horizontal="center"/>
    </xf>
    <xf numFmtId="0" fontId="4" fillId="6" borderId="0" xfId="12" applyFont="1" applyFill="1" applyAlignment="1">
      <alignment horizontal="center"/>
    </xf>
    <xf numFmtId="0" fontId="4" fillId="6" borderId="17" xfId="12" applyFont="1" applyFill="1" applyBorder="1" applyAlignment="1">
      <alignment horizontal="center"/>
    </xf>
    <xf numFmtId="0" fontId="3" fillId="6" borderId="27" xfId="12" applyFill="1" applyBorder="1" applyAlignment="1">
      <alignment horizontal="center"/>
    </xf>
    <xf numFmtId="0" fontId="3" fillId="6" borderId="0" xfId="12" applyFill="1" applyAlignment="1">
      <alignment horizontal="center"/>
    </xf>
    <xf numFmtId="0" fontId="3" fillId="6" borderId="17" xfId="12" applyFill="1" applyBorder="1" applyAlignment="1">
      <alignment horizontal="center"/>
    </xf>
    <xf numFmtId="0" fontId="31" fillId="2" borderId="1" xfId="0" applyFont="1" applyFill="1" applyBorder="1" applyAlignment="1">
      <alignment horizontal="center" vertical="center" wrapText="1"/>
    </xf>
    <xf numFmtId="10" fontId="3" fillId="2" borderId="0" xfId="2" applyNumberFormat="1" applyFont="1" applyFill="1" applyAlignment="1">
      <alignment horizontal="center" vertical="center"/>
    </xf>
    <xf numFmtId="0" fontId="5" fillId="30" borderId="1" xfId="0" applyFont="1" applyFill="1" applyBorder="1" applyAlignment="1">
      <alignment horizontal="center" vertical="center" wrapText="1"/>
    </xf>
    <xf numFmtId="0" fontId="4" fillId="4" borderId="49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28" fillId="6" borderId="27" xfId="123" applyFont="1" applyFill="1" applyBorder="1" applyAlignment="1">
      <alignment horizontal="center" vertical="center"/>
    </xf>
    <xf numFmtId="0" fontId="28" fillId="6" borderId="0" xfId="123" applyFont="1" applyFill="1" applyAlignment="1">
      <alignment horizontal="center" vertical="center"/>
    </xf>
    <xf numFmtId="0" fontId="28" fillId="6" borderId="17" xfId="123" applyFont="1" applyFill="1" applyBorder="1" applyAlignment="1">
      <alignment horizontal="center" vertical="center"/>
    </xf>
    <xf numFmtId="0" fontId="28" fillId="6" borderId="27" xfId="0" applyFont="1" applyFill="1" applyBorder="1" applyAlignment="1">
      <alignment horizontal="center" vertical="center"/>
    </xf>
    <xf numFmtId="0" fontId="28" fillId="6" borderId="0" xfId="0" applyFont="1" applyFill="1" applyAlignment="1">
      <alignment horizontal="center" vertical="center"/>
    </xf>
    <xf numFmtId="0" fontId="28" fillId="6" borderId="17" xfId="0" applyFont="1" applyFill="1" applyBorder="1" applyAlignment="1">
      <alignment horizontal="center" vertical="center"/>
    </xf>
    <xf numFmtId="0" fontId="28" fillId="4" borderId="56" xfId="116" applyFont="1" applyFill="1" applyBorder="1" applyAlignment="1">
      <alignment horizontal="center" vertical="center" wrapText="1"/>
    </xf>
    <xf numFmtId="0" fontId="28" fillId="4" borderId="57" xfId="116" applyFont="1" applyFill="1" applyBorder="1" applyAlignment="1">
      <alignment horizontal="center" vertical="center" wrapText="1"/>
    </xf>
    <xf numFmtId="0" fontId="28" fillId="4" borderId="58" xfId="116" applyFont="1" applyFill="1" applyBorder="1" applyAlignment="1">
      <alignment horizontal="center" vertical="center" wrapText="1"/>
    </xf>
    <xf numFmtId="0" fontId="3" fillId="2" borderId="0" xfId="3" applyFill="1" applyAlignment="1">
      <alignment horizontal="justify" vertical="center" wrapText="1"/>
    </xf>
    <xf numFmtId="0" fontId="3" fillId="2" borderId="46" xfId="3" applyFill="1" applyBorder="1" applyAlignment="1">
      <alignment horizontal="justify" vertical="center" wrapText="1"/>
    </xf>
    <xf numFmtId="0" fontId="3" fillId="2" borderId="0" xfId="3" quotePrefix="1" applyFill="1"/>
    <xf numFmtId="0" fontId="3" fillId="2" borderId="0" xfId="3" applyFill="1"/>
    <xf numFmtId="0" fontId="4" fillId="2" borderId="0" xfId="3" applyFont="1" applyFill="1" applyAlignment="1">
      <alignment horizontal="center"/>
    </xf>
    <xf numFmtId="0" fontId="4" fillId="2" borderId="0" xfId="3" applyFont="1" applyFill="1" applyAlignment="1">
      <alignment horizontal="center" vertical="center" textRotation="90" wrapText="1"/>
    </xf>
    <xf numFmtId="0" fontId="4" fillId="2" borderId="16" xfId="3" applyFont="1" applyFill="1" applyBorder="1" applyAlignment="1">
      <alignment horizontal="center" vertical="center" textRotation="90" wrapText="1"/>
    </xf>
    <xf numFmtId="0" fontId="3" fillId="2" borderId="0" xfId="3" applyFill="1" applyAlignment="1">
      <alignment horizontal="justify" wrapText="1"/>
    </xf>
    <xf numFmtId="0" fontId="3" fillId="2" borderId="46" xfId="3" applyFill="1" applyBorder="1" applyAlignment="1">
      <alignment horizontal="justify" wrapText="1"/>
    </xf>
    <xf numFmtId="0" fontId="4" fillId="6" borderId="27" xfId="12" applyFont="1" applyFill="1" applyBorder="1" applyAlignment="1">
      <alignment horizontal="right" vertical="center"/>
    </xf>
    <xf numFmtId="0" fontId="4" fillId="6" borderId="0" xfId="12" applyFont="1" applyFill="1" applyAlignment="1">
      <alignment horizontal="right" vertical="center"/>
    </xf>
    <xf numFmtId="0" fontId="4" fillId="4" borderId="27" xfId="12" applyFont="1" applyFill="1" applyBorder="1" applyAlignment="1">
      <alignment horizontal="center" vertical="center"/>
    </xf>
    <xf numFmtId="0" fontId="4" fillId="4" borderId="0" xfId="12" applyFont="1" applyFill="1" applyAlignment="1">
      <alignment horizontal="center" vertical="center"/>
    </xf>
    <xf numFmtId="0" fontId="4" fillId="32" borderId="1" xfId="12" applyFont="1" applyFill="1" applyBorder="1" applyAlignment="1">
      <alignment horizontal="center" vertical="center"/>
    </xf>
    <xf numFmtId="2" fontId="4" fillId="0" borderId="0" xfId="6" applyNumberFormat="1" applyFont="1" applyBorder="1" applyAlignment="1">
      <alignment horizontal="center" vertical="center"/>
    </xf>
    <xf numFmtId="0" fontId="3" fillId="0" borderId="0" xfId="12" applyAlignment="1">
      <alignment horizontal="center" vertical="center"/>
    </xf>
    <xf numFmtId="0" fontId="4" fillId="4" borderId="52" xfId="12" applyFont="1" applyFill="1" applyBorder="1" applyAlignment="1">
      <alignment horizontal="center" vertical="center"/>
    </xf>
    <xf numFmtId="0" fontId="4" fillId="4" borderId="42" xfId="12" applyFont="1" applyFill="1" applyBorder="1" applyAlignment="1">
      <alignment horizontal="center" vertical="center"/>
    </xf>
    <xf numFmtId="0" fontId="4" fillId="4" borderId="14" xfId="12" applyFont="1" applyFill="1" applyBorder="1" applyAlignment="1">
      <alignment horizontal="center" vertical="center"/>
    </xf>
    <xf numFmtId="165" fontId="4" fillId="0" borderId="0" xfId="1" applyFont="1" applyBorder="1" applyAlignment="1">
      <alignment horizontal="center" vertical="center"/>
    </xf>
    <xf numFmtId="0" fontId="37" fillId="0" borderId="0" xfId="12" applyFont="1" applyAlignment="1">
      <alignment horizontal="left" vertical="center" wrapText="1"/>
    </xf>
    <xf numFmtId="0" fontId="37" fillId="0" borderId="0" xfId="12" applyFont="1" applyAlignment="1">
      <alignment horizontal="left" vertical="center"/>
    </xf>
    <xf numFmtId="167" fontId="4" fillId="0" borderId="0" xfId="12" applyNumberFormat="1" applyFont="1" applyAlignment="1">
      <alignment horizontal="center" vertical="center" wrapText="1"/>
    </xf>
    <xf numFmtId="0" fontId="4" fillId="0" borderId="0" xfId="12" applyFont="1" applyAlignment="1">
      <alignment horizontal="center" vertical="center"/>
    </xf>
    <xf numFmtId="0" fontId="3" fillId="0" borderId="0" xfId="12" applyAlignment="1">
      <alignment horizontal="left" vertical="center"/>
    </xf>
    <xf numFmtId="0" fontId="29" fillId="2" borderId="1" xfId="0" applyFont="1" applyFill="1" applyBorder="1" applyAlignment="1">
      <alignment horizontal="center" vertical="center" wrapText="1"/>
    </xf>
  </cellXfs>
  <cellStyles count="125">
    <cellStyle name="20% - Ênfase1 2" xfId="14" xr:uid="{00000000-0005-0000-0000-000000000000}"/>
    <cellStyle name="20% - Ênfase1 2 2" xfId="15" xr:uid="{00000000-0005-0000-0000-000001000000}"/>
    <cellStyle name="20% - Ênfase2 2" xfId="16" xr:uid="{00000000-0005-0000-0000-000002000000}"/>
    <cellStyle name="20% - Ênfase2 2 2" xfId="17" xr:uid="{00000000-0005-0000-0000-000003000000}"/>
    <cellStyle name="20% - Ênfase3 2" xfId="18" xr:uid="{00000000-0005-0000-0000-000004000000}"/>
    <cellStyle name="20% - Ênfase3 2 2" xfId="19" xr:uid="{00000000-0005-0000-0000-000005000000}"/>
    <cellStyle name="20% - Ênfase4 2" xfId="20" xr:uid="{00000000-0005-0000-0000-000006000000}"/>
    <cellStyle name="20% - Ênfase4 2 2" xfId="21" xr:uid="{00000000-0005-0000-0000-000007000000}"/>
    <cellStyle name="20% - Ênfase5 2" xfId="22" xr:uid="{00000000-0005-0000-0000-000008000000}"/>
    <cellStyle name="20% - Ênfase5 2 2" xfId="23" xr:uid="{00000000-0005-0000-0000-000009000000}"/>
    <cellStyle name="20% - Ênfase6 2" xfId="24" xr:uid="{00000000-0005-0000-0000-00000A000000}"/>
    <cellStyle name="20% - Ênfase6 2 2" xfId="25" xr:uid="{00000000-0005-0000-0000-00000B000000}"/>
    <cellStyle name="40% - Ênfase1 2" xfId="26" xr:uid="{00000000-0005-0000-0000-00000C000000}"/>
    <cellStyle name="40% - Ênfase1 2 2" xfId="27" xr:uid="{00000000-0005-0000-0000-00000D000000}"/>
    <cellStyle name="40% - Ênfase2 2" xfId="28" xr:uid="{00000000-0005-0000-0000-00000E000000}"/>
    <cellStyle name="40% - Ênfase2 2 2" xfId="29" xr:uid="{00000000-0005-0000-0000-00000F000000}"/>
    <cellStyle name="40% - Ênfase3 2" xfId="30" xr:uid="{00000000-0005-0000-0000-000010000000}"/>
    <cellStyle name="40% - Ênfase3 2 2" xfId="31" xr:uid="{00000000-0005-0000-0000-000011000000}"/>
    <cellStyle name="40% - Ênfase4 2" xfId="32" xr:uid="{00000000-0005-0000-0000-000012000000}"/>
    <cellStyle name="40% - Ênfase4 2 2" xfId="33" xr:uid="{00000000-0005-0000-0000-000013000000}"/>
    <cellStyle name="40% - Ênfase5 2" xfId="34" xr:uid="{00000000-0005-0000-0000-000014000000}"/>
    <cellStyle name="40% - Ênfase5 2 2" xfId="35" xr:uid="{00000000-0005-0000-0000-000015000000}"/>
    <cellStyle name="40% - Ênfase6 2" xfId="36" xr:uid="{00000000-0005-0000-0000-000016000000}"/>
    <cellStyle name="40% - Ênfase6 2 2" xfId="37" xr:uid="{00000000-0005-0000-0000-000017000000}"/>
    <cellStyle name="60% - Ênfase1 2" xfId="38" xr:uid="{00000000-0005-0000-0000-000018000000}"/>
    <cellStyle name="60% - Ênfase2 2" xfId="39" xr:uid="{00000000-0005-0000-0000-000019000000}"/>
    <cellStyle name="60% - Ênfase3 2" xfId="40" xr:uid="{00000000-0005-0000-0000-00001A000000}"/>
    <cellStyle name="60% - Ênfase4 2" xfId="41" xr:uid="{00000000-0005-0000-0000-00001B000000}"/>
    <cellStyle name="60% - Ênfase5 2" xfId="42" xr:uid="{00000000-0005-0000-0000-00001C000000}"/>
    <cellStyle name="60% - Ênfase6 2" xfId="43" xr:uid="{00000000-0005-0000-0000-00001D000000}"/>
    <cellStyle name="Bom 2" xfId="44" xr:uid="{00000000-0005-0000-0000-00001E000000}"/>
    <cellStyle name="Cálculo 2" xfId="45" xr:uid="{00000000-0005-0000-0000-00001F000000}"/>
    <cellStyle name="Célula de Verificação 2" xfId="46" xr:uid="{00000000-0005-0000-0000-000020000000}"/>
    <cellStyle name="Célula Vinculada 2" xfId="47" xr:uid="{00000000-0005-0000-0000-000021000000}"/>
    <cellStyle name="Ênfase1 2" xfId="48" xr:uid="{00000000-0005-0000-0000-000022000000}"/>
    <cellStyle name="Ênfase2 2" xfId="49" xr:uid="{00000000-0005-0000-0000-000023000000}"/>
    <cellStyle name="Ênfase3 2" xfId="50" xr:uid="{00000000-0005-0000-0000-000024000000}"/>
    <cellStyle name="Ênfase4 2" xfId="51" xr:uid="{00000000-0005-0000-0000-000025000000}"/>
    <cellStyle name="Ênfase5 2" xfId="52" xr:uid="{00000000-0005-0000-0000-000026000000}"/>
    <cellStyle name="Ênfase6 2" xfId="53" xr:uid="{00000000-0005-0000-0000-000027000000}"/>
    <cellStyle name="Entrada 2" xfId="54" xr:uid="{00000000-0005-0000-0000-000028000000}"/>
    <cellStyle name="Incorreto 2" xfId="55" xr:uid="{00000000-0005-0000-0000-000029000000}"/>
    <cellStyle name="Moeda" xfId="1" builtinId="4"/>
    <cellStyle name="Moeda 10" xfId="57" xr:uid="{00000000-0005-0000-0000-00002B000000}"/>
    <cellStyle name="Moeda 11" xfId="58" xr:uid="{00000000-0005-0000-0000-00002C000000}"/>
    <cellStyle name="Moeda 12" xfId="59" xr:uid="{00000000-0005-0000-0000-00002D000000}"/>
    <cellStyle name="Moeda 13" xfId="60" xr:uid="{00000000-0005-0000-0000-00002E000000}"/>
    <cellStyle name="Moeda 14" xfId="61" xr:uid="{00000000-0005-0000-0000-00002F000000}"/>
    <cellStyle name="Moeda 15" xfId="62" xr:uid="{00000000-0005-0000-0000-000030000000}"/>
    <cellStyle name="Moeda 16" xfId="63" xr:uid="{00000000-0005-0000-0000-000031000000}"/>
    <cellStyle name="Moeda 17" xfId="64" xr:uid="{00000000-0005-0000-0000-000032000000}"/>
    <cellStyle name="Moeda 18" xfId="65" xr:uid="{00000000-0005-0000-0000-000033000000}"/>
    <cellStyle name="Moeda 18 2" xfId="66" xr:uid="{00000000-0005-0000-0000-000034000000}"/>
    <cellStyle name="Moeda 19" xfId="67" xr:uid="{00000000-0005-0000-0000-000035000000}"/>
    <cellStyle name="Moeda 19 2" xfId="68" xr:uid="{00000000-0005-0000-0000-000036000000}"/>
    <cellStyle name="Moeda 2" xfId="5" xr:uid="{00000000-0005-0000-0000-000037000000}"/>
    <cellStyle name="Moeda 2 2" xfId="6" xr:uid="{00000000-0005-0000-0000-000038000000}"/>
    <cellStyle name="Moeda 2 2 2" xfId="70" xr:uid="{00000000-0005-0000-0000-000039000000}"/>
    <cellStyle name="Moeda 2 3" xfId="71" xr:uid="{00000000-0005-0000-0000-00003A000000}"/>
    <cellStyle name="Moeda 2 4" xfId="69" xr:uid="{00000000-0005-0000-0000-00003B000000}"/>
    <cellStyle name="Moeda 20" xfId="72" xr:uid="{00000000-0005-0000-0000-00003C000000}"/>
    <cellStyle name="Moeda 21" xfId="73" xr:uid="{00000000-0005-0000-0000-00003D000000}"/>
    <cellStyle name="Moeda 22" xfId="74" xr:uid="{00000000-0005-0000-0000-00003E000000}"/>
    <cellStyle name="Moeda 23" xfId="75" xr:uid="{00000000-0005-0000-0000-00003F000000}"/>
    <cellStyle name="Moeda 24" xfId="76" xr:uid="{00000000-0005-0000-0000-000040000000}"/>
    <cellStyle name="Moeda 25" xfId="77" xr:uid="{00000000-0005-0000-0000-000041000000}"/>
    <cellStyle name="Moeda 26" xfId="56" xr:uid="{00000000-0005-0000-0000-000042000000}"/>
    <cellStyle name="Moeda 27" xfId="120" xr:uid="{00000000-0005-0000-0000-000043000000}"/>
    <cellStyle name="Moeda 3" xfId="78" xr:uid="{00000000-0005-0000-0000-000044000000}"/>
    <cellStyle name="Moeda 3 2" xfId="122" xr:uid="{00000000-0005-0000-0000-000045000000}"/>
    <cellStyle name="Moeda 4" xfId="79" xr:uid="{00000000-0005-0000-0000-000046000000}"/>
    <cellStyle name="Moeda 4 2" xfId="113" xr:uid="{00000000-0005-0000-0000-000047000000}"/>
    <cellStyle name="Moeda 5" xfId="80" xr:uid="{00000000-0005-0000-0000-000048000000}"/>
    <cellStyle name="Moeda 6" xfId="81" xr:uid="{00000000-0005-0000-0000-000049000000}"/>
    <cellStyle name="Moeda 7" xfId="82" xr:uid="{00000000-0005-0000-0000-00004A000000}"/>
    <cellStyle name="Moeda 8" xfId="83" xr:uid="{00000000-0005-0000-0000-00004B000000}"/>
    <cellStyle name="Moeda 9" xfId="84" xr:uid="{00000000-0005-0000-0000-00004C000000}"/>
    <cellStyle name="Neutra 2" xfId="85" xr:uid="{00000000-0005-0000-0000-00004D000000}"/>
    <cellStyle name="Normal" xfId="0" builtinId="0"/>
    <cellStyle name="Normal 2" xfId="3" xr:uid="{00000000-0005-0000-0000-00004F000000}"/>
    <cellStyle name="Normal 2 2" xfId="12" xr:uid="{00000000-0005-0000-0000-000050000000}"/>
    <cellStyle name="Normal 2 2 2" xfId="88" xr:uid="{00000000-0005-0000-0000-000051000000}"/>
    <cellStyle name="Normal 2 2 3" xfId="87" xr:uid="{00000000-0005-0000-0000-000052000000}"/>
    <cellStyle name="Normal 2 3" xfId="89" xr:uid="{00000000-0005-0000-0000-000053000000}"/>
    <cellStyle name="Normal 2 4" xfId="90" xr:uid="{00000000-0005-0000-0000-000054000000}"/>
    <cellStyle name="Normal 2 5" xfId="86" xr:uid="{00000000-0005-0000-0000-000055000000}"/>
    <cellStyle name="Normal 3" xfId="4" xr:uid="{00000000-0005-0000-0000-000056000000}"/>
    <cellStyle name="Normal 3 2" xfId="92" xr:uid="{00000000-0005-0000-0000-000057000000}"/>
    <cellStyle name="Normal 3 3" xfId="93" xr:uid="{00000000-0005-0000-0000-000058000000}"/>
    <cellStyle name="Normal 3 3 2" xfId="94" xr:uid="{00000000-0005-0000-0000-000059000000}"/>
    <cellStyle name="Normal 3 4" xfId="95" xr:uid="{00000000-0005-0000-0000-00005A000000}"/>
    <cellStyle name="Normal 3 4 2" xfId="96" xr:uid="{00000000-0005-0000-0000-00005B000000}"/>
    <cellStyle name="Normal 3 5" xfId="91" xr:uid="{00000000-0005-0000-0000-00005C000000}"/>
    <cellStyle name="Normal 4" xfId="97" xr:uid="{00000000-0005-0000-0000-00005D000000}"/>
    <cellStyle name="Normal 5" xfId="98" xr:uid="{00000000-0005-0000-0000-00005E000000}"/>
    <cellStyle name="Normal 5 2" xfId="119" xr:uid="{00000000-0005-0000-0000-00005F000000}"/>
    <cellStyle name="Normal 6" xfId="99" xr:uid="{00000000-0005-0000-0000-000060000000}"/>
    <cellStyle name="Normal 6 2" xfId="123" xr:uid="{00000000-0005-0000-0000-000061000000}"/>
    <cellStyle name="Normal 7" xfId="13" xr:uid="{00000000-0005-0000-0000-000062000000}"/>
    <cellStyle name="Normal 7 2" xfId="112" xr:uid="{00000000-0005-0000-0000-000063000000}"/>
    <cellStyle name="Normal 8" xfId="118" xr:uid="{00000000-0005-0000-0000-000064000000}"/>
    <cellStyle name="Normal_TSE (DF) PRE 051-2011 - Condução de Veículo (13.07.2011)" xfId="115" xr:uid="{00000000-0005-0000-0000-000065000000}"/>
    <cellStyle name="Normal_TSE (DF) PRE 31.2011 - Copa (06.05.2011)" xfId="116" xr:uid="{00000000-0005-0000-0000-000066000000}"/>
    <cellStyle name="Nota 2" xfId="100" xr:uid="{00000000-0005-0000-0000-000067000000}"/>
    <cellStyle name="Porcentagem" xfId="2" builtinId="5"/>
    <cellStyle name="Porcentagem 2" xfId="101" xr:uid="{00000000-0005-0000-0000-000069000000}"/>
    <cellStyle name="Porcentagem 2 2" xfId="11" xr:uid="{00000000-0005-0000-0000-00006A000000}"/>
    <cellStyle name="Porcentagem 3 2" xfId="8" xr:uid="{00000000-0005-0000-0000-00006B000000}"/>
    <cellStyle name="Porcentagem 4 2" xfId="9" xr:uid="{00000000-0005-0000-0000-00006C000000}"/>
    <cellStyle name="Porcentagem 4 2 2" xfId="10" xr:uid="{00000000-0005-0000-0000-00006D000000}"/>
    <cellStyle name="Saída 2" xfId="102" xr:uid="{00000000-0005-0000-0000-00006E000000}"/>
    <cellStyle name="Texto de Aviso 2" xfId="103" xr:uid="{00000000-0005-0000-0000-00006F000000}"/>
    <cellStyle name="Texto Explicativo 2" xfId="104" xr:uid="{00000000-0005-0000-0000-000070000000}"/>
    <cellStyle name="Título 1 1" xfId="105" xr:uid="{00000000-0005-0000-0000-000071000000}"/>
    <cellStyle name="Título 1 2" xfId="106" xr:uid="{00000000-0005-0000-0000-000072000000}"/>
    <cellStyle name="Título 2 2" xfId="107" xr:uid="{00000000-0005-0000-0000-000073000000}"/>
    <cellStyle name="Título 3 2" xfId="108" xr:uid="{00000000-0005-0000-0000-000074000000}"/>
    <cellStyle name="Título 4 2" xfId="109" xr:uid="{00000000-0005-0000-0000-000075000000}"/>
    <cellStyle name="Total 2" xfId="110" xr:uid="{00000000-0005-0000-0000-000076000000}"/>
    <cellStyle name="Total 2 2" xfId="111" xr:uid="{00000000-0005-0000-0000-000077000000}"/>
    <cellStyle name="Vírgula" xfId="124" builtinId="3"/>
    <cellStyle name="Vírgula 2" xfId="7" xr:uid="{00000000-0005-0000-0000-000078000000}"/>
    <cellStyle name="Vírgula 2 2" xfId="114" xr:uid="{00000000-0005-0000-0000-000079000000}"/>
    <cellStyle name="Vírgula 3" xfId="117" xr:uid="{00000000-0005-0000-0000-00007A000000}"/>
    <cellStyle name="Vírgula 3 3" xfId="121" xr:uid="{00000000-0005-0000-0000-00007B000000}"/>
  </cellStyles>
  <dxfs count="0"/>
  <tableStyles count="0" defaultTableStyle="TableStyleMedium2" defaultPivotStyle="PivotStyleLight16"/>
  <colors>
    <mruColors>
      <color rgb="FF3366FF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5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1666875</xdr:colOff>
      <xdr:row>50</xdr:row>
      <xdr:rowOff>66675</xdr:rowOff>
    </xdr:from>
    <xdr:ext cx="2981325" cy="45296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6924675"/>
          <a:ext cx="2981325" cy="45296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ssrvfs02\GADS\Users\rafael.arruda\AppData\Roaming\Microsoft\Suplementos\VExtensoFre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VExtensoFree"/>
    </sheetNames>
    <definedNames>
      <definedName name="VExtensoFree"/>
    </definedNames>
    <sheetDataSet>
      <sheetData sheetId="0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Elaine de Fátima Sarmento Kohanoski" id="{C7CF4C35-2D65-4580-B9F1-6FA29C4628B2}" userId="S::elainek@rs.sebrae.com.br::cd63f498-1134-4447-a4d9-c70051dfb364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" dT="2025-06-18T17:01:11.63" personId="{C7CF4C35-2D65-4580-B9F1-6FA29C4628B2}" id="{EA044E48-6676-4FC6-A5A5-61BB8D5C9C6D}">
    <text>Salário normativo x Percentual de insalubridade</text>
  </threadedComment>
  <threadedComment ref="E38" dT="2025-06-18T17:03:42.12" personId="{C7CF4C35-2D65-4580-B9F1-6FA29C4628B2}" id="{61A9D6EB-95AA-4702-8443-C03A129488F6}">
    <text>Total do modulo 1 X Percentual FGTS (8,33%)</text>
  </threadedComment>
  <threadedComment ref="E39" dT="2025-06-18T18:06:00.12" personId="{C7CF4C35-2D65-4580-B9F1-6FA29C4628B2}" id="{53880A78-A6DF-4457-82BD-F4DA11DC6D9F}">
    <text>Total da remuneração x 12,10% (% da tabela IN 5)</text>
  </threadedComment>
  <threadedComment ref="E41" dT="2025-06-18T18:07:51.25" personId="{C7CF4C35-2D65-4580-B9F1-6FA29C4628B2}" id="{E98AC1F7-5A40-41A7-BEE4-2FF3485F8EC9}">
    <text>Total da remuneração x 7,82% (% da tabela XII da IN 05)</text>
  </threadedComment>
  <threadedComment ref="E47" dT="2025-06-18T17:11:06.15" personId="{C7CF4C35-2D65-4580-B9F1-6FA29C4628B2}" id="{8093C25B-EDF8-4EC1-A3CA-F4879F31841C}">
    <text>De acordo com cada tributação</text>
  </threadedComment>
  <threadedComment ref="E63" dT="2025-06-18T18:09:45.72" personId="{C7CF4C35-2D65-4580-B9F1-6FA29C4628B2}" id="{7B2D383F-8E20-406D-928F-12530EDFB6E8}">
    <text>Valor do plano de saúde mensal - desconto da parte do empregado)</text>
  </threadedComment>
  <threadedComment ref="E64" dT="2025-06-18T17:17:15.43" personId="{C7CF4C35-2D65-4580-B9F1-6FA29C4628B2}" id="{AA3ACD45-31FD-4031-B5CD-FFBA0037FF9D}">
    <text>Pode incluir auxilio creche, aux. Funeral ou outros da convenção coletiva.</text>
  </threadedComment>
  <threadedComment ref="A67" dT="2025-06-18T17:18:11.71" personId="{C7CF4C35-2D65-4580-B9F1-6FA29C4628B2}" id="{88CD8D79-B354-4027-83D2-811EDABC89D0}">
    <text>Calculo  conforme tipo de tributação da empresa.</text>
  </threadedComment>
  <threadedComment ref="E76" dT="2025-06-30T14:00:24.56" personId="{C7CF4C35-2D65-4580-B9F1-6FA29C4628B2}" id="{7796365D-2C92-4B8D-981D-82A31207AA2B}">
    <text xml:space="preserve">(Total da remuneração ÷ Meses do ano) x Porcentagem de dispensa sem justa causa com aviso_x0002_prévio indenizado </text>
  </threadedComment>
  <threadedComment ref="I76" dT="2025-06-18T18:13:00.74" personId="{C7CF4C35-2D65-4580-B9F1-6FA29C4628B2}" id="{9EB947A9-B0FE-4D46-BFD2-F2123BDF69EA}" done="1">
    <text>(total da remuneração: meses do ano)x porcentagem de dispensa sem justa causa com aviso prévio indenizado).</text>
  </threadedComment>
  <threadedComment ref="E77" dT="2025-06-30T13:59:51.56" personId="{C7CF4C35-2D65-4580-B9F1-6FA29C4628B2}" id="{2CF9D43A-1901-4AC3-95F3-7BC0A6E23401}">
    <text xml:space="preserve">Aviso-prévio indenizado x Porcentagem de recolhimento mensal do FGTS </text>
  </threadedComment>
  <threadedComment ref="E79" dT="2025-06-30T14:00:57.92" personId="{C7CF4C35-2D65-4580-B9F1-6FA29C4628B2}" id="{E0AF0B91-42B9-43D6-B915-40949A50D465}">
    <text xml:space="preserve">{[(Total da remuneração ÷ Dias do mês) ÷ Meses do ano] x 7 dias de redução da jornada} x Porcentagem de dispensa sem justa causa </text>
  </threadedComment>
  <threadedComment ref="E81" dT="2025-06-30T14:04:02.11" personId="{C7CF4C35-2D65-4580-B9F1-6FA29C4628B2}" id="{46F0FF27-7471-4FE1-A013-594617064B26}">
    <text>Total da remuneração x 4%</text>
  </threadedComment>
  <threadedComment ref="E87" dT="2025-06-30T14:05:43.33" personId="{C7CF4C35-2D65-4580-B9F1-6FA29C4628B2}" id="{5F18077D-BF7D-4689-8943-D30237560ED0}">
    <text xml:space="preserve">[(Total da remuneração ÷ Mês) ÷ Meses do ano] x Média de ausências por ano </text>
  </threadedComment>
  <threadedComment ref="E88" dT="2025-06-30T14:06:04.56" personId="{C7CF4C35-2D65-4580-B9F1-6FA29C4628B2}" id="{EF1AC5CE-4DBD-4D24-BEE0-127AACC6FCF7}">
    <text>[(Total da remuneração ÷ Mês) ÷ Meses do ano] x Média de dias de licença por ano} x Porcentagem de incidência de ocorrência da licença-paternidade</text>
  </threadedComment>
  <threadedComment ref="E89" dT="2025-06-30T14:06:25.54" personId="{C7CF4C35-2D65-4580-B9F1-6FA29C4628B2}" id="{381DA638-2C12-45A3-B492-9EE726C5E6A3}">
    <text xml:space="preserve">(Total da remuneração ÷ Mês) ÷ Meses do ano] x Média de dias pagos pela empresa} x Porcentagem de incidência de ocorrência de acidentes </text>
  </threadedComment>
  <threadedComment ref="E113" dT="2025-06-30T14:10:15.17" personId="{C7CF4C35-2D65-4580-B9F1-6FA29C4628B2}" id="{777574EF-8D09-4E56-9E13-236FE309B8B4}">
    <text>(Módulo 1 + Módulo 2 + Módulo 3 + Módulo 4 + Módulo 5) x Média praticada pelas empresas do setor</text>
  </threadedComment>
  <threadedComment ref="E114" dT="2025-06-30T14:10:59.74" personId="{C7CF4C35-2D65-4580-B9F1-6FA29C4628B2}" id="{D6CA4050-64EA-4A1A-8186-67A255C38921}">
    <text>(Módulo 1 + Módulo 2 + Módulo 3 + Módulo 4 + Módulo 5 + Custos indiretos) x Média praticada pelas empresas do setor</text>
  </threadedComment>
  <threadedComment ref="D116" dT="2025-06-18T17:33:47.97" personId="{C7CF4C35-2D65-4580-B9F1-6FA29C4628B2}" id="{526C9C17-3F90-4AA6-A679-691C0A83F24B}">
    <text>1,65 % (lucro Real)
0,65% (Presumido)
0,47% (Simples Nacional)</text>
  </threadedComment>
  <threadedComment ref="D117" dT="2025-06-18T17:34:29.59" personId="{C7CF4C35-2D65-4580-B9F1-6FA29C4628B2}" id="{5BFF545D-F562-41DD-8F42-E6FEBDFF837D}">
    <text xml:space="preserve">7,60 % (lucro Real)
3,00% (Presumido)
2,18% (Simples Nacional)
</text>
  </threadedComment>
  <threadedComment ref="D118" dT="2025-06-18T17:35:23.07" personId="{C7CF4C35-2D65-4580-B9F1-6FA29C4628B2}" id="{85FED38E-C7EE-465F-AEFA-A864B60FAB93}">
    <text>ISS da Prefeitura que será emitida a NF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L56"/>
  <sheetViews>
    <sheetView view="pageBreakPreview" topLeftCell="A38" zoomScaleNormal="100" zoomScaleSheetLayoutView="100" workbookViewId="0">
      <selection sqref="A1:F1"/>
    </sheetView>
  </sheetViews>
  <sheetFormatPr defaultRowHeight="12.5" x14ac:dyDescent="0.25"/>
  <cols>
    <col min="1" max="1" width="8.81640625" style="226" customWidth="1"/>
    <col min="2" max="2" width="43.1796875" style="226" bestFit="1" customWidth="1"/>
    <col min="3" max="3" width="11.54296875" style="139" customWidth="1"/>
    <col min="4" max="4" width="14.453125" style="139" customWidth="1"/>
    <col min="5" max="5" width="16.54296875" style="139" customWidth="1"/>
    <col min="6" max="6" width="18.453125" style="139" customWidth="1"/>
    <col min="7" max="9" width="8.81640625" style="139" customWidth="1"/>
    <col min="10" max="10" width="18" style="139" customWidth="1"/>
    <col min="11" max="11" width="29.81640625" style="226" bestFit="1" customWidth="1"/>
    <col min="12" max="12" width="11.7265625" style="226" customWidth="1"/>
    <col min="13" max="242" width="9.1796875" style="139"/>
    <col min="243" max="244" width="8.81640625" style="139" customWidth="1"/>
    <col min="245" max="245" width="42.1796875" style="139" customWidth="1"/>
    <col min="246" max="246" width="14" style="139" customWidth="1"/>
    <col min="247" max="247" width="15.81640625" style="139" customWidth="1"/>
    <col min="248" max="248" width="8.453125" style="139" customWidth="1"/>
    <col min="249" max="249" width="9" style="139" customWidth="1"/>
    <col min="250" max="250" width="10" style="139" customWidth="1"/>
    <col min="251" max="251" width="9.54296875" style="139" customWidth="1"/>
    <col min="252" max="252" width="19.81640625" style="139" customWidth="1"/>
    <col min="253" max="253" width="15.453125" style="139" customWidth="1"/>
    <col min="254" max="498" width="9.1796875" style="139"/>
    <col min="499" max="500" width="8.81640625" style="139" customWidth="1"/>
    <col min="501" max="501" width="42.1796875" style="139" customWidth="1"/>
    <col min="502" max="502" width="14" style="139" customWidth="1"/>
    <col min="503" max="503" width="15.81640625" style="139" customWidth="1"/>
    <col min="504" max="504" width="8.453125" style="139" customWidth="1"/>
    <col min="505" max="505" width="9" style="139" customWidth="1"/>
    <col min="506" max="506" width="10" style="139" customWidth="1"/>
    <col min="507" max="507" width="9.54296875" style="139" customWidth="1"/>
    <col min="508" max="508" width="19.81640625" style="139" customWidth="1"/>
    <col min="509" max="509" width="15.453125" style="139" customWidth="1"/>
    <col min="510" max="754" width="9.1796875" style="139"/>
    <col min="755" max="756" width="8.81640625" style="139" customWidth="1"/>
    <col min="757" max="757" width="42.1796875" style="139" customWidth="1"/>
    <col min="758" max="758" width="14" style="139" customWidth="1"/>
    <col min="759" max="759" width="15.81640625" style="139" customWidth="1"/>
    <col min="760" max="760" width="8.453125" style="139" customWidth="1"/>
    <col min="761" max="761" width="9" style="139" customWidth="1"/>
    <col min="762" max="762" width="10" style="139" customWidth="1"/>
    <col min="763" max="763" width="9.54296875" style="139" customWidth="1"/>
    <col min="764" max="764" width="19.81640625" style="139" customWidth="1"/>
    <col min="765" max="765" width="15.453125" style="139" customWidth="1"/>
    <col min="766" max="1010" width="9.1796875" style="139"/>
    <col min="1011" max="1012" width="8.81640625" style="139" customWidth="1"/>
    <col min="1013" max="1013" width="42.1796875" style="139" customWidth="1"/>
    <col min="1014" max="1014" width="14" style="139" customWidth="1"/>
    <col min="1015" max="1015" width="15.81640625" style="139" customWidth="1"/>
    <col min="1016" max="1016" width="8.453125" style="139" customWidth="1"/>
    <col min="1017" max="1017" width="9" style="139" customWidth="1"/>
    <col min="1018" max="1018" width="10" style="139" customWidth="1"/>
    <col min="1019" max="1019" width="9.54296875" style="139" customWidth="1"/>
    <col min="1020" max="1020" width="19.81640625" style="139" customWidth="1"/>
    <col min="1021" max="1021" width="15.453125" style="139" customWidth="1"/>
    <col min="1022" max="1266" width="9.1796875" style="139"/>
    <col min="1267" max="1268" width="8.81640625" style="139" customWidth="1"/>
    <col min="1269" max="1269" width="42.1796875" style="139" customWidth="1"/>
    <col min="1270" max="1270" width="14" style="139" customWidth="1"/>
    <col min="1271" max="1271" width="15.81640625" style="139" customWidth="1"/>
    <col min="1272" max="1272" width="8.453125" style="139" customWidth="1"/>
    <col min="1273" max="1273" width="9" style="139" customWidth="1"/>
    <col min="1274" max="1274" width="10" style="139" customWidth="1"/>
    <col min="1275" max="1275" width="9.54296875" style="139" customWidth="1"/>
    <col min="1276" max="1276" width="19.81640625" style="139" customWidth="1"/>
    <col min="1277" max="1277" width="15.453125" style="139" customWidth="1"/>
    <col min="1278" max="1522" width="9.1796875" style="139"/>
    <col min="1523" max="1524" width="8.81640625" style="139" customWidth="1"/>
    <col min="1525" max="1525" width="42.1796875" style="139" customWidth="1"/>
    <col min="1526" max="1526" width="14" style="139" customWidth="1"/>
    <col min="1527" max="1527" width="15.81640625" style="139" customWidth="1"/>
    <col min="1528" max="1528" width="8.453125" style="139" customWidth="1"/>
    <col min="1529" max="1529" width="9" style="139" customWidth="1"/>
    <col min="1530" max="1530" width="10" style="139" customWidth="1"/>
    <col min="1531" max="1531" width="9.54296875" style="139" customWidth="1"/>
    <col min="1532" max="1532" width="19.81640625" style="139" customWidth="1"/>
    <col min="1533" max="1533" width="15.453125" style="139" customWidth="1"/>
    <col min="1534" max="1778" width="9.1796875" style="139"/>
    <col min="1779" max="1780" width="8.81640625" style="139" customWidth="1"/>
    <col min="1781" max="1781" width="42.1796875" style="139" customWidth="1"/>
    <col min="1782" max="1782" width="14" style="139" customWidth="1"/>
    <col min="1783" max="1783" width="15.81640625" style="139" customWidth="1"/>
    <col min="1784" max="1784" width="8.453125" style="139" customWidth="1"/>
    <col min="1785" max="1785" width="9" style="139" customWidth="1"/>
    <col min="1786" max="1786" width="10" style="139" customWidth="1"/>
    <col min="1787" max="1787" width="9.54296875" style="139" customWidth="1"/>
    <col min="1788" max="1788" width="19.81640625" style="139" customWidth="1"/>
    <col min="1789" max="1789" width="15.453125" style="139" customWidth="1"/>
    <col min="1790" max="2034" width="9.1796875" style="139"/>
    <col min="2035" max="2036" width="8.81640625" style="139" customWidth="1"/>
    <col min="2037" max="2037" width="42.1796875" style="139" customWidth="1"/>
    <col min="2038" max="2038" width="14" style="139" customWidth="1"/>
    <col min="2039" max="2039" width="15.81640625" style="139" customWidth="1"/>
    <col min="2040" max="2040" width="8.453125" style="139" customWidth="1"/>
    <col min="2041" max="2041" width="9" style="139" customWidth="1"/>
    <col min="2042" max="2042" width="10" style="139" customWidth="1"/>
    <col min="2043" max="2043" width="9.54296875" style="139" customWidth="1"/>
    <col min="2044" max="2044" width="19.81640625" style="139" customWidth="1"/>
    <col min="2045" max="2045" width="15.453125" style="139" customWidth="1"/>
    <col min="2046" max="2290" width="9.1796875" style="139"/>
    <col min="2291" max="2292" width="8.81640625" style="139" customWidth="1"/>
    <col min="2293" max="2293" width="42.1796875" style="139" customWidth="1"/>
    <col min="2294" max="2294" width="14" style="139" customWidth="1"/>
    <col min="2295" max="2295" width="15.81640625" style="139" customWidth="1"/>
    <col min="2296" max="2296" width="8.453125" style="139" customWidth="1"/>
    <col min="2297" max="2297" width="9" style="139" customWidth="1"/>
    <col min="2298" max="2298" width="10" style="139" customWidth="1"/>
    <col min="2299" max="2299" width="9.54296875" style="139" customWidth="1"/>
    <col min="2300" max="2300" width="19.81640625" style="139" customWidth="1"/>
    <col min="2301" max="2301" width="15.453125" style="139" customWidth="1"/>
    <col min="2302" max="2546" width="9.1796875" style="139"/>
    <col min="2547" max="2548" width="8.81640625" style="139" customWidth="1"/>
    <col min="2549" max="2549" width="42.1796875" style="139" customWidth="1"/>
    <col min="2550" max="2550" width="14" style="139" customWidth="1"/>
    <col min="2551" max="2551" width="15.81640625" style="139" customWidth="1"/>
    <col min="2552" max="2552" width="8.453125" style="139" customWidth="1"/>
    <col min="2553" max="2553" width="9" style="139" customWidth="1"/>
    <col min="2554" max="2554" width="10" style="139" customWidth="1"/>
    <col min="2555" max="2555" width="9.54296875" style="139" customWidth="1"/>
    <col min="2556" max="2556" width="19.81640625" style="139" customWidth="1"/>
    <col min="2557" max="2557" width="15.453125" style="139" customWidth="1"/>
    <col min="2558" max="2802" width="9.1796875" style="139"/>
    <col min="2803" max="2804" width="8.81640625" style="139" customWidth="1"/>
    <col min="2805" max="2805" width="42.1796875" style="139" customWidth="1"/>
    <col min="2806" max="2806" width="14" style="139" customWidth="1"/>
    <col min="2807" max="2807" width="15.81640625" style="139" customWidth="1"/>
    <col min="2808" max="2808" width="8.453125" style="139" customWidth="1"/>
    <col min="2809" max="2809" width="9" style="139" customWidth="1"/>
    <col min="2810" max="2810" width="10" style="139" customWidth="1"/>
    <col min="2811" max="2811" width="9.54296875" style="139" customWidth="1"/>
    <col min="2812" max="2812" width="19.81640625" style="139" customWidth="1"/>
    <col min="2813" max="2813" width="15.453125" style="139" customWidth="1"/>
    <col min="2814" max="3058" width="9.1796875" style="139"/>
    <col min="3059" max="3060" width="8.81640625" style="139" customWidth="1"/>
    <col min="3061" max="3061" width="42.1796875" style="139" customWidth="1"/>
    <col min="3062" max="3062" width="14" style="139" customWidth="1"/>
    <col min="3063" max="3063" width="15.81640625" style="139" customWidth="1"/>
    <col min="3064" max="3064" width="8.453125" style="139" customWidth="1"/>
    <col min="3065" max="3065" width="9" style="139" customWidth="1"/>
    <col min="3066" max="3066" width="10" style="139" customWidth="1"/>
    <col min="3067" max="3067" width="9.54296875" style="139" customWidth="1"/>
    <col min="3068" max="3068" width="19.81640625" style="139" customWidth="1"/>
    <col min="3069" max="3069" width="15.453125" style="139" customWidth="1"/>
    <col min="3070" max="3314" width="9.1796875" style="139"/>
    <col min="3315" max="3316" width="8.81640625" style="139" customWidth="1"/>
    <col min="3317" max="3317" width="42.1796875" style="139" customWidth="1"/>
    <col min="3318" max="3318" width="14" style="139" customWidth="1"/>
    <col min="3319" max="3319" width="15.81640625" style="139" customWidth="1"/>
    <col min="3320" max="3320" width="8.453125" style="139" customWidth="1"/>
    <col min="3321" max="3321" width="9" style="139" customWidth="1"/>
    <col min="3322" max="3322" width="10" style="139" customWidth="1"/>
    <col min="3323" max="3323" width="9.54296875" style="139" customWidth="1"/>
    <col min="3324" max="3324" width="19.81640625" style="139" customWidth="1"/>
    <col min="3325" max="3325" width="15.453125" style="139" customWidth="1"/>
    <col min="3326" max="3570" width="9.1796875" style="139"/>
    <col min="3571" max="3572" width="8.81640625" style="139" customWidth="1"/>
    <col min="3573" max="3573" width="42.1796875" style="139" customWidth="1"/>
    <col min="3574" max="3574" width="14" style="139" customWidth="1"/>
    <col min="3575" max="3575" width="15.81640625" style="139" customWidth="1"/>
    <col min="3576" max="3576" width="8.453125" style="139" customWidth="1"/>
    <col min="3577" max="3577" width="9" style="139" customWidth="1"/>
    <col min="3578" max="3578" width="10" style="139" customWidth="1"/>
    <col min="3579" max="3579" width="9.54296875" style="139" customWidth="1"/>
    <col min="3580" max="3580" width="19.81640625" style="139" customWidth="1"/>
    <col min="3581" max="3581" width="15.453125" style="139" customWidth="1"/>
    <col min="3582" max="3826" width="9.1796875" style="139"/>
    <col min="3827" max="3828" width="8.81640625" style="139" customWidth="1"/>
    <col min="3829" max="3829" width="42.1796875" style="139" customWidth="1"/>
    <col min="3830" max="3830" width="14" style="139" customWidth="1"/>
    <col min="3831" max="3831" width="15.81640625" style="139" customWidth="1"/>
    <col min="3832" max="3832" width="8.453125" style="139" customWidth="1"/>
    <col min="3833" max="3833" width="9" style="139" customWidth="1"/>
    <col min="3834" max="3834" width="10" style="139" customWidth="1"/>
    <col min="3835" max="3835" width="9.54296875" style="139" customWidth="1"/>
    <col min="3836" max="3836" width="19.81640625" style="139" customWidth="1"/>
    <col min="3837" max="3837" width="15.453125" style="139" customWidth="1"/>
    <col min="3838" max="4082" width="9.1796875" style="139"/>
    <col min="4083" max="4084" width="8.81640625" style="139" customWidth="1"/>
    <col min="4085" max="4085" width="42.1796875" style="139" customWidth="1"/>
    <col min="4086" max="4086" width="14" style="139" customWidth="1"/>
    <col min="4087" max="4087" width="15.81640625" style="139" customWidth="1"/>
    <col min="4088" max="4088" width="8.453125" style="139" customWidth="1"/>
    <col min="4089" max="4089" width="9" style="139" customWidth="1"/>
    <col min="4090" max="4090" width="10" style="139" customWidth="1"/>
    <col min="4091" max="4091" width="9.54296875" style="139" customWidth="1"/>
    <col min="4092" max="4092" width="19.81640625" style="139" customWidth="1"/>
    <col min="4093" max="4093" width="15.453125" style="139" customWidth="1"/>
    <col min="4094" max="4338" width="9.1796875" style="139"/>
    <col min="4339" max="4340" width="8.81640625" style="139" customWidth="1"/>
    <col min="4341" max="4341" width="42.1796875" style="139" customWidth="1"/>
    <col min="4342" max="4342" width="14" style="139" customWidth="1"/>
    <col min="4343" max="4343" width="15.81640625" style="139" customWidth="1"/>
    <col min="4344" max="4344" width="8.453125" style="139" customWidth="1"/>
    <col min="4345" max="4345" width="9" style="139" customWidth="1"/>
    <col min="4346" max="4346" width="10" style="139" customWidth="1"/>
    <col min="4347" max="4347" width="9.54296875" style="139" customWidth="1"/>
    <col min="4348" max="4348" width="19.81640625" style="139" customWidth="1"/>
    <col min="4349" max="4349" width="15.453125" style="139" customWidth="1"/>
    <col min="4350" max="4594" width="9.1796875" style="139"/>
    <col min="4595" max="4596" width="8.81640625" style="139" customWidth="1"/>
    <col min="4597" max="4597" width="42.1796875" style="139" customWidth="1"/>
    <col min="4598" max="4598" width="14" style="139" customWidth="1"/>
    <col min="4599" max="4599" width="15.81640625" style="139" customWidth="1"/>
    <col min="4600" max="4600" width="8.453125" style="139" customWidth="1"/>
    <col min="4601" max="4601" width="9" style="139" customWidth="1"/>
    <col min="4602" max="4602" width="10" style="139" customWidth="1"/>
    <col min="4603" max="4603" width="9.54296875" style="139" customWidth="1"/>
    <col min="4604" max="4604" width="19.81640625" style="139" customWidth="1"/>
    <col min="4605" max="4605" width="15.453125" style="139" customWidth="1"/>
    <col min="4606" max="4850" width="9.1796875" style="139"/>
    <col min="4851" max="4852" width="8.81640625" style="139" customWidth="1"/>
    <col min="4853" max="4853" width="42.1796875" style="139" customWidth="1"/>
    <col min="4854" max="4854" width="14" style="139" customWidth="1"/>
    <col min="4855" max="4855" width="15.81640625" style="139" customWidth="1"/>
    <col min="4856" max="4856" width="8.453125" style="139" customWidth="1"/>
    <col min="4857" max="4857" width="9" style="139" customWidth="1"/>
    <col min="4858" max="4858" width="10" style="139" customWidth="1"/>
    <col min="4859" max="4859" width="9.54296875" style="139" customWidth="1"/>
    <col min="4860" max="4860" width="19.81640625" style="139" customWidth="1"/>
    <col min="4861" max="4861" width="15.453125" style="139" customWidth="1"/>
    <col min="4862" max="5106" width="9.1796875" style="139"/>
    <col min="5107" max="5108" width="8.81640625" style="139" customWidth="1"/>
    <col min="5109" max="5109" width="42.1796875" style="139" customWidth="1"/>
    <col min="5110" max="5110" width="14" style="139" customWidth="1"/>
    <col min="5111" max="5111" width="15.81640625" style="139" customWidth="1"/>
    <col min="5112" max="5112" width="8.453125" style="139" customWidth="1"/>
    <col min="5113" max="5113" width="9" style="139" customWidth="1"/>
    <col min="5114" max="5114" width="10" style="139" customWidth="1"/>
    <col min="5115" max="5115" width="9.54296875" style="139" customWidth="1"/>
    <col min="5116" max="5116" width="19.81640625" style="139" customWidth="1"/>
    <col min="5117" max="5117" width="15.453125" style="139" customWidth="1"/>
    <col min="5118" max="5362" width="9.1796875" style="139"/>
    <col min="5363" max="5364" width="8.81640625" style="139" customWidth="1"/>
    <col min="5365" max="5365" width="42.1796875" style="139" customWidth="1"/>
    <col min="5366" max="5366" width="14" style="139" customWidth="1"/>
    <col min="5367" max="5367" width="15.81640625" style="139" customWidth="1"/>
    <col min="5368" max="5368" width="8.453125" style="139" customWidth="1"/>
    <col min="5369" max="5369" width="9" style="139" customWidth="1"/>
    <col min="5370" max="5370" width="10" style="139" customWidth="1"/>
    <col min="5371" max="5371" width="9.54296875" style="139" customWidth="1"/>
    <col min="5372" max="5372" width="19.81640625" style="139" customWidth="1"/>
    <col min="5373" max="5373" width="15.453125" style="139" customWidth="1"/>
    <col min="5374" max="5618" width="9.1796875" style="139"/>
    <col min="5619" max="5620" width="8.81640625" style="139" customWidth="1"/>
    <col min="5621" max="5621" width="42.1796875" style="139" customWidth="1"/>
    <col min="5622" max="5622" width="14" style="139" customWidth="1"/>
    <col min="5623" max="5623" width="15.81640625" style="139" customWidth="1"/>
    <col min="5624" max="5624" width="8.453125" style="139" customWidth="1"/>
    <col min="5625" max="5625" width="9" style="139" customWidth="1"/>
    <col min="5626" max="5626" width="10" style="139" customWidth="1"/>
    <col min="5627" max="5627" width="9.54296875" style="139" customWidth="1"/>
    <col min="5628" max="5628" width="19.81640625" style="139" customWidth="1"/>
    <col min="5629" max="5629" width="15.453125" style="139" customWidth="1"/>
    <col min="5630" max="5874" width="9.1796875" style="139"/>
    <col min="5875" max="5876" width="8.81640625" style="139" customWidth="1"/>
    <col min="5877" max="5877" width="42.1796875" style="139" customWidth="1"/>
    <col min="5878" max="5878" width="14" style="139" customWidth="1"/>
    <col min="5879" max="5879" width="15.81640625" style="139" customWidth="1"/>
    <col min="5880" max="5880" width="8.453125" style="139" customWidth="1"/>
    <col min="5881" max="5881" width="9" style="139" customWidth="1"/>
    <col min="5882" max="5882" width="10" style="139" customWidth="1"/>
    <col min="5883" max="5883" width="9.54296875" style="139" customWidth="1"/>
    <col min="5884" max="5884" width="19.81640625" style="139" customWidth="1"/>
    <col min="5885" max="5885" width="15.453125" style="139" customWidth="1"/>
    <col min="5886" max="6130" width="9.1796875" style="139"/>
    <col min="6131" max="6132" width="8.81640625" style="139" customWidth="1"/>
    <col min="6133" max="6133" width="42.1796875" style="139" customWidth="1"/>
    <col min="6134" max="6134" width="14" style="139" customWidth="1"/>
    <col min="6135" max="6135" width="15.81640625" style="139" customWidth="1"/>
    <col min="6136" max="6136" width="8.453125" style="139" customWidth="1"/>
    <col min="6137" max="6137" width="9" style="139" customWidth="1"/>
    <col min="6138" max="6138" width="10" style="139" customWidth="1"/>
    <col min="6139" max="6139" width="9.54296875" style="139" customWidth="1"/>
    <col min="6140" max="6140" width="19.81640625" style="139" customWidth="1"/>
    <col min="6141" max="6141" width="15.453125" style="139" customWidth="1"/>
    <col min="6142" max="6386" width="9.1796875" style="139"/>
    <col min="6387" max="6388" width="8.81640625" style="139" customWidth="1"/>
    <col min="6389" max="6389" width="42.1796875" style="139" customWidth="1"/>
    <col min="6390" max="6390" width="14" style="139" customWidth="1"/>
    <col min="6391" max="6391" width="15.81640625" style="139" customWidth="1"/>
    <col min="6392" max="6392" width="8.453125" style="139" customWidth="1"/>
    <col min="6393" max="6393" width="9" style="139" customWidth="1"/>
    <col min="6394" max="6394" width="10" style="139" customWidth="1"/>
    <col min="6395" max="6395" width="9.54296875" style="139" customWidth="1"/>
    <col min="6396" max="6396" width="19.81640625" style="139" customWidth="1"/>
    <col min="6397" max="6397" width="15.453125" style="139" customWidth="1"/>
    <col min="6398" max="6642" width="9.1796875" style="139"/>
    <col min="6643" max="6644" width="8.81640625" style="139" customWidth="1"/>
    <col min="6645" max="6645" width="42.1796875" style="139" customWidth="1"/>
    <col min="6646" max="6646" width="14" style="139" customWidth="1"/>
    <col min="6647" max="6647" width="15.81640625" style="139" customWidth="1"/>
    <col min="6648" max="6648" width="8.453125" style="139" customWidth="1"/>
    <col min="6649" max="6649" width="9" style="139" customWidth="1"/>
    <col min="6650" max="6650" width="10" style="139" customWidth="1"/>
    <col min="6651" max="6651" width="9.54296875" style="139" customWidth="1"/>
    <col min="6652" max="6652" width="19.81640625" style="139" customWidth="1"/>
    <col min="6653" max="6653" width="15.453125" style="139" customWidth="1"/>
    <col min="6654" max="6898" width="9.1796875" style="139"/>
    <col min="6899" max="6900" width="8.81640625" style="139" customWidth="1"/>
    <col min="6901" max="6901" width="42.1796875" style="139" customWidth="1"/>
    <col min="6902" max="6902" width="14" style="139" customWidth="1"/>
    <col min="6903" max="6903" width="15.81640625" style="139" customWidth="1"/>
    <col min="6904" max="6904" width="8.453125" style="139" customWidth="1"/>
    <col min="6905" max="6905" width="9" style="139" customWidth="1"/>
    <col min="6906" max="6906" width="10" style="139" customWidth="1"/>
    <col min="6907" max="6907" width="9.54296875" style="139" customWidth="1"/>
    <col min="6908" max="6908" width="19.81640625" style="139" customWidth="1"/>
    <col min="6909" max="6909" width="15.453125" style="139" customWidth="1"/>
    <col min="6910" max="7154" width="9.1796875" style="139"/>
    <col min="7155" max="7156" width="8.81640625" style="139" customWidth="1"/>
    <col min="7157" max="7157" width="42.1796875" style="139" customWidth="1"/>
    <col min="7158" max="7158" width="14" style="139" customWidth="1"/>
    <col min="7159" max="7159" width="15.81640625" style="139" customWidth="1"/>
    <col min="7160" max="7160" width="8.453125" style="139" customWidth="1"/>
    <col min="7161" max="7161" width="9" style="139" customWidth="1"/>
    <col min="7162" max="7162" width="10" style="139" customWidth="1"/>
    <col min="7163" max="7163" width="9.54296875" style="139" customWidth="1"/>
    <col min="7164" max="7164" width="19.81640625" style="139" customWidth="1"/>
    <col min="7165" max="7165" width="15.453125" style="139" customWidth="1"/>
    <col min="7166" max="7410" width="9.1796875" style="139"/>
    <col min="7411" max="7412" width="8.81640625" style="139" customWidth="1"/>
    <col min="7413" max="7413" width="42.1796875" style="139" customWidth="1"/>
    <col min="7414" max="7414" width="14" style="139" customWidth="1"/>
    <col min="7415" max="7415" width="15.81640625" style="139" customWidth="1"/>
    <col min="7416" max="7416" width="8.453125" style="139" customWidth="1"/>
    <col min="7417" max="7417" width="9" style="139" customWidth="1"/>
    <col min="7418" max="7418" width="10" style="139" customWidth="1"/>
    <col min="7419" max="7419" width="9.54296875" style="139" customWidth="1"/>
    <col min="7420" max="7420" width="19.81640625" style="139" customWidth="1"/>
    <col min="7421" max="7421" width="15.453125" style="139" customWidth="1"/>
    <col min="7422" max="7666" width="9.1796875" style="139"/>
    <col min="7667" max="7668" width="8.81640625" style="139" customWidth="1"/>
    <col min="7669" max="7669" width="42.1796875" style="139" customWidth="1"/>
    <col min="7670" max="7670" width="14" style="139" customWidth="1"/>
    <col min="7671" max="7671" width="15.81640625" style="139" customWidth="1"/>
    <col min="7672" max="7672" width="8.453125" style="139" customWidth="1"/>
    <col min="7673" max="7673" width="9" style="139" customWidth="1"/>
    <col min="7674" max="7674" width="10" style="139" customWidth="1"/>
    <col min="7675" max="7675" width="9.54296875" style="139" customWidth="1"/>
    <col min="7676" max="7676" width="19.81640625" style="139" customWidth="1"/>
    <col min="7677" max="7677" width="15.453125" style="139" customWidth="1"/>
    <col min="7678" max="7922" width="9.1796875" style="139"/>
    <col min="7923" max="7924" width="8.81640625" style="139" customWidth="1"/>
    <col min="7925" max="7925" width="42.1796875" style="139" customWidth="1"/>
    <col min="7926" max="7926" width="14" style="139" customWidth="1"/>
    <col min="7927" max="7927" width="15.81640625" style="139" customWidth="1"/>
    <col min="7928" max="7928" width="8.453125" style="139" customWidth="1"/>
    <col min="7929" max="7929" width="9" style="139" customWidth="1"/>
    <col min="7930" max="7930" width="10" style="139" customWidth="1"/>
    <col min="7931" max="7931" width="9.54296875" style="139" customWidth="1"/>
    <col min="7932" max="7932" width="19.81640625" style="139" customWidth="1"/>
    <col min="7933" max="7933" width="15.453125" style="139" customWidth="1"/>
    <col min="7934" max="8178" width="9.1796875" style="139"/>
    <col min="8179" max="8180" width="8.81640625" style="139" customWidth="1"/>
    <col min="8181" max="8181" width="42.1796875" style="139" customWidth="1"/>
    <col min="8182" max="8182" width="14" style="139" customWidth="1"/>
    <col min="8183" max="8183" width="15.81640625" style="139" customWidth="1"/>
    <col min="8184" max="8184" width="8.453125" style="139" customWidth="1"/>
    <col min="8185" max="8185" width="9" style="139" customWidth="1"/>
    <col min="8186" max="8186" width="10" style="139" customWidth="1"/>
    <col min="8187" max="8187" width="9.54296875" style="139" customWidth="1"/>
    <col min="8188" max="8188" width="19.81640625" style="139" customWidth="1"/>
    <col min="8189" max="8189" width="15.453125" style="139" customWidth="1"/>
    <col min="8190" max="8434" width="9.1796875" style="139"/>
    <col min="8435" max="8436" width="8.81640625" style="139" customWidth="1"/>
    <col min="8437" max="8437" width="42.1796875" style="139" customWidth="1"/>
    <col min="8438" max="8438" width="14" style="139" customWidth="1"/>
    <col min="8439" max="8439" width="15.81640625" style="139" customWidth="1"/>
    <col min="8440" max="8440" width="8.453125" style="139" customWidth="1"/>
    <col min="8441" max="8441" width="9" style="139" customWidth="1"/>
    <col min="8442" max="8442" width="10" style="139" customWidth="1"/>
    <col min="8443" max="8443" width="9.54296875" style="139" customWidth="1"/>
    <col min="8444" max="8444" width="19.81640625" style="139" customWidth="1"/>
    <col min="8445" max="8445" width="15.453125" style="139" customWidth="1"/>
    <col min="8446" max="8690" width="9.1796875" style="139"/>
    <col min="8691" max="8692" width="8.81640625" style="139" customWidth="1"/>
    <col min="8693" max="8693" width="42.1796875" style="139" customWidth="1"/>
    <col min="8694" max="8694" width="14" style="139" customWidth="1"/>
    <col min="8695" max="8695" width="15.81640625" style="139" customWidth="1"/>
    <col min="8696" max="8696" width="8.453125" style="139" customWidth="1"/>
    <col min="8697" max="8697" width="9" style="139" customWidth="1"/>
    <col min="8698" max="8698" width="10" style="139" customWidth="1"/>
    <col min="8699" max="8699" width="9.54296875" style="139" customWidth="1"/>
    <col min="8700" max="8700" width="19.81640625" style="139" customWidth="1"/>
    <col min="8701" max="8701" width="15.453125" style="139" customWidth="1"/>
    <col min="8702" max="8946" width="9.1796875" style="139"/>
    <col min="8947" max="8948" width="8.81640625" style="139" customWidth="1"/>
    <col min="8949" max="8949" width="42.1796875" style="139" customWidth="1"/>
    <col min="8950" max="8950" width="14" style="139" customWidth="1"/>
    <col min="8951" max="8951" width="15.81640625" style="139" customWidth="1"/>
    <col min="8952" max="8952" width="8.453125" style="139" customWidth="1"/>
    <col min="8953" max="8953" width="9" style="139" customWidth="1"/>
    <col min="8954" max="8954" width="10" style="139" customWidth="1"/>
    <col min="8955" max="8955" width="9.54296875" style="139" customWidth="1"/>
    <col min="8956" max="8956" width="19.81640625" style="139" customWidth="1"/>
    <col min="8957" max="8957" width="15.453125" style="139" customWidth="1"/>
    <col min="8958" max="9202" width="9.1796875" style="139"/>
    <col min="9203" max="9204" width="8.81640625" style="139" customWidth="1"/>
    <col min="9205" max="9205" width="42.1796875" style="139" customWidth="1"/>
    <col min="9206" max="9206" width="14" style="139" customWidth="1"/>
    <col min="9207" max="9207" width="15.81640625" style="139" customWidth="1"/>
    <col min="9208" max="9208" width="8.453125" style="139" customWidth="1"/>
    <col min="9209" max="9209" width="9" style="139" customWidth="1"/>
    <col min="9210" max="9210" width="10" style="139" customWidth="1"/>
    <col min="9211" max="9211" width="9.54296875" style="139" customWidth="1"/>
    <col min="9212" max="9212" width="19.81640625" style="139" customWidth="1"/>
    <col min="9213" max="9213" width="15.453125" style="139" customWidth="1"/>
    <col min="9214" max="9458" width="9.1796875" style="139"/>
    <col min="9459" max="9460" width="8.81640625" style="139" customWidth="1"/>
    <col min="9461" max="9461" width="42.1796875" style="139" customWidth="1"/>
    <col min="9462" max="9462" width="14" style="139" customWidth="1"/>
    <col min="9463" max="9463" width="15.81640625" style="139" customWidth="1"/>
    <col min="9464" max="9464" width="8.453125" style="139" customWidth="1"/>
    <col min="9465" max="9465" width="9" style="139" customWidth="1"/>
    <col min="9466" max="9466" width="10" style="139" customWidth="1"/>
    <col min="9467" max="9467" width="9.54296875" style="139" customWidth="1"/>
    <col min="9468" max="9468" width="19.81640625" style="139" customWidth="1"/>
    <col min="9469" max="9469" width="15.453125" style="139" customWidth="1"/>
    <col min="9470" max="9714" width="9.1796875" style="139"/>
    <col min="9715" max="9716" width="8.81640625" style="139" customWidth="1"/>
    <col min="9717" max="9717" width="42.1796875" style="139" customWidth="1"/>
    <col min="9718" max="9718" width="14" style="139" customWidth="1"/>
    <col min="9719" max="9719" width="15.81640625" style="139" customWidth="1"/>
    <col min="9720" max="9720" width="8.453125" style="139" customWidth="1"/>
    <col min="9721" max="9721" width="9" style="139" customWidth="1"/>
    <col min="9722" max="9722" width="10" style="139" customWidth="1"/>
    <col min="9723" max="9723" width="9.54296875" style="139" customWidth="1"/>
    <col min="9724" max="9724" width="19.81640625" style="139" customWidth="1"/>
    <col min="9725" max="9725" width="15.453125" style="139" customWidth="1"/>
    <col min="9726" max="9970" width="9.1796875" style="139"/>
    <col min="9971" max="9972" width="8.81640625" style="139" customWidth="1"/>
    <col min="9973" max="9973" width="42.1796875" style="139" customWidth="1"/>
    <col min="9974" max="9974" width="14" style="139" customWidth="1"/>
    <col min="9975" max="9975" width="15.81640625" style="139" customWidth="1"/>
    <col min="9976" max="9976" width="8.453125" style="139" customWidth="1"/>
    <col min="9977" max="9977" width="9" style="139" customWidth="1"/>
    <col min="9978" max="9978" width="10" style="139" customWidth="1"/>
    <col min="9979" max="9979" width="9.54296875" style="139" customWidth="1"/>
    <col min="9980" max="9980" width="19.81640625" style="139" customWidth="1"/>
    <col min="9981" max="9981" width="15.453125" style="139" customWidth="1"/>
    <col min="9982" max="10226" width="9.1796875" style="139"/>
    <col min="10227" max="10228" width="8.81640625" style="139" customWidth="1"/>
    <col min="10229" max="10229" width="42.1796875" style="139" customWidth="1"/>
    <col min="10230" max="10230" width="14" style="139" customWidth="1"/>
    <col min="10231" max="10231" width="15.81640625" style="139" customWidth="1"/>
    <col min="10232" max="10232" width="8.453125" style="139" customWidth="1"/>
    <col min="10233" max="10233" width="9" style="139" customWidth="1"/>
    <col min="10234" max="10234" width="10" style="139" customWidth="1"/>
    <col min="10235" max="10235" width="9.54296875" style="139" customWidth="1"/>
    <col min="10236" max="10236" width="19.81640625" style="139" customWidth="1"/>
    <col min="10237" max="10237" width="15.453125" style="139" customWidth="1"/>
    <col min="10238" max="10482" width="9.1796875" style="139"/>
    <col min="10483" max="10484" width="8.81640625" style="139" customWidth="1"/>
    <col min="10485" max="10485" width="42.1796875" style="139" customWidth="1"/>
    <col min="10486" max="10486" width="14" style="139" customWidth="1"/>
    <col min="10487" max="10487" width="15.81640625" style="139" customWidth="1"/>
    <col min="10488" max="10488" width="8.453125" style="139" customWidth="1"/>
    <col min="10489" max="10489" width="9" style="139" customWidth="1"/>
    <col min="10490" max="10490" width="10" style="139" customWidth="1"/>
    <col min="10491" max="10491" width="9.54296875" style="139" customWidth="1"/>
    <col min="10492" max="10492" width="19.81640625" style="139" customWidth="1"/>
    <col min="10493" max="10493" width="15.453125" style="139" customWidth="1"/>
    <col min="10494" max="10738" width="9.1796875" style="139"/>
    <col min="10739" max="10740" width="8.81640625" style="139" customWidth="1"/>
    <col min="10741" max="10741" width="42.1796875" style="139" customWidth="1"/>
    <col min="10742" max="10742" width="14" style="139" customWidth="1"/>
    <col min="10743" max="10743" width="15.81640625" style="139" customWidth="1"/>
    <col min="10744" max="10744" width="8.453125" style="139" customWidth="1"/>
    <col min="10745" max="10745" width="9" style="139" customWidth="1"/>
    <col min="10746" max="10746" width="10" style="139" customWidth="1"/>
    <col min="10747" max="10747" width="9.54296875" style="139" customWidth="1"/>
    <col min="10748" max="10748" width="19.81640625" style="139" customWidth="1"/>
    <col min="10749" max="10749" width="15.453125" style="139" customWidth="1"/>
    <col min="10750" max="10994" width="9.1796875" style="139"/>
    <col min="10995" max="10996" width="8.81640625" style="139" customWidth="1"/>
    <col min="10997" max="10997" width="42.1796875" style="139" customWidth="1"/>
    <col min="10998" max="10998" width="14" style="139" customWidth="1"/>
    <col min="10999" max="10999" width="15.81640625" style="139" customWidth="1"/>
    <col min="11000" max="11000" width="8.453125" style="139" customWidth="1"/>
    <col min="11001" max="11001" width="9" style="139" customWidth="1"/>
    <col min="11002" max="11002" width="10" style="139" customWidth="1"/>
    <col min="11003" max="11003" width="9.54296875" style="139" customWidth="1"/>
    <col min="11004" max="11004" width="19.81640625" style="139" customWidth="1"/>
    <col min="11005" max="11005" width="15.453125" style="139" customWidth="1"/>
    <col min="11006" max="11250" width="9.1796875" style="139"/>
    <col min="11251" max="11252" width="8.81640625" style="139" customWidth="1"/>
    <col min="11253" max="11253" width="42.1796875" style="139" customWidth="1"/>
    <col min="11254" max="11254" width="14" style="139" customWidth="1"/>
    <col min="11255" max="11255" width="15.81640625" style="139" customWidth="1"/>
    <col min="11256" max="11256" width="8.453125" style="139" customWidth="1"/>
    <col min="11257" max="11257" width="9" style="139" customWidth="1"/>
    <col min="11258" max="11258" width="10" style="139" customWidth="1"/>
    <col min="11259" max="11259" width="9.54296875" style="139" customWidth="1"/>
    <col min="11260" max="11260" width="19.81640625" style="139" customWidth="1"/>
    <col min="11261" max="11261" width="15.453125" style="139" customWidth="1"/>
    <col min="11262" max="11506" width="9.1796875" style="139"/>
    <col min="11507" max="11508" width="8.81640625" style="139" customWidth="1"/>
    <col min="11509" max="11509" width="42.1796875" style="139" customWidth="1"/>
    <col min="11510" max="11510" width="14" style="139" customWidth="1"/>
    <col min="11511" max="11511" width="15.81640625" style="139" customWidth="1"/>
    <col min="11512" max="11512" width="8.453125" style="139" customWidth="1"/>
    <col min="11513" max="11513" width="9" style="139" customWidth="1"/>
    <col min="11514" max="11514" width="10" style="139" customWidth="1"/>
    <col min="11515" max="11515" width="9.54296875" style="139" customWidth="1"/>
    <col min="11516" max="11516" width="19.81640625" style="139" customWidth="1"/>
    <col min="11517" max="11517" width="15.453125" style="139" customWidth="1"/>
    <col min="11518" max="11762" width="9.1796875" style="139"/>
    <col min="11763" max="11764" width="8.81640625" style="139" customWidth="1"/>
    <col min="11765" max="11765" width="42.1796875" style="139" customWidth="1"/>
    <col min="11766" max="11766" width="14" style="139" customWidth="1"/>
    <col min="11767" max="11767" width="15.81640625" style="139" customWidth="1"/>
    <col min="11768" max="11768" width="8.453125" style="139" customWidth="1"/>
    <col min="11769" max="11769" width="9" style="139" customWidth="1"/>
    <col min="11770" max="11770" width="10" style="139" customWidth="1"/>
    <col min="11771" max="11771" width="9.54296875" style="139" customWidth="1"/>
    <col min="11772" max="11772" width="19.81640625" style="139" customWidth="1"/>
    <col min="11773" max="11773" width="15.453125" style="139" customWidth="1"/>
    <col min="11774" max="12018" width="9.1796875" style="139"/>
    <col min="12019" max="12020" width="8.81640625" style="139" customWidth="1"/>
    <col min="12021" max="12021" width="42.1796875" style="139" customWidth="1"/>
    <col min="12022" max="12022" width="14" style="139" customWidth="1"/>
    <col min="12023" max="12023" width="15.81640625" style="139" customWidth="1"/>
    <col min="12024" max="12024" width="8.453125" style="139" customWidth="1"/>
    <col min="12025" max="12025" width="9" style="139" customWidth="1"/>
    <col min="12026" max="12026" width="10" style="139" customWidth="1"/>
    <col min="12027" max="12027" width="9.54296875" style="139" customWidth="1"/>
    <col min="12028" max="12028" width="19.81640625" style="139" customWidth="1"/>
    <col min="12029" max="12029" width="15.453125" style="139" customWidth="1"/>
    <col min="12030" max="12274" width="9.1796875" style="139"/>
    <col min="12275" max="12276" width="8.81640625" style="139" customWidth="1"/>
    <col min="12277" max="12277" width="42.1796875" style="139" customWidth="1"/>
    <col min="12278" max="12278" width="14" style="139" customWidth="1"/>
    <col min="12279" max="12279" width="15.81640625" style="139" customWidth="1"/>
    <col min="12280" max="12280" width="8.453125" style="139" customWidth="1"/>
    <col min="12281" max="12281" width="9" style="139" customWidth="1"/>
    <col min="12282" max="12282" width="10" style="139" customWidth="1"/>
    <col min="12283" max="12283" width="9.54296875" style="139" customWidth="1"/>
    <col min="12284" max="12284" width="19.81640625" style="139" customWidth="1"/>
    <col min="12285" max="12285" width="15.453125" style="139" customWidth="1"/>
    <col min="12286" max="12530" width="9.1796875" style="139"/>
    <col min="12531" max="12532" width="8.81640625" style="139" customWidth="1"/>
    <col min="12533" max="12533" width="42.1796875" style="139" customWidth="1"/>
    <col min="12534" max="12534" width="14" style="139" customWidth="1"/>
    <col min="12535" max="12535" width="15.81640625" style="139" customWidth="1"/>
    <col min="12536" max="12536" width="8.453125" style="139" customWidth="1"/>
    <col min="12537" max="12537" width="9" style="139" customWidth="1"/>
    <col min="12538" max="12538" width="10" style="139" customWidth="1"/>
    <col min="12539" max="12539" width="9.54296875" style="139" customWidth="1"/>
    <col min="12540" max="12540" width="19.81640625" style="139" customWidth="1"/>
    <col min="12541" max="12541" width="15.453125" style="139" customWidth="1"/>
    <col min="12542" max="12786" width="9.1796875" style="139"/>
    <col min="12787" max="12788" width="8.81640625" style="139" customWidth="1"/>
    <col min="12789" max="12789" width="42.1796875" style="139" customWidth="1"/>
    <col min="12790" max="12790" width="14" style="139" customWidth="1"/>
    <col min="12791" max="12791" width="15.81640625" style="139" customWidth="1"/>
    <col min="12792" max="12792" width="8.453125" style="139" customWidth="1"/>
    <col min="12793" max="12793" width="9" style="139" customWidth="1"/>
    <col min="12794" max="12794" width="10" style="139" customWidth="1"/>
    <col min="12795" max="12795" width="9.54296875" style="139" customWidth="1"/>
    <col min="12796" max="12796" width="19.81640625" style="139" customWidth="1"/>
    <col min="12797" max="12797" width="15.453125" style="139" customWidth="1"/>
    <col min="12798" max="13042" width="9.1796875" style="139"/>
    <col min="13043" max="13044" width="8.81640625" style="139" customWidth="1"/>
    <col min="13045" max="13045" width="42.1796875" style="139" customWidth="1"/>
    <col min="13046" max="13046" width="14" style="139" customWidth="1"/>
    <col min="13047" max="13047" width="15.81640625" style="139" customWidth="1"/>
    <col min="13048" max="13048" width="8.453125" style="139" customWidth="1"/>
    <col min="13049" max="13049" width="9" style="139" customWidth="1"/>
    <col min="13050" max="13050" width="10" style="139" customWidth="1"/>
    <col min="13051" max="13051" width="9.54296875" style="139" customWidth="1"/>
    <col min="13052" max="13052" width="19.81640625" style="139" customWidth="1"/>
    <col min="13053" max="13053" width="15.453125" style="139" customWidth="1"/>
    <col min="13054" max="13298" width="9.1796875" style="139"/>
    <col min="13299" max="13300" width="8.81640625" style="139" customWidth="1"/>
    <col min="13301" max="13301" width="42.1796875" style="139" customWidth="1"/>
    <col min="13302" max="13302" width="14" style="139" customWidth="1"/>
    <col min="13303" max="13303" width="15.81640625" style="139" customWidth="1"/>
    <col min="13304" max="13304" width="8.453125" style="139" customWidth="1"/>
    <col min="13305" max="13305" width="9" style="139" customWidth="1"/>
    <col min="13306" max="13306" width="10" style="139" customWidth="1"/>
    <col min="13307" max="13307" width="9.54296875" style="139" customWidth="1"/>
    <col min="13308" max="13308" width="19.81640625" style="139" customWidth="1"/>
    <col min="13309" max="13309" width="15.453125" style="139" customWidth="1"/>
    <col min="13310" max="13554" width="9.1796875" style="139"/>
    <col min="13555" max="13556" width="8.81640625" style="139" customWidth="1"/>
    <col min="13557" max="13557" width="42.1796875" style="139" customWidth="1"/>
    <col min="13558" max="13558" width="14" style="139" customWidth="1"/>
    <col min="13559" max="13559" width="15.81640625" style="139" customWidth="1"/>
    <col min="13560" max="13560" width="8.453125" style="139" customWidth="1"/>
    <col min="13561" max="13561" width="9" style="139" customWidth="1"/>
    <col min="13562" max="13562" width="10" style="139" customWidth="1"/>
    <col min="13563" max="13563" width="9.54296875" style="139" customWidth="1"/>
    <col min="13564" max="13564" width="19.81640625" style="139" customWidth="1"/>
    <col min="13565" max="13565" width="15.453125" style="139" customWidth="1"/>
    <col min="13566" max="13810" width="9.1796875" style="139"/>
    <col min="13811" max="13812" width="8.81640625" style="139" customWidth="1"/>
    <col min="13813" max="13813" width="42.1796875" style="139" customWidth="1"/>
    <col min="13814" max="13814" width="14" style="139" customWidth="1"/>
    <col min="13815" max="13815" width="15.81640625" style="139" customWidth="1"/>
    <col min="13816" max="13816" width="8.453125" style="139" customWidth="1"/>
    <col min="13817" max="13817" width="9" style="139" customWidth="1"/>
    <col min="13818" max="13818" width="10" style="139" customWidth="1"/>
    <col min="13819" max="13819" width="9.54296875" style="139" customWidth="1"/>
    <col min="13820" max="13820" width="19.81640625" style="139" customWidth="1"/>
    <col min="13821" max="13821" width="15.453125" style="139" customWidth="1"/>
    <col min="13822" max="14066" width="9.1796875" style="139"/>
    <col min="14067" max="14068" width="8.81640625" style="139" customWidth="1"/>
    <col min="14069" max="14069" width="42.1796875" style="139" customWidth="1"/>
    <col min="14070" max="14070" width="14" style="139" customWidth="1"/>
    <col min="14071" max="14071" width="15.81640625" style="139" customWidth="1"/>
    <col min="14072" max="14072" width="8.453125" style="139" customWidth="1"/>
    <col min="14073" max="14073" width="9" style="139" customWidth="1"/>
    <col min="14074" max="14074" width="10" style="139" customWidth="1"/>
    <col min="14075" max="14075" width="9.54296875" style="139" customWidth="1"/>
    <col min="14076" max="14076" width="19.81640625" style="139" customWidth="1"/>
    <col min="14077" max="14077" width="15.453125" style="139" customWidth="1"/>
    <col min="14078" max="14322" width="9.1796875" style="139"/>
    <col min="14323" max="14324" width="8.81640625" style="139" customWidth="1"/>
    <col min="14325" max="14325" width="42.1796875" style="139" customWidth="1"/>
    <col min="14326" max="14326" width="14" style="139" customWidth="1"/>
    <col min="14327" max="14327" width="15.81640625" style="139" customWidth="1"/>
    <col min="14328" max="14328" width="8.453125" style="139" customWidth="1"/>
    <col min="14329" max="14329" width="9" style="139" customWidth="1"/>
    <col min="14330" max="14330" width="10" style="139" customWidth="1"/>
    <col min="14331" max="14331" width="9.54296875" style="139" customWidth="1"/>
    <col min="14332" max="14332" width="19.81640625" style="139" customWidth="1"/>
    <col min="14333" max="14333" width="15.453125" style="139" customWidth="1"/>
    <col min="14334" max="14578" width="9.1796875" style="139"/>
    <col min="14579" max="14580" width="8.81640625" style="139" customWidth="1"/>
    <col min="14581" max="14581" width="42.1796875" style="139" customWidth="1"/>
    <col min="14582" max="14582" width="14" style="139" customWidth="1"/>
    <col min="14583" max="14583" width="15.81640625" style="139" customWidth="1"/>
    <col min="14584" max="14584" width="8.453125" style="139" customWidth="1"/>
    <col min="14585" max="14585" width="9" style="139" customWidth="1"/>
    <col min="14586" max="14586" width="10" style="139" customWidth="1"/>
    <col min="14587" max="14587" width="9.54296875" style="139" customWidth="1"/>
    <col min="14588" max="14588" width="19.81640625" style="139" customWidth="1"/>
    <col min="14589" max="14589" width="15.453125" style="139" customWidth="1"/>
    <col min="14590" max="14834" width="9.1796875" style="139"/>
    <col min="14835" max="14836" width="8.81640625" style="139" customWidth="1"/>
    <col min="14837" max="14837" width="42.1796875" style="139" customWidth="1"/>
    <col min="14838" max="14838" width="14" style="139" customWidth="1"/>
    <col min="14839" max="14839" width="15.81640625" style="139" customWidth="1"/>
    <col min="14840" max="14840" width="8.453125" style="139" customWidth="1"/>
    <col min="14841" max="14841" width="9" style="139" customWidth="1"/>
    <col min="14842" max="14842" width="10" style="139" customWidth="1"/>
    <col min="14843" max="14843" width="9.54296875" style="139" customWidth="1"/>
    <col min="14844" max="14844" width="19.81640625" style="139" customWidth="1"/>
    <col min="14845" max="14845" width="15.453125" style="139" customWidth="1"/>
    <col min="14846" max="15090" width="9.1796875" style="139"/>
    <col min="15091" max="15092" width="8.81640625" style="139" customWidth="1"/>
    <col min="15093" max="15093" width="42.1796875" style="139" customWidth="1"/>
    <col min="15094" max="15094" width="14" style="139" customWidth="1"/>
    <col min="15095" max="15095" width="15.81640625" style="139" customWidth="1"/>
    <col min="15096" max="15096" width="8.453125" style="139" customWidth="1"/>
    <col min="15097" max="15097" width="9" style="139" customWidth="1"/>
    <col min="15098" max="15098" width="10" style="139" customWidth="1"/>
    <col min="15099" max="15099" width="9.54296875" style="139" customWidth="1"/>
    <col min="15100" max="15100" width="19.81640625" style="139" customWidth="1"/>
    <col min="15101" max="15101" width="15.453125" style="139" customWidth="1"/>
    <col min="15102" max="15346" width="9.1796875" style="139"/>
    <col min="15347" max="15348" width="8.81640625" style="139" customWidth="1"/>
    <col min="15349" max="15349" width="42.1796875" style="139" customWidth="1"/>
    <col min="15350" max="15350" width="14" style="139" customWidth="1"/>
    <col min="15351" max="15351" width="15.81640625" style="139" customWidth="1"/>
    <col min="15352" max="15352" width="8.453125" style="139" customWidth="1"/>
    <col min="15353" max="15353" width="9" style="139" customWidth="1"/>
    <col min="15354" max="15354" width="10" style="139" customWidth="1"/>
    <col min="15355" max="15355" width="9.54296875" style="139" customWidth="1"/>
    <col min="15356" max="15356" width="19.81640625" style="139" customWidth="1"/>
    <col min="15357" max="15357" width="15.453125" style="139" customWidth="1"/>
    <col min="15358" max="15602" width="9.1796875" style="139"/>
    <col min="15603" max="15604" width="8.81640625" style="139" customWidth="1"/>
    <col min="15605" max="15605" width="42.1796875" style="139" customWidth="1"/>
    <col min="15606" max="15606" width="14" style="139" customWidth="1"/>
    <col min="15607" max="15607" width="15.81640625" style="139" customWidth="1"/>
    <col min="15608" max="15608" width="8.453125" style="139" customWidth="1"/>
    <col min="15609" max="15609" width="9" style="139" customWidth="1"/>
    <col min="15610" max="15610" width="10" style="139" customWidth="1"/>
    <col min="15611" max="15611" width="9.54296875" style="139" customWidth="1"/>
    <col min="15612" max="15612" width="19.81640625" style="139" customWidth="1"/>
    <col min="15613" max="15613" width="15.453125" style="139" customWidth="1"/>
    <col min="15614" max="15858" width="9.1796875" style="139"/>
    <col min="15859" max="15860" width="8.81640625" style="139" customWidth="1"/>
    <col min="15861" max="15861" width="42.1796875" style="139" customWidth="1"/>
    <col min="15862" max="15862" width="14" style="139" customWidth="1"/>
    <col min="15863" max="15863" width="15.81640625" style="139" customWidth="1"/>
    <col min="15864" max="15864" width="8.453125" style="139" customWidth="1"/>
    <col min="15865" max="15865" width="9" style="139" customWidth="1"/>
    <col min="15866" max="15866" width="10" style="139" customWidth="1"/>
    <col min="15867" max="15867" width="9.54296875" style="139" customWidth="1"/>
    <col min="15868" max="15868" width="19.81640625" style="139" customWidth="1"/>
    <col min="15869" max="15869" width="15.453125" style="139" customWidth="1"/>
    <col min="15870" max="16114" width="9.1796875" style="139"/>
    <col min="16115" max="16116" width="8.81640625" style="139" customWidth="1"/>
    <col min="16117" max="16117" width="42.1796875" style="139" customWidth="1"/>
    <col min="16118" max="16118" width="14" style="139" customWidth="1"/>
    <col min="16119" max="16119" width="15.81640625" style="139" customWidth="1"/>
    <col min="16120" max="16120" width="8.453125" style="139" customWidth="1"/>
    <col min="16121" max="16121" width="9" style="139" customWidth="1"/>
    <col min="16122" max="16122" width="10" style="139" customWidth="1"/>
    <col min="16123" max="16123" width="9.54296875" style="139" customWidth="1"/>
    <col min="16124" max="16124" width="19.81640625" style="139" customWidth="1"/>
    <col min="16125" max="16125" width="15.453125" style="139" customWidth="1"/>
    <col min="16126" max="16384" width="9.1796875" style="139"/>
  </cols>
  <sheetData>
    <row r="1" spans="1:12" s="121" customFormat="1" ht="17.25" customHeight="1" x14ac:dyDescent="0.25">
      <c r="A1" s="387" t="s">
        <v>0</v>
      </c>
      <c r="B1" s="388"/>
      <c r="C1" s="388"/>
      <c r="D1" s="388"/>
      <c r="E1" s="388"/>
      <c r="F1" s="389"/>
      <c r="G1" s="137"/>
      <c r="H1" s="137"/>
      <c r="K1" s="126"/>
      <c r="L1" s="126"/>
    </row>
    <row r="2" spans="1:12" s="121" customFormat="1" ht="13" x14ac:dyDescent="0.25">
      <c r="A2" s="390"/>
      <c r="B2" s="391"/>
      <c r="C2" s="391"/>
      <c r="D2" s="391"/>
      <c r="E2" s="391"/>
      <c r="F2" s="392"/>
      <c r="G2" s="168"/>
      <c r="H2" s="168"/>
      <c r="K2" s="126"/>
      <c r="L2" s="126"/>
    </row>
    <row r="3" spans="1:12" s="121" customFormat="1" ht="13" x14ac:dyDescent="0.25">
      <c r="A3" s="395" t="s">
        <v>1</v>
      </c>
      <c r="B3" s="391"/>
      <c r="C3" s="391"/>
      <c r="D3" s="391"/>
      <c r="E3" s="391"/>
      <c r="F3" s="392"/>
      <c r="G3" s="168"/>
      <c r="H3" s="168"/>
      <c r="K3" s="126"/>
      <c r="L3" s="126"/>
    </row>
    <row r="4" spans="1:12" s="121" customFormat="1" ht="13" x14ac:dyDescent="0.25">
      <c r="A4" s="390" t="s">
        <v>2</v>
      </c>
      <c r="B4" s="391"/>
      <c r="C4" s="391"/>
      <c r="D4" s="391"/>
      <c r="E4" s="391"/>
      <c r="F4" s="392"/>
      <c r="G4" s="168"/>
      <c r="H4" s="168"/>
      <c r="K4" s="126"/>
      <c r="L4" s="126"/>
    </row>
    <row r="5" spans="1:12" s="121" customFormat="1" ht="13" hidden="1" x14ac:dyDescent="0.25">
      <c r="A5" s="390" t="s">
        <v>3</v>
      </c>
      <c r="B5" s="391"/>
      <c r="C5" s="391"/>
      <c r="D5" s="391"/>
      <c r="E5" s="391"/>
      <c r="F5" s="392"/>
      <c r="G5" s="168"/>
      <c r="H5" s="168"/>
      <c r="K5" s="126"/>
      <c r="L5" s="126"/>
    </row>
    <row r="6" spans="1:12" s="121" customFormat="1" ht="13" x14ac:dyDescent="0.25">
      <c r="A6" s="393" t="s">
        <v>4</v>
      </c>
      <c r="B6" s="394"/>
      <c r="C6" s="394"/>
      <c r="D6" s="394"/>
      <c r="E6" s="394"/>
      <c r="F6" s="266" t="s">
        <v>5</v>
      </c>
      <c r="G6" s="168"/>
      <c r="H6" s="168"/>
      <c r="K6" s="126"/>
      <c r="L6" s="126"/>
    </row>
    <row r="7" spans="1:12" s="121" customFormat="1" ht="13" x14ac:dyDescent="0.25">
      <c r="A7" s="398" t="s">
        <v>6</v>
      </c>
      <c r="B7" s="399"/>
      <c r="C7" s="399"/>
      <c r="D7" s="399"/>
      <c r="E7" s="399"/>
      <c r="F7" s="400"/>
      <c r="G7" s="254"/>
      <c r="H7" s="254"/>
      <c r="K7" s="126"/>
      <c r="L7" s="126"/>
    </row>
    <row r="8" spans="1:12" s="121" customFormat="1" x14ac:dyDescent="0.25">
      <c r="A8" s="265"/>
      <c r="B8" s="264"/>
      <c r="C8" s="264"/>
      <c r="D8" s="264"/>
      <c r="E8" s="264"/>
      <c r="F8" s="263"/>
      <c r="G8" s="238"/>
      <c r="H8" s="238"/>
      <c r="K8" s="126"/>
      <c r="L8" s="126"/>
    </row>
    <row r="9" spans="1:12" s="121" customFormat="1" ht="13" x14ac:dyDescent="0.25">
      <c r="A9" s="142" t="s">
        <v>7</v>
      </c>
      <c r="B9" s="262"/>
      <c r="C9" s="262"/>
      <c r="D9" s="262"/>
      <c r="E9" s="262"/>
      <c r="F9" s="261"/>
      <c r="G9" s="260"/>
      <c r="H9" s="260"/>
      <c r="K9" s="126"/>
      <c r="L9" s="126"/>
    </row>
    <row r="10" spans="1:12" s="121" customFormat="1" ht="13" x14ac:dyDescent="0.25">
      <c r="A10" s="142" t="s">
        <v>8</v>
      </c>
      <c r="B10" s="262"/>
      <c r="C10" s="262"/>
      <c r="D10" s="262"/>
      <c r="E10" s="262"/>
      <c r="F10" s="261"/>
      <c r="G10" s="260"/>
      <c r="H10" s="260"/>
      <c r="K10" s="126"/>
      <c r="L10" s="126"/>
    </row>
    <row r="11" spans="1:12" s="121" customFormat="1" ht="13" x14ac:dyDescent="0.25">
      <c r="A11" s="142" t="s">
        <v>9</v>
      </c>
      <c r="B11" s="262"/>
      <c r="C11" s="262"/>
      <c r="D11" s="262"/>
      <c r="E11" s="262"/>
      <c r="F11" s="261"/>
      <c r="G11" s="260"/>
      <c r="H11" s="260"/>
      <c r="J11" s="129"/>
      <c r="K11" s="255"/>
      <c r="L11" s="126"/>
    </row>
    <row r="12" spans="1:12" s="121" customFormat="1" ht="13" x14ac:dyDescent="0.25">
      <c r="A12" s="142" t="s">
        <v>10</v>
      </c>
      <c r="B12" s="262"/>
      <c r="C12" s="262"/>
      <c r="D12" s="262"/>
      <c r="E12" s="262"/>
      <c r="F12" s="261"/>
      <c r="G12" s="260"/>
      <c r="H12" s="260"/>
      <c r="J12" s="129"/>
      <c r="K12" s="255"/>
      <c r="L12" s="126"/>
    </row>
    <row r="13" spans="1:12" s="121" customFormat="1" ht="13" x14ac:dyDescent="0.25">
      <c r="A13" s="142" t="s">
        <v>11</v>
      </c>
      <c r="B13" s="262"/>
      <c r="C13" s="262"/>
      <c r="D13" s="262"/>
      <c r="E13" s="262"/>
      <c r="F13" s="261"/>
      <c r="G13" s="260"/>
      <c r="H13" s="260"/>
      <c r="J13" s="129"/>
      <c r="K13" s="255"/>
      <c r="L13" s="126"/>
    </row>
    <row r="14" spans="1:12" s="121" customFormat="1" ht="13" x14ac:dyDescent="0.25">
      <c r="A14" s="142" t="s">
        <v>12</v>
      </c>
      <c r="B14" s="262"/>
      <c r="C14" s="262"/>
      <c r="D14" s="262"/>
      <c r="E14" s="262"/>
      <c r="F14" s="261"/>
      <c r="G14" s="260"/>
      <c r="H14" s="260"/>
      <c r="J14" s="129"/>
      <c r="K14" s="255"/>
      <c r="L14" s="126"/>
    </row>
    <row r="15" spans="1:12" s="121" customFormat="1" ht="13" x14ac:dyDescent="0.3">
      <c r="A15" s="259"/>
      <c r="B15" s="258"/>
      <c r="C15" s="257"/>
      <c r="D15" s="257"/>
      <c r="E15" s="257"/>
      <c r="F15" s="256"/>
      <c r="G15" s="238"/>
      <c r="H15" s="238"/>
      <c r="J15" s="129"/>
      <c r="K15" s="255"/>
      <c r="L15" s="126"/>
    </row>
    <row r="16" spans="1:12" s="121" customFormat="1" ht="13" x14ac:dyDescent="0.25">
      <c r="A16" s="398" t="s">
        <v>13</v>
      </c>
      <c r="B16" s="399"/>
      <c r="C16" s="399"/>
      <c r="D16" s="399"/>
      <c r="E16" s="399"/>
      <c r="F16" s="400"/>
      <c r="G16" s="254"/>
      <c r="H16" s="254"/>
      <c r="J16" s="122"/>
      <c r="K16" s="128"/>
      <c r="L16" s="126"/>
    </row>
    <row r="17" spans="1:12" s="121" customFormat="1" ht="12.75" customHeight="1" x14ac:dyDescent="0.25">
      <c r="A17" s="407"/>
      <c r="B17" s="408"/>
      <c r="C17" s="408"/>
      <c r="D17" s="408"/>
      <c r="E17" s="408"/>
      <c r="F17" s="409"/>
      <c r="G17" s="238"/>
      <c r="H17" s="238"/>
      <c r="J17" s="122"/>
      <c r="K17" s="128"/>
      <c r="L17" s="126"/>
    </row>
    <row r="18" spans="1:12" s="121" customFormat="1" ht="55.5" customHeight="1" x14ac:dyDescent="0.25">
      <c r="A18" s="384" t="s">
        <v>14</v>
      </c>
      <c r="B18" s="385"/>
      <c r="C18" s="385"/>
      <c r="D18" s="385"/>
      <c r="E18" s="385"/>
      <c r="F18" s="386"/>
      <c r="G18" s="235"/>
      <c r="H18" s="235"/>
      <c r="K18" s="126"/>
      <c r="L18" s="126"/>
    </row>
    <row r="19" spans="1:12" s="121" customFormat="1" x14ac:dyDescent="0.25">
      <c r="A19" s="253"/>
      <c r="B19" s="238"/>
      <c r="C19" s="238"/>
      <c r="D19" s="238"/>
      <c r="E19" s="238"/>
      <c r="F19" s="252"/>
      <c r="G19" s="238"/>
      <c r="H19" s="238"/>
      <c r="K19" s="126"/>
      <c r="L19" s="126"/>
    </row>
    <row r="20" spans="1:12" s="121" customFormat="1" ht="13" x14ac:dyDescent="0.25">
      <c r="A20" s="398" t="s">
        <v>15</v>
      </c>
      <c r="B20" s="399"/>
      <c r="C20" s="399"/>
      <c r="D20" s="399"/>
      <c r="E20" s="399"/>
      <c r="F20" s="400"/>
      <c r="G20" s="254"/>
      <c r="H20" s="254"/>
      <c r="K20" s="126"/>
      <c r="L20" s="126"/>
    </row>
    <row r="21" spans="1:12" s="121" customFormat="1" x14ac:dyDescent="0.25">
      <c r="A21" s="253"/>
      <c r="B21" s="238"/>
      <c r="C21" s="238"/>
      <c r="D21" s="238"/>
      <c r="E21" s="238"/>
      <c r="F21" s="252"/>
      <c r="G21" s="238"/>
      <c r="H21" s="238"/>
      <c r="K21" s="126"/>
      <c r="L21" s="126"/>
    </row>
    <row r="22" spans="1:12" s="121" customFormat="1" ht="21" customHeight="1" x14ac:dyDescent="0.25">
      <c r="A22" s="384" t="s">
        <v>16</v>
      </c>
      <c r="B22" s="385"/>
      <c r="C22" s="385"/>
      <c r="D22" s="385"/>
      <c r="E22" s="385"/>
      <c r="F22" s="386"/>
      <c r="G22" s="235"/>
      <c r="H22" s="235"/>
      <c r="K22" s="126"/>
      <c r="L22" s="126"/>
    </row>
    <row r="23" spans="1:12" s="121" customFormat="1" x14ac:dyDescent="0.25">
      <c r="A23" s="253"/>
      <c r="B23" s="238"/>
      <c r="C23" s="238"/>
      <c r="D23" s="238"/>
      <c r="E23" s="238"/>
      <c r="F23" s="252"/>
      <c r="G23" s="238"/>
      <c r="H23" s="238"/>
      <c r="K23" s="126"/>
      <c r="L23" s="126"/>
    </row>
    <row r="24" spans="1:12" s="121" customFormat="1" ht="13" x14ac:dyDescent="0.25">
      <c r="A24" s="398" t="s">
        <v>17</v>
      </c>
      <c r="B24" s="399"/>
      <c r="C24" s="399"/>
      <c r="D24" s="399"/>
      <c r="E24" s="399"/>
      <c r="F24" s="400"/>
      <c r="G24" s="254"/>
      <c r="H24" s="254"/>
      <c r="K24" s="126"/>
      <c r="L24" s="126"/>
    </row>
    <row r="25" spans="1:12" s="121" customFormat="1" ht="13" x14ac:dyDescent="0.25">
      <c r="A25" s="253"/>
      <c r="B25" s="238"/>
      <c r="C25" s="238"/>
      <c r="D25" s="238"/>
      <c r="E25" s="238"/>
      <c r="F25" s="252"/>
      <c r="G25" s="238"/>
      <c r="H25" s="397"/>
      <c r="I25" s="397"/>
      <c r="K25" s="126"/>
      <c r="L25" s="126"/>
    </row>
    <row r="26" spans="1:12" s="121" customFormat="1" ht="28.5" customHeight="1" x14ac:dyDescent="0.25">
      <c r="A26" s="251" t="s">
        <v>18</v>
      </c>
      <c r="B26" s="250" t="s">
        <v>19</v>
      </c>
      <c r="C26" s="250" t="s">
        <v>20</v>
      </c>
      <c r="D26" s="250" t="s">
        <v>21</v>
      </c>
      <c r="E26" s="250" t="s">
        <v>22</v>
      </c>
      <c r="F26" s="249" t="s">
        <v>23</v>
      </c>
      <c r="G26" s="396"/>
      <c r="H26" s="396"/>
      <c r="I26" s="396"/>
      <c r="K26" s="126"/>
      <c r="L26" s="126"/>
    </row>
    <row r="27" spans="1:12" s="121" customFormat="1" ht="29.25" customHeight="1" x14ac:dyDescent="0.25">
      <c r="A27" s="248">
        <v>1</v>
      </c>
      <c r="B27" s="247" t="str">
        <f>Canoas!A11</f>
        <v>Servente 30 horas Canoas</v>
      </c>
      <c r="C27" s="246">
        <v>1</v>
      </c>
      <c r="D27" s="245">
        <f>Canoas!E118</f>
        <v>3620.59</v>
      </c>
      <c r="E27" s="245">
        <f>C27*D27</f>
        <v>3620.59</v>
      </c>
      <c r="F27" s="244">
        <f>E27*12</f>
        <v>43447.08</v>
      </c>
      <c r="G27" s="243"/>
      <c r="H27" s="242"/>
      <c r="I27" s="128"/>
      <c r="J27" s="140" t="s">
        <v>24</v>
      </c>
      <c r="K27" s="128"/>
      <c r="L27" s="128"/>
    </row>
    <row r="28" spans="1:12" s="121" customFormat="1" ht="29.25" customHeight="1" x14ac:dyDescent="0.25">
      <c r="A28" s="248">
        <v>2</v>
      </c>
      <c r="B28" s="247" t="str">
        <f>'CX Sul'!A11</f>
        <v>Servente 44 horas Caxias do Sul</v>
      </c>
      <c r="C28" s="246">
        <v>1</v>
      </c>
      <c r="D28" s="245">
        <f>'CX Sul'!E118</f>
        <v>4875.3500000000004</v>
      </c>
      <c r="E28" s="245">
        <f t="shared" ref="E28:E43" si="0">C28*D28</f>
        <v>4875.3500000000004</v>
      </c>
      <c r="F28" s="244">
        <f t="shared" ref="F28:F43" si="1">E28*12</f>
        <v>58504.200000000004</v>
      </c>
      <c r="G28" s="243"/>
      <c r="H28" s="242"/>
      <c r="I28" s="128"/>
      <c r="J28" s="140"/>
      <c r="K28" s="128"/>
      <c r="L28" s="128"/>
    </row>
    <row r="29" spans="1:12" s="121" customFormat="1" ht="29.25" customHeight="1" x14ac:dyDescent="0.25">
      <c r="A29" s="248">
        <v>3</v>
      </c>
      <c r="B29" s="247" t="str">
        <f>'CX Man'!A11</f>
        <v>Manutenção 44 horas Caxias do Sul</v>
      </c>
      <c r="C29" s="246">
        <v>1</v>
      </c>
      <c r="D29" s="245">
        <f>'CX Man'!E118</f>
        <v>3679.61</v>
      </c>
      <c r="E29" s="245">
        <f t="shared" si="0"/>
        <v>3679.61</v>
      </c>
      <c r="F29" s="244">
        <f t="shared" si="1"/>
        <v>44155.32</v>
      </c>
      <c r="G29" s="243"/>
      <c r="H29" s="242"/>
      <c r="I29" s="128"/>
      <c r="J29" s="140"/>
      <c r="K29" s="128"/>
      <c r="L29" s="128"/>
    </row>
    <row r="30" spans="1:12" s="121" customFormat="1" ht="29.25" customHeight="1" x14ac:dyDescent="0.25">
      <c r="A30" s="248">
        <v>4</v>
      </c>
      <c r="B30" s="247" t="str">
        <f>CD!A11</f>
        <v>Servente 30 horas Centro de Distribuição</v>
      </c>
      <c r="C30" s="246">
        <v>1</v>
      </c>
      <c r="D30" s="245">
        <f>CD!E118</f>
        <v>3600.51</v>
      </c>
      <c r="E30" s="245">
        <f t="shared" si="0"/>
        <v>3600.51</v>
      </c>
      <c r="F30" s="244">
        <f>E30*12</f>
        <v>43206.12</v>
      </c>
      <c r="G30" s="243"/>
      <c r="H30" s="242"/>
      <c r="I30" s="128"/>
      <c r="J30" s="140"/>
      <c r="K30" s="128"/>
      <c r="L30" s="128"/>
    </row>
    <row r="31" spans="1:12" s="121" customFormat="1" ht="29.25" customHeight="1" x14ac:dyDescent="0.25">
      <c r="A31" s="248">
        <v>5</v>
      </c>
      <c r="B31" s="247" t="str">
        <f>Erechim!A11</f>
        <v>Servente 30 horas Erechim</v>
      </c>
      <c r="C31" s="246">
        <v>1</v>
      </c>
      <c r="D31" s="245">
        <f>Erechim!E118</f>
        <v>3559.49</v>
      </c>
      <c r="E31" s="245">
        <f>C31*D31</f>
        <v>3559.49</v>
      </c>
      <c r="F31" s="244">
        <f t="shared" si="1"/>
        <v>42713.88</v>
      </c>
      <c r="G31" s="243"/>
      <c r="H31" s="242"/>
      <c r="I31" s="128"/>
      <c r="J31" s="140"/>
      <c r="K31" s="128"/>
      <c r="L31" s="128"/>
    </row>
    <row r="32" spans="1:12" s="121" customFormat="1" ht="29.25" customHeight="1" x14ac:dyDescent="0.25">
      <c r="A32" s="248">
        <v>6</v>
      </c>
      <c r="B32" s="247" t="str">
        <f>Gravataí!A11</f>
        <v>Servente 30 horas Gravataí</v>
      </c>
      <c r="C32" s="246">
        <v>1</v>
      </c>
      <c r="D32" s="245">
        <f>Gravataí!E118</f>
        <v>3587.14</v>
      </c>
      <c r="E32" s="245">
        <f>C32*D32</f>
        <v>3587.14</v>
      </c>
      <c r="F32" s="244">
        <f t="shared" si="1"/>
        <v>43045.68</v>
      </c>
      <c r="G32" s="243"/>
      <c r="H32" s="242"/>
      <c r="I32" s="128"/>
      <c r="J32" s="140"/>
      <c r="K32" s="128"/>
      <c r="L32" s="128"/>
    </row>
    <row r="33" spans="1:12" s="121" customFormat="1" ht="29.25" customHeight="1" x14ac:dyDescent="0.25">
      <c r="A33" s="248">
        <v>7</v>
      </c>
      <c r="B33" s="247" t="str">
        <f>Ijuí!A11</f>
        <v>Servente 40 horas Ijuí</v>
      </c>
      <c r="C33" s="246">
        <v>1</v>
      </c>
      <c r="D33" s="245">
        <f>Ijuí!E118</f>
        <v>4418.25</v>
      </c>
      <c r="E33" s="245">
        <f t="shared" si="0"/>
        <v>4418.25</v>
      </c>
      <c r="F33" s="244">
        <f t="shared" si="1"/>
        <v>53019</v>
      </c>
      <c r="G33" s="243"/>
      <c r="H33" s="242"/>
      <c r="I33" s="128"/>
      <c r="J33" s="140"/>
      <c r="K33" s="128"/>
      <c r="L33" s="128"/>
    </row>
    <row r="34" spans="1:12" s="121" customFormat="1" ht="29.25" customHeight="1" x14ac:dyDescent="0.25">
      <c r="A34" s="248">
        <v>8</v>
      </c>
      <c r="B34" s="247" t="str">
        <f>Lajeado!A11</f>
        <v>Servente 30 horas Lajeado</v>
      </c>
      <c r="C34" s="246">
        <v>1</v>
      </c>
      <c r="D34" s="245">
        <f>Lajeado!E118</f>
        <v>3610.63</v>
      </c>
      <c r="E34" s="245">
        <f>C34*D34</f>
        <v>3610.63</v>
      </c>
      <c r="F34" s="244">
        <f t="shared" si="1"/>
        <v>43327.56</v>
      </c>
      <c r="G34" s="243"/>
      <c r="H34" s="242"/>
      <c r="I34" s="128"/>
      <c r="J34" s="140"/>
      <c r="K34" s="128"/>
      <c r="L34" s="128"/>
    </row>
    <row r="35" spans="1:12" s="121" customFormat="1" ht="29.25" customHeight="1" x14ac:dyDescent="0.25">
      <c r="A35" s="248">
        <v>9</v>
      </c>
      <c r="B35" s="247" t="str">
        <f>'Composição de Custos'!A16</f>
        <v>Auxiliar de Limpeza</v>
      </c>
      <c r="C35" s="246">
        <v>1</v>
      </c>
      <c r="D35" s="245">
        <f>'Composição de Custos'!E130</f>
        <v>43.08</v>
      </c>
      <c r="E35" s="245">
        <f t="shared" si="0"/>
        <v>43.08</v>
      </c>
      <c r="F35" s="244">
        <f t="shared" si="1"/>
        <v>516.96</v>
      </c>
      <c r="G35" s="243"/>
      <c r="H35" s="242"/>
      <c r="I35" s="128"/>
      <c r="J35" s="140"/>
      <c r="K35" s="128"/>
      <c r="L35" s="128"/>
    </row>
    <row r="36" spans="1:12" s="121" customFormat="1" ht="29.25" customHeight="1" x14ac:dyDescent="0.25">
      <c r="A36" s="248">
        <v>10</v>
      </c>
      <c r="B36" s="247" t="e">
        <f>#REF!</f>
        <v>#REF!</v>
      </c>
      <c r="C36" s="246">
        <v>1</v>
      </c>
      <c r="D36" s="245" t="e">
        <f>#REF!</f>
        <v>#REF!</v>
      </c>
      <c r="E36" s="245" t="e">
        <f>C36*D36</f>
        <v>#REF!</v>
      </c>
      <c r="F36" s="244" t="e">
        <f t="shared" si="1"/>
        <v>#REF!</v>
      </c>
      <c r="G36" s="243"/>
      <c r="H36" s="242"/>
      <c r="I36" s="128"/>
      <c r="J36" s="140"/>
      <c r="K36" s="128"/>
      <c r="L36" s="128"/>
    </row>
    <row r="37" spans="1:12" s="121" customFormat="1" ht="29.25" customHeight="1" x14ac:dyDescent="0.25">
      <c r="A37" s="248">
        <v>11</v>
      </c>
      <c r="B37" s="247" t="str">
        <f>'Nov Ham'!A11</f>
        <v>Servente 30 horas Novo Hamburgo</v>
      </c>
      <c r="C37" s="246">
        <v>1</v>
      </c>
      <c r="D37" s="245">
        <f>'Nov Ham'!E118</f>
        <v>3570.57</v>
      </c>
      <c r="E37" s="245">
        <f>C37*D37</f>
        <v>3570.57</v>
      </c>
      <c r="F37" s="244">
        <f t="shared" si="1"/>
        <v>42846.840000000004</v>
      </c>
      <c r="G37" s="243"/>
      <c r="H37" s="242"/>
      <c r="I37" s="128"/>
      <c r="J37" s="140"/>
      <c r="K37" s="128"/>
      <c r="L37" s="128"/>
    </row>
    <row r="38" spans="1:12" s="121" customFormat="1" ht="29.25" customHeight="1" x14ac:dyDescent="0.25">
      <c r="A38" s="248">
        <v>12</v>
      </c>
      <c r="B38" s="247" t="str">
        <f>'Pass Fun'!A11</f>
        <v>Servente 30 horas Passo Fundo</v>
      </c>
      <c r="C38" s="246">
        <v>1</v>
      </c>
      <c r="D38" s="245">
        <f>'Pass Fun'!E118</f>
        <v>3615.89</v>
      </c>
      <c r="E38" s="245">
        <f t="shared" si="0"/>
        <v>3615.89</v>
      </c>
      <c r="F38" s="244">
        <f t="shared" si="1"/>
        <v>43390.68</v>
      </c>
      <c r="G38" s="243"/>
      <c r="H38" s="242"/>
      <c r="I38" s="128"/>
      <c r="J38" s="140"/>
      <c r="K38" s="128"/>
      <c r="L38" s="128"/>
    </row>
    <row r="39" spans="1:12" s="121" customFormat="1" ht="29.25" customHeight="1" x14ac:dyDescent="0.25">
      <c r="A39" s="248">
        <v>13</v>
      </c>
      <c r="B39" s="247" t="str">
        <f>Pelotas!A11</f>
        <v>Servente 30 horas Pelotas</v>
      </c>
      <c r="C39" s="246">
        <v>1</v>
      </c>
      <c r="D39" s="245">
        <f>Pelotas!E118</f>
        <v>3651.12</v>
      </c>
      <c r="E39" s="245">
        <f t="shared" si="0"/>
        <v>3651.12</v>
      </c>
      <c r="F39" s="244">
        <f t="shared" si="1"/>
        <v>43813.440000000002</v>
      </c>
      <c r="G39" s="243"/>
      <c r="H39" s="242"/>
      <c r="I39" s="128"/>
      <c r="J39" s="140"/>
      <c r="K39" s="128"/>
      <c r="L39" s="128"/>
    </row>
    <row r="40" spans="1:12" s="121" customFormat="1" ht="29.25" customHeight="1" x14ac:dyDescent="0.25">
      <c r="A40" s="248">
        <v>14</v>
      </c>
      <c r="B40" s="247" t="str">
        <f>'Sat Crz'!A11</f>
        <v>Servente 30 horas Santa Cruz do Sul</v>
      </c>
      <c r="C40" s="246">
        <v>1</v>
      </c>
      <c r="D40" s="245">
        <f>'Sat Crz'!E118</f>
        <v>3563.01</v>
      </c>
      <c r="E40" s="245">
        <f t="shared" si="0"/>
        <v>3563.01</v>
      </c>
      <c r="F40" s="244">
        <f t="shared" si="1"/>
        <v>42756.12</v>
      </c>
      <c r="G40" s="243"/>
      <c r="H40" s="242"/>
      <c r="I40" s="128"/>
      <c r="J40" s="140"/>
      <c r="K40" s="128"/>
      <c r="L40" s="128"/>
    </row>
    <row r="41" spans="1:12" s="121" customFormat="1" ht="29.25" customHeight="1" x14ac:dyDescent="0.25">
      <c r="A41" s="248">
        <v>15</v>
      </c>
      <c r="B41" s="247" t="str">
        <f>'Sta Mr'!A11</f>
        <v>Servente 30 horas Santa Maria</v>
      </c>
      <c r="C41" s="246">
        <v>1</v>
      </c>
      <c r="D41" s="245">
        <f>'Sta Mr'!E118</f>
        <v>3671.72</v>
      </c>
      <c r="E41" s="245">
        <f t="shared" si="0"/>
        <v>3671.72</v>
      </c>
      <c r="F41" s="244">
        <f>E41*12</f>
        <v>44060.639999999999</v>
      </c>
      <c r="G41" s="243"/>
      <c r="H41" s="242"/>
      <c r="I41" s="128"/>
      <c r="J41" s="140"/>
      <c r="K41" s="128"/>
      <c r="L41" s="128"/>
    </row>
    <row r="42" spans="1:12" s="121" customFormat="1" ht="29.25" customHeight="1" x14ac:dyDescent="0.25">
      <c r="A42" s="248">
        <v>16</v>
      </c>
      <c r="B42" s="247" t="str">
        <f>Livram!A11</f>
        <v>Servente 30 horas Santana do Livramento</v>
      </c>
      <c r="C42" s="246">
        <v>1</v>
      </c>
      <c r="D42" s="245">
        <f>Livram!E118</f>
        <v>3528.95</v>
      </c>
      <c r="E42" s="245">
        <f t="shared" si="0"/>
        <v>3528.95</v>
      </c>
      <c r="F42" s="244">
        <f t="shared" si="1"/>
        <v>42347.399999999994</v>
      </c>
      <c r="G42" s="243"/>
      <c r="H42" s="242"/>
      <c r="I42" s="128"/>
      <c r="J42" s="140"/>
      <c r="K42" s="128"/>
      <c r="L42" s="128"/>
    </row>
    <row r="43" spans="1:12" s="121" customFormat="1" ht="29.25" customHeight="1" x14ac:dyDescent="0.25">
      <c r="A43" s="248">
        <v>17</v>
      </c>
      <c r="B43" s="247" t="str">
        <f>'Sao Leopo'!A11</f>
        <v>Servente 30 horas São Leopoldo</v>
      </c>
      <c r="C43" s="246">
        <v>1</v>
      </c>
      <c r="D43" s="245">
        <f>'Sao Leopo'!E118</f>
        <v>3604.14</v>
      </c>
      <c r="E43" s="245">
        <f t="shared" si="0"/>
        <v>3604.14</v>
      </c>
      <c r="F43" s="244">
        <f t="shared" si="1"/>
        <v>43249.68</v>
      </c>
      <c r="G43" s="243"/>
      <c r="H43" s="242"/>
      <c r="I43" s="128"/>
      <c r="J43" s="140"/>
      <c r="K43" s="128"/>
      <c r="L43" s="128"/>
    </row>
    <row r="44" spans="1:12" s="121" customFormat="1" ht="17.25" customHeight="1" x14ac:dyDescent="0.25">
      <c r="A44" s="401" t="s">
        <v>25</v>
      </c>
      <c r="B44" s="402"/>
      <c r="C44" s="402"/>
      <c r="D44" s="403"/>
      <c r="E44" s="241" t="e">
        <f>ROUND(SUM(E27:E43),2)</f>
        <v>#REF!</v>
      </c>
      <c r="F44" s="240" t="e">
        <f>ROUND(SUM(F27:F43),2)</f>
        <v>#REF!</v>
      </c>
      <c r="G44" s="239"/>
      <c r="H44" s="239"/>
      <c r="I44" s="239"/>
      <c r="J44" s="127"/>
      <c r="K44" s="239"/>
      <c r="L44" s="239"/>
    </row>
    <row r="45" spans="1:12" s="121" customFormat="1" ht="22.5" customHeight="1" x14ac:dyDescent="0.25">
      <c r="A45" s="404" t="e">
        <f ca="1">[1]!VExtensoFree(F44)</f>
        <v>#NAME?</v>
      </c>
      <c r="B45" s="405"/>
      <c r="C45" s="405"/>
      <c r="D45" s="405"/>
      <c r="E45" s="405"/>
      <c r="F45" s="406"/>
      <c r="G45" s="238"/>
      <c r="H45" s="397"/>
      <c r="I45" s="397"/>
      <c r="K45" s="126"/>
      <c r="L45" s="126"/>
    </row>
    <row r="46" spans="1:12" s="232" customFormat="1" x14ac:dyDescent="0.25">
      <c r="A46" s="384" t="s">
        <v>26</v>
      </c>
      <c r="B46" s="385"/>
      <c r="C46" s="385"/>
      <c r="D46" s="385"/>
      <c r="E46" s="385"/>
      <c r="F46" s="386"/>
      <c r="G46" s="235"/>
      <c r="H46" s="237"/>
      <c r="I46" s="236" t="s">
        <v>27</v>
      </c>
      <c r="J46" s="281">
        <v>745561.8</v>
      </c>
      <c r="K46" s="219"/>
      <c r="L46" s="219"/>
    </row>
    <row r="47" spans="1:12" s="232" customFormat="1" ht="69.75" customHeight="1" x14ac:dyDescent="0.25">
      <c r="A47" s="384" t="s">
        <v>28</v>
      </c>
      <c r="B47" s="385"/>
      <c r="C47" s="385"/>
      <c r="D47" s="385"/>
      <c r="E47" s="385"/>
      <c r="F47" s="386"/>
      <c r="G47" s="235"/>
      <c r="H47" s="235"/>
      <c r="K47" s="219"/>
      <c r="L47" s="219"/>
    </row>
    <row r="48" spans="1:12" s="232" customFormat="1" ht="63.75" customHeight="1" x14ac:dyDescent="0.25">
      <c r="A48" s="384" t="s">
        <v>29</v>
      </c>
      <c r="B48" s="385"/>
      <c r="C48" s="385"/>
      <c r="D48" s="385"/>
      <c r="E48" s="385"/>
      <c r="F48" s="386"/>
      <c r="G48" s="235"/>
      <c r="H48" s="235"/>
      <c r="K48" s="219"/>
      <c r="L48" s="219"/>
    </row>
    <row r="49" spans="1:12" s="232" customFormat="1" ht="26.25" customHeight="1" x14ac:dyDescent="0.25">
      <c r="A49" s="384" t="s">
        <v>30</v>
      </c>
      <c r="B49" s="385"/>
      <c r="C49" s="385"/>
      <c r="D49" s="385"/>
      <c r="E49" s="385"/>
      <c r="F49" s="386"/>
      <c r="G49" s="234"/>
      <c r="H49" s="234"/>
      <c r="K49" s="219"/>
      <c r="L49" s="219"/>
    </row>
    <row r="50" spans="1:12" s="232" customFormat="1" x14ac:dyDescent="0.25">
      <c r="A50" s="413" t="s">
        <v>31</v>
      </c>
      <c r="B50" s="414"/>
      <c r="C50" s="414"/>
      <c r="D50" s="414"/>
      <c r="E50" s="414"/>
      <c r="F50" s="415"/>
      <c r="G50" s="233"/>
      <c r="H50" s="233"/>
      <c r="K50" s="219"/>
      <c r="L50" s="219"/>
    </row>
    <row r="51" spans="1:12" s="121" customFormat="1" ht="27.75" customHeight="1" x14ac:dyDescent="0.25">
      <c r="A51" s="231"/>
      <c r="B51" s="227"/>
      <c r="C51" s="229"/>
      <c r="D51" s="229"/>
      <c r="E51" s="229"/>
      <c r="F51" s="230"/>
      <c r="G51" s="229"/>
      <c r="H51" s="229"/>
      <c r="K51" s="126"/>
      <c r="L51" s="126"/>
    </row>
    <row r="52" spans="1:12" s="121" customFormat="1" x14ac:dyDescent="0.25">
      <c r="A52" s="231"/>
      <c r="B52" s="227"/>
      <c r="C52" s="229"/>
      <c r="D52" s="229"/>
      <c r="E52" s="229"/>
      <c r="F52" s="230"/>
      <c r="G52" s="229"/>
      <c r="H52" s="229"/>
      <c r="K52" s="126"/>
      <c r="L52" s="126"/>
    </row>
    <row r="53" spans="1:12" s="121" customFormat="1" ht="13" x14ac:dyDescent="0.3">
      <c r="A53" s="416" t="s">
        <v>32</v>
      </c>
      <c r="B53" s="417"/>
      <c r="C53" s="417"/>
      <c r="D53" s="417"/>
      <c r="E53" s="417"/>
      <c r="F53" s="418"/>
      <c r="G53" s="228"/>
      <c r="H53" s="228"/>
      <c r="K53" s="126"/>
      <c r="L53" s="126"/>
    </row>
    <row r="54" spans="1:12" s="121" customFormat="1" x14ac:dyDescent="0.25">
      <c r="A54" s="419" t="s">
        <v>33</v>
      </c>
      <c r="B54" s="420"/>
      <c r="C54" s="420"/>
      <c r="D54" s="420"/>
      <c r="E54" s="420"/>
      <c r="F54" s="421"/>
      <c r="G54" s="227"/>
      <c r="H54" s="227"/>
      <c r="K54" s="126"/>
      <c r="L54" s="126"/>
    </row>
    <row r="55" spans="1:12" s="121" customFormat="1" x14ac:dyDescent="0.25">
      <c r="A55" s="419" t="s">
        <v>34</v>
      </c>
      <c r="B55" s="420"/>
      <c r="C55" s="420"/>
      <c r="D55" s="420"/>
      <c r="E55" s="420"/>
      <c r="F55" s="421"/>
      <c r="G55" s="227"/>
      <c r="H55" s="227"/>
      <c r="K55" s="126"/>
      <c r="L55" s="126"/>
    </row>
    <row r="56" spans="1:12" s="121" customFormat="1" ht="13" thickBot="1" x14ac:dyDescent="0.3">
      <c r="A56" s="410" t="s">
        <v>35</v>
      </c>
      <c r="B56" s="411"/>
      <c r="C56" s="411"/>
      <c r="D56" s="411"/>
      <c r="E56" s="411"/>
      <c r="F56" s="412"/>
      <c r="G56" s="227"/>
      <c r="H56" s="227"/>
      <c r="K56" s="126"/>
      <c r="L56" s="126"/>
    </row>
  </sheetData>
  <mergeCells count="27">
    <mergeCell ref="A56:F56"/>
    <mergeCell ref="A49:F49"/>
    <mergeCell ref="A50:F50"/>
    <mergeCell ref="A53:F53"/>
    <mergeCell ref="A54:F54"/>
    <mergeCell ref="A55:F55"/>
    <mergeCell ref="G26:I26"/>
    <mergeCell ref="H45:I45"/>
    <mergeCell ref="H25:I25"/>
    <mergeCell ref="A7:F7"/>
    <mergeCell ref="A47:F47"/>
    <mergeCell ref="A46:F46"/>
    <mergeCell ref="A44:D44"/>
    <mergeCell ref="A45:F45"/>
    <mergeCell ref="A20:F20"/>
    <mergeCell ref="A16:F16"/>
    <mergeCell ref="A17:F17"/>
    <mergeCell ref="A18:F18"/>
    <mergeCell ref="A22:F22"/>
    <mergeCell ref="A24:F24"/>
    <mergeCell ref="A48:F48"/>
    <mergeCell ref="A1:F1"/>
    <mergeCell ref="A2:F2"/>
    <mergeCell ref="A4:F4"/>
    <mergeCell ref="A5:F5"/>
    <mergeCell ref="A6:E6"/>
    <mergeCell ref="A3:F3"/>
  </mergeCells>
  <printOptions horizontalCentered="1" verticalCentered="1"/>
  <pageMargins left="0.39370078740157483" right="0.39370078740157483" top="0.98425196850393704" bottom="0.78740157480314965" header="0.39370078740157483" footer="0.39370078740157483"/>
  <pageSetup paperSize="9" scale="61" orientation="portrait" r:id="rId1"/>
  <headerFooter alignWithMargins="0">
    <oddHeader>&amp;L&amp;"Calibri"&amp;12&amp;K008000 Pública&amp;1#_x000D_&amp;R&amp;G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T121"/>
  <sheetViews>
    <sheetView view="pageBreakPreview" topLeftCell="A93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92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101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Canoas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R$ 4,8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143.06</v>
      </c>
      <c r="F50" s="34">
        <v>4.8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348.67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348.67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1336.2000000000003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10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10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10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5" spans="1:10" x14ac:dyDescent="0.25">
      <c r="J85" s="37" t="s">
        <v>175</v>
      </c>
    </row>
    <row r="86" spans="1:10" ht="12.75" customHeight="1" x14ac:dyDescent="0.25">
      <c r="A86" s="332" t="s">
        <v>176</v>
      </c>
      <c r="B86" s="332"/>
      <c r="C86" s="332"/>
      <c r="D86" s="332"/>
      <c r="E86" s="332"/>
    </row>
    <row r="87" spans="1:10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10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10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10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10" ht="13" x14ac:dyDescent="0.25">
      <c r="A92" s="326" t="s">
        <v>183</v>
      </c>
      <c r="B92" s="331"/>
      <c r="C92" s="331"/>
      <c r="D92" s="331"/>
      <c r="E92" s="327"/>
    </row>
    <row r="93" spans="1:10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10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10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10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0.87142131841981851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89.61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169.22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47.47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218.63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0.03</v>
      </c>
      <c r="E106" s="42">
        <f>ROUND((($E$116+$E$101+$E$102)/(1-($D$104+$D$105+$D$106)))*D106,2)</f>
        <v>108.62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0.18849612265126375</v>
      </c>
      <c r="E107" s="22">
        <f>SUM(E101:E106)</f>
        <v>633.54999999999995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1336.2000000000003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2987.0360000000005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633.54999999999995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3620.59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3620.59</v>
      </c>
      <c r="F120" s="54">
        <f>ROUND((E30+E36+E47+E54+E71+E80+E84+E97+E101+E102)/(1-(D104+D105+D106)),2)</f>
        <v>3620.58</v>
      </c>
      <c r="G120" s="54">
        <f>F120-E118</f>
        <v>-1.0000000000218279E-2</v>
      </c>
    </row>
    <row r="121" spans="1:11" x14ac:dyDescent="0.25">
      <c r="E121" s="41">
        <v>3553.78</v>
      </c>
      <c r="F121" s="287">
        <f>ABS(E121-E120)/E121</f>
        <v>1.8799700600487353E-2</v>
      </c>
      <c r="G121" s="289">
        <f>E120*12</f>
        <v>43447.08</v>
      </c>
    </row>
  </sheetData>
  <mergeCells count="114">
    <mergeCell ref="H104:K113"/>
    <mergeCell ref="B115:D115"/>
    <mergeCell ref="B116:D116"/>
    <mergeCell ref="B117:D117"/>
    <mergeCell ref="A118:D118"/>
    <mergeCell ref="A119:D119"/>
    <mergeCell ref="A120:D120"/>
    <mergeCell ref="A109:E109"/>
    <mergeCell ref="A110:D110"/>
    <mergeCell ref="B111:D111"/>
    <mergeCell ref="B112:D112"/>
    <mergeCell ref="B113:D113"/>
    <mergeCell ref="B114:D114"/>
    <mergeCell ref="B104:C104"/>
    <mergeCell ref="B105:C105"/>
    <mergeCell ref="B106:C106"/>
    <mergeCell ref="A107:C107"/>
    <mergeCell ref="B101:C101"/>
    <mergeCell ref="F101:G101"/>
    <mergeCell ref="B102:C102"/>
    <mergeCell ref="F102:G102"/>
    <mergeCell ref="B103:C103"/>
    <mergeCell ref="F104:G106"/>
    <mergeCell ref="B94:C94"/>
    <mergeCell ref="B95:C95"/>
    <mergeCell ref="B96:C96"/>
    <mergeCell ref="A97:C97"/>
    <mergeCell ref="A99:E99"/>
    <mergeCell ref="B100:C100"/>
    <mergeCell ref="A87:D87"/>
    <mergeCell ref="B88:D88"/>
    <mergeCell ref="B89:D89"/>
    <mergeCell ref="A90:D90"/>
    <mergeCell ref="A92:E92"/>
    <mergeCell ref="B93:C93"/>
    <mergeCell ref="B79:C79"/>
    <mergeCell ref="A80:C80"/>
    <mergeCell ref="A82:C82"/>
    <mergeCell ref="B83:C83"/>
    <mergeCell ref="A84:C84"/>
    <mergeCell ref="A86:E86"/>
    <mergeCell ref="B76:C76"/>
    <mergeCell ref="B77:C77"/>
    <mergeCell ref="B78:C78"/>
    <mergeCell ref="B66:C66"/>
    <mergeCell ref="B67:C67"/>
    <mergeCell ref="B68:C68"/>
    <mergeCell ref="B69:C69"/>
    <mergeCell ref="B70:C70"/>
    <mergeCell ref="A71:C71"/>
    <mergeCell ref="B64:C64"/>
    <mergeCell ref="B65:C65"/>
    <mergeCell ref="A54:C54"/>
    <mergeCell ref="A56:E56"/>
    <mergeCell ref="A57:D57"/>
    <mergeCell ref="B58:D58"/>
    <mergeCell ref="A73:E73"/>
    <mergeCell ref="B74:C74"/>
    <mergeCell ref="B75:C75"/>
    <mergeCell ref="B50:C50"/>
    <mergeCell ref="B51:C51"/>
    <mergeCell ref="B52:C52"/>
    <mergeCell ref="F52:T52"/>
    <mergeCell ref="B59:D59"/>
    <mergeCell ref="B60:D60"/>
    <mergeCell ref="A61:D61"/>
    <mergeCell ref="B53:C53"/>
    <mergeCell ref="A63:E63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5:C25"/>
    <mergeCell ref="B29:C29"/>
    <mergeCell ref="B14:D14"/>
    <mergeCell ref="B15:D15"/>
    <mergeCell ref="B16:D16"/>
    <mergeCell ref="B17:D17"/>
    <mergeCell ref="B18:D18"/>
    <mergeCell ref="A20:E20"/>
    <mergeCell ref="B28:C28"/>
    <mergeCell ref="B24:C24"/>
    <mergeCell ref="B26:C26"/>
    <mergeCell ref="B27:C27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</sheetPr>
  <dimension ref="A1:H8"/>
  <sheetViews>
    <sheetView showGridLines="0" view="pageBreakPreview" zoomScale="85" zoomScaleNormal="100" zoomScaleSheetLayoutView="85" workbookViewId="0">
      <selection activeCell="A28" sqref="A28:D28"/>
    </sheetView>
  </sheetViews>
  <sheetFormatPr defaultColWidth="9.1796875" defaultRowHeight="12.5" x14ac:dyDescent="0.25"/>
  <cols>
    <col min="1" max="1" width="12" style="103" customWidth="1"/>
    <col min="2" max="2" width="76.81640625" style="103" bestFit="1" customWidth="1"/>
    <col min="3" max="3" width="13.1796875" style="103" customWidth="1"/>
    <col min="4" max="5" width="13.54296875" style="103" customWidth="1"/>
    <col min="6" max="8" width="13.54296875" style="106" customWidth="1"/>
    <col min="9" max="16384" width="9.1796875" style="103"/>
  </cols>
  <sheetData>
    <row r="1" spans="1:8" ht="23.25" customHeight="1" x14ac:dyDescent="0.25">
      <c r="A1" s="109" t="s">
        <v>18</v>
      </c>
      <c r="B1" s="110" t="s">
        <v>211</v>
      </c>
      <c r="C1" s="110" t="s">
        <v>212</v>
      </c>
      <c r="D1" s="110" t="s">
        <v>20</v>
      </c>
      <c r="E1" s="110" t="s">
        <v>213</v>
      </c>
      <c r="F1" s="111" t="s">
        <v>214</v>
      </c>
      <c r="G1" s="111" t="s">
        <v>215</v>
      </c>
      <c r="H1" s="112" t="s">
        <v>191</v>
      </c>
    </row>
    <row r="2" spans="1:8" ht="23.25" customHeight="1" x14ac:dyDescent="0.25">
      <c r="A2" s="113">
        <v>1</v>
      </c>
      <c r="B2" s="104" t="s">
        <v>216</v>
      </c>
      <c r="C2" s="104" t="s">
        <v>212</v>
      </c>
      <c r="D2" s="104">
        <v>3</v>
      </c>
      <c r="E2" s="104">
        <v>6</v>
      </c>
      <c r="F2" s="105">
        <v>14</v>
      </c>
      <c r="G2" s="105">
        <f t="shared" ref="G2:G7" si="0">ROUND(D2*F2,2)</f>
        <v>42</v>
      </c>
      <c r="H2" s="114">
        <f t="shared" ref="H2:H7" si="1">ROUND(G2/E2,2)</f>
        <v>7</v>
      </c>
    </row>
    <row r="3" spans="1:8" ht="23.25" customHeight="1" x14ac:dyDescent="0.25">
      <c r="A3" s="113">
        <v>2</v>
      </c>
      <c r="B3" s="104" t="s">
        <v>217</v>
      </c>
      <c r="C3" s="104" t="s">
        <v>212</v>
      </c>
      <c r="D3" s="104">
        <v>4</v>
      </c>
      <c r="E3" s="104">
        <v>6</v>
      </c>
      <c r="F3" s="105">
        <v>15</v>
      </c>
      <c r="G3" s="105">
        <f t="shared" si="0"/>
        <v>60</v>
      </c>
      <c r="H3" s="114">
        <f t="shared" si="1"/>
        <v>10</v>
      </c>
    </row>
    <row r="4" spans="1:8" ht="23.25" customHeight="1" x14ac:dyDescent="0.25">
      <c r="A4" s="113">
        <v>3</v>
      </c>
      <c r="B4" s="104" t="s">
        <v>218</v>
      </c>
      <c r="C4" s="104" t="s">
        <v>212</v>
      </c>
      <c r="D4" s="104">
        <v>2</v>
      </c>
      <c r="E4" s="104">
        <v>6</v>
      </c>
      <c r="F4" s="105">
        <v>17</v>
      </c>
      <c r="G4" s="105">
        <f t="shared" si="0"/>
        <v>34</v>
      </c>
      <c r="H4" s="114">
        <f t="shared" si="1"/>
        <v>5.67</v>
      </c>
    </row>
    <row r="5" spans="1:8" ht="23.25" customHeight="1" x14ac:dyDescent="0.25">
      <c r="A5" s="113">
        <v>4</v>
      </c>
      <c r="B5" s="104" t="s">
        <v>219</v>
      </c>
      <c r="C5" s="104" t="s">
        <v>212</v>
      </c>
      <c r="D5" s="104">
        <v>1</v>
      </c>
      <c r="E5" s="104">
        <v>6</v>
      </c>
      <c r="F5" s="105">
        <v>20</v>
      </c>
      <c r="G5" s="105">
        <f t="shared" si="0"/>
        <v>20</v>
      </c>
      <c r="H5" s="114">
        <f t="shared" si="1"/>
        <v>3.33</v>
      </c>
    </row>
    <row r="6" spans="1:8" ht="23.25" customHeight="1" x14ac:dyDescent="0.25">
      <c r="A6" s="113">
        <v>5</v>
      </c>
      <c r="B6" s="104" t="s">
        <v>220</v>
      </c>
      <c r="C6" s="104" t="s">
        <v>221</v>
      </c>
      <c r="D6" s="104">
        <v>1</v>
      </c>
      <c r="E6" s="104">
        <v>12</v>
      </c>
      <c r="F6" s="105">
        <v>25</v>
      </c>
      <c r="G6" s="105">
        <f t="shared" si="0"/>
        <v>25</v>
      </c>
      <c r="H6" s="114">
        <f t="shared" si="1"/>
        <v>2.08</v>
      </c>
    </row>
    <row r="7" spans="1:8" ht="23.25" customHeight="1" x14ac:dyDescent="0.25">
      <c r="A7" s="113">
        <v>6</v>
      </c>
      <c r="B7" s="104" t="s">
        <v>222</v>
      </c>
      <c r="C7" s="104" t="s">
        <v>221</v>
      </c>
      <c r="D7" s="104">
        <v>1</v>
      </c>
      <c r="E7" s="104">
        <v>12</v>
      </c>
      <c r="F7" s="105">
        <v>30</v>
      </c>
      <c r="G7" s="105">
        <f t="shared" si="0"/>
        <v>30</v>
      </c>
      <c r="H7" s="114">
        <f t="shared" si="1"/>
        <v>2.5</v>
      </c>
    </row>
    <row r="8" spans="1:8" ht="23.25" customHeight="1" thickBot="1" x14ac:dyDescent="0.3">
      <c r="A8" s="425" t="s">
        <v>223</v>
      </c>
      <c r="B8" s="426"/>
      <c r="C8" s="426"/>
      <c r="D8" s="426"/>
      <c r="E8" s="426"/>
      <c r="F8" s="426"/>
      <c r="G8" s="426"/>
      <c r="H8" s="115">
        <f>ROUND(SUM(H2:H7),20)</f>
        <v>30.58</v>
      </c>
    </row>
  </sheetData>
  <mergeCells count="1">
    <mergeCell ref="A8:G8"/>
  </mergeCells>
  <printOptions horizontalCentered="1" verticalCentered="1"/>
  <pageMargins left="0.39370078740157483" right="0.39370078740157483" top="0.98425196850393704" bottom="0.78740157480314965" header="0.31496062992125984" footer="0.31496062992125984"/>
  <pageSetup paperSize="9" scale="54" orientation="portrait" r:id="rId1"/>
  <headerFooter>
    <oddHeader>&amp;L&amp;"Calibri"&amp;12&amp;K008000 Pública&amp;1#_x000D_&amp;R&amp;G</oddHeader>
    <oddFooter>&amp;C&amp;G&amp;R&amp;G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T123"/>
  <sheetViews>
    <sheetView view="pageBreakPreview" topLeftCell="A90" zoomScaleNormal="100" zoomScaleSheetLayoutView="100" workbookViewId="0">
      <selection activeCell="I120" sqref="I120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11" style="37" bestFit="1" customWidth="1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224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225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44 horas Caxias do Sul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ROUND((E16/220)*220,2)</f>
        <v>1431.04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2003.4560000000001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166.89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222.58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389.47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478.59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59.82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79.680000000000007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35.89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23.93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14.36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4.79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191.43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888.48999999999978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R$ 6,1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170.34</v>
      </c>
      <c r="F50" s="34">
        <v>6.1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R$ 22  x 21 vale por mês) - desconto legal de 19%]</v>
      </c>
      <c r="C51" s="360"/>
      <c r="D51" s="10" t="s">
        <v>143</v>
      </c>
      <c r="E51" s="286">
        <f>ROUND((F51*G51)-(F51*G51*H51),2)</f>
        <v>374.22</v>
      </c>
      <c r="F51" s="34">
        <v>22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563.06000000000006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389.47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888.48999999999978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563.06000000000006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1841.02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8.41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0.67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69.92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3.81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1.41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10.220000000000001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94.44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18.63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11.22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1.2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6.61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0.8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38.46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38.46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38.46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0.70421311972910805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0.87623586442627122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119.32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225.32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63.92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294.39999999999998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0.04</v>
      </c>
      <c r="E106" s="42">
        <f>ROUND((($E$116+$E$101+$E$102)/(1-($D$104+$D$105+$D$106)))*D106,2)</f>
        <v>195.01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0.19849612265126376</v>
      </c>
      <c r="E107" s="22">
        <f>SUM(E101:E106)</f>
        <v>897.97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2003.4560000000001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1841.02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94.44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38.46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3977.3760000000002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897.97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4875.3500000000004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4875.3500000000004</v>
      </c>
      <c r="F120" s="54">
        <f>ROUND((E30+E36+E47+E54+E71+E80+E84+E97+E101+E102)/(1-(D104+D105+D106)),2)</f>
        <v>4875.3500000000004</v>
      </c>
      <c r="G120" s="54">
        <f>F120-E118</f>
        <v>0</v>
      </c>
      <c r="H120" s="288">
        <f>E120+'CX Man'!E120</f>
        <v>8554.9600000000009</v>
      </c>
      <c r="I120" s="53"/>
    </row>
    <row r="121" spans="1:11" x14ac:dyDescent="0.25">
      <c r="E121" s="41">
        <v>4688.13</v>
      </c>
      <c r="F121" s="287">
        <f>ABS(E121-E120)/E121</f>
        <v>3.9934899416185186E-2</v>
      </c>
      <c r="G121" s="290">
        <f>E120*12</f>
        <v>58504.200000000004</v>
      </c>
    </row>
    <row r="122" spans="1:11" x14ac:dyDescent="0.25">
      <c r="E122" s="41">
        <v>3401.04</v>
      </c>
      <c r="F122" s="287">
        <v>8.8458236304189281E-2</v>
      </c>
      <c r="G122" s="290">
        <v>44422.68</v>
      </c>
    </row>
    <row r="123" spans="1:11" x14ac:dyDescent="0.25">
      <c r="F123" s="291">
        <f>AVERAGE(F121:F122)</f>
        <v>6.4196567860187237E-2</v>
      </c>
      <c r="G123" s="292">
        <f>SUM(G121:G122)</f>
        <v>102926.88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T123"/>
  <sheetViews>
    <sheetView view="pageBreakPreview" topLeftCell="A90" zoomScaleNormal="100" zoomScaleSheetLayoutView="100" workbookViewId="0">
      <selection activeCell="H120" sqref="H120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11" style="37" bestFit="1" customWidth="1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224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226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Manutenção 44 horas Caxias do Sul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ROUND((E16/220)*220,2)</f>
        <v>1431.04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</v>
      </c>
      <c r="E23" s="42">
        <f>E16*D23</f>
        <v>0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1431.04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119.21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158.99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278.2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341.85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42.73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56.92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25.64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17.09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10.26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3.42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136.74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634.65000000000009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R$ 6,1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170.34</v>
      </c>
      <c r="F50" s="34">
        <v>6.1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R$ 22  x 21 vale por mês) - desconto legal de 19%]</v>
      </c>
      <c r="C51" s="360"/>
      <c r="D51" s="10" t="s">
        <v>143</v>
      </c>
      <c r="E51" s="286">
        <f>ROUND((F51*G51)-(F51*G51*H51),2)</f>
        <v>374.22</v>
      </c>
      <c r="F51" s="34">
        <v>22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563.06000000000006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278.2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634.65000000000009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563.06000000000006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1475.9100000000003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6.01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0.48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49.94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2.72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7.3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67.459999999999994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13.31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8.01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0.86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4.72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0.56999999999999995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27.47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27.47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27.47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0.70422909212880158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0.88599899373881941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90.06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170.06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48.24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222.19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0.04</v>
      </c>
      <c r="E106" s="42">
        <f>ROUND((($E$116+$E$101+$E$102)/(1-($D$104+$D$105+$D$106)))*D106,2)</f>
        <v>147.18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0.19849612265126376</v>
      </c>
      <c r="E107" s="22">
        <f>SUM(E101:E106)</f>
        <v>677.73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1431.04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1475.9100000000003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67.459999999999994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27.47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3001.88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677.73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3679.61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3679.61</v>
      </c>
      <c r="F120" s="54">
        <f>ROUND((E30+E36+E47+E54+E71+E80+E84+E97+E101+E102)/(1-(D104+D105+D106)),2)</f>
        <v>3679.62</v>
      </c>
      <c r="G120" s="54">
        <f>F120-E118</f>
        <v>9.9999999997635314E-3</v>
      </c>
      <c r="H120" s="288">
        <f>E120+'CX Sul'!E120</f>
        <v>8554.9600000000009</v>
      </c>
    </row>
    <row r="121" spans="1:11" x14ac:dyDescent="0.25">
      <c r="E121" s="41">
        <v>3401.04</v>
      </c>
      <c r="F121" s="287">
        <f>ABS(E121-E120)/E121</f>
        <v>8.1907298943852513E-2</v>
      </c>
      <c r="G121" s="290">
        <f>E120*12</f>
        <v>44155.32</v>
      </c>
    </row>
    <row r="122" spans="1:11" x14ac:dyDescent="0.25">
      <c r="E122" s="41">
        <v>4688.13</v>
      </c>
      <c r="F122" s="287">
        <v>8.5014707356664485E-2</v>
      </c>
      <c r="G122" s="290">
        <v>61040.28</v>
      </c>
    </row>
    <row r="123" spans="1:11" x14ac:dyDescent="0.25">
      <c r="F123" s="291">
        <f>AVERAGE(F121:F122)</f>
        <v>8.3461003150258506E-2</v>
      </c>
      <c r="G123" s="292">
        <f>SUM(G121:G122)</f>
        <v>105195.6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T121"/>
  <sheetViews>
    <sheetView view="pageBreakPreview" topLeftCell="A85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227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228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Centro de Distribuição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R$ 4,8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143.06</v>
      </c>
      <c r="F50" s="34">
        <v>4.8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348.67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348.67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1336.2000000000003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0.87142131841981851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89.61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169.22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47.21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217.42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2.5000000000000001E-2</v>
      </c>
      <c r="E106" s="42">
        <f>ROUND((($E$116+$E$101+$E$102)/(1-($D$104+$D$105+$D$106)))*D106,2)</f>
        <v>90.01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0.18349612265126375</v>
      </c>
      <c r="E107" s="22">
        <f>SUM(E101:E106)</f>
        <v>613.46999999999991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1336.2000000000003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2987.0360000000005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613.46999999999991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3600.51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3600.51</v>
      </c>
      <c r="F120" s="54">
        <f>ROUND((E30+E36+E47+E54+E71+E80+E84+E97+E101+E102)/(1-(D104+D105+D106)),2)</f>
        <v>3600.5</v>
      </c>
      <c r="G120" s="54">
        <f>F120-E118</f>
        <v>-1.0000000000218279E-2</v>
      </c>
    </row>
    <row r="121" spans="1:11" x14ac:dyDescent="0.25">
      <c r="E121" s="41">
        <v>3534.07</v>
      </c>
      <c r="F121" s="287">
        <f>ABS(E121-E120)/E121</f>
        <v>1.8799853992705309E-2</v>
      </c>
      <c r="G121" s="290">
        <f>E120*12</f>
        <v>43206.12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T121"/>
  <sheetViews>
    <sheetView view="pageBreakPreview" topLeftCell="A93" zoomScaleNormal="100" zoomScaleSheetLayoutView="100" workbookViewId="0">
      <selection activeCell="G121" sqref="G121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229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230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Erechim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R$ 3,6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92.66</v>
      </c>
      <c r="F50" s="34">
        <v>3.6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298.27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298.27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1285.8000000000002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0.86859855076395598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88.1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166.36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46.67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214.94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0.03</v>
      </c>
      <c r="E106" s="42">
        <f>ROUND((($E$116+$E$101+$E$102)/(1-($D$104+$D$105+$D$106)))*D106,2)</f>
        <v>106.78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0.18849612265126375</v>
      </c>
      <c r="E107" s="22">
        <f>SUM(E101:E106)</f>
        <v>622.84999999999991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1285.8000000000002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2936.6360000000004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622.84999999999991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3559.49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3559.49</v>
      </c>
      <c r="F120" s="54">
        <f>ROUND((E30+E36+E47+E54+E71+E80+E84+E97+E101+E102)/(1-(D104+D105+D106)),2)</f>
        <v>3559.49</v>
      </c>
      <c r="G120" s="54">
        <f>F120-E118</f>
        <v>0</v>
      </c>
    </row>
    <row r="121" spans="1:11" x14ac:dyDescent="0.25">
      <c r="E121" s="41">
        <v>3492.7</v>
      </c>
      <c r="F121" s="287">
        <f>ABS(E121-E120)/E121</f>
        <v>1.9122741718441312E-2</v>
      </c>
      <c r="G121" s="290">
        <f>E120*12</f>
        <v>42713.88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231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232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Gravataí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43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R$ 3,75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98.96</v>
      </c>
      <c r="F50" s="34">
        <v>3.75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304.57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304.57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1292.1000000000001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0.86895381900439628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88.29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166.72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47.03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216.61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3.5000000000000003E-2</v>
      </c>
      <c r="E106" s="42">
        <f>ROUND((($E$116+$E$101+$E$102)/(1-($D$104+$D$105+$D$106)))*D106,2)</f>
        <v>125.55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0.19349612265126376</v>
      </c>
      <c r="E107" s="22">
        <f>SUM(E101:E106)</f>
        <v>644.19999999999993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1292.1000000000001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2942.9360000000006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644.19999999999993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3587.14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3587.14</v>
      </c>
      <c r="F120" s="54">
        <f>ROUND((E30+E36+E47+E54+E71+E80+E84+E97+E101+E102)/(1-(D104+D105+D106)),2)</f>
        <v>3587.14</v>
      </c>
      <c r="G120" s="54">
        <f>F120-E118</f>
        <v>0</v>
      </c>
    </row>
    <row r="121" spans="1:11" x14ac:dyDescent="0.25">
      <c r="E121" s="41">
        <v>3519.96</v>
      </c>
      <c r="F121" s="287">
        <f>ABS(E121-E120)/E121</f>
        <v>1.9085444152774418E-2</v>
      </c>
      <c r="G121" s="290">
        <f>E120*12</f>
        <v>43045.68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233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234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13" x14ac:dyDescent="0.25">
      <c r="A17" s="7">
        <v>4</v>
      </c>
      <c r="B17" s="330" t="s">
        <v>108</v>
      </c>
      <c r="C17" s="330"/>
      <c r="D17" s="330"/>
      <c r="E17" s="39" t="str">
        <f>A11</f>
        <v>Servente 40 horas Ijuí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ROUND((E16/220)*200,2)</f>
        <v>1300.95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1873.366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156.05000000000001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208.13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364.18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447.51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55.94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74.510000000000005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33.56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22.38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13.43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4.4800000000000004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179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830.81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R$ 4,25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100.44</v>
      </c>
      <c r="F50" s="34">
        <v>4.25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R$ 22  x 21 vale por mês) - desconto legal de 19%]</v>
      </c>
      <c r="C51" s="360"/>
      <c r="D51" s="10" t="s">
        <v>143</v>
      </c>
      <c r="E51" s="286">
        <f>ROUND((F51*G51)-(F51*G51*H51),2)</f>
        <v>374.22</v>
      </c>
      <c r="F51" s="34">
        <v>22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493.16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364.18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830.81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493.16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1688.15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7.87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0.63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65.38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3.56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1.32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9.5500000000000007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88.309999999999988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17.420000000000002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10.49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1.1200000000000001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6.18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0.75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35.960000000000008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35.960000000000008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35.960000000000008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0.70421903674989295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0.87469827038603232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110.57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208.8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57.93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266.8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0.02</v>
      </c>
      <c r="E106" s="42">
        <f>ROUND((($E$116+$E$101+$E$102)/(1-($D$104+$D$105+$D$106)))*D106,2)</f>
        <v>88.36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0.17849612265126374</v>
      </c>
      <c r="E107" s="22">
        <f>SUM(E101:E106)</f>
        <v>732.46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1873.366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1688.15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88.309999999999988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35.960000000000008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3685.7860000000001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732.46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4418.25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4418.25</v>
      </c>
      <c r="F120" s="54">
        <f>ROUND((E30+E36+E47+E54+E71+E80+E84+E97+E101+E102)/(1-(D104+D105+D106)),2)</f>
        <v>4418.24</v>
      </c>
      <c r="G120" s="54">
        <f>F120-E118</f>
        <v>-1.0000000000218279E-2</v>
      </c>
    </row>
    <row r="121" spans="1:11" x14ac:dyDescent="0.25">
      <c r="E121" s="41">
        <v>4281.3100000000004</v>
      </c>
      <c r="F121" s="287">
        <f>ABS(E121-E120)/E121</f>
        <v>3.1985537136997692E-2</v>
      </c>
      <c r="G121" s="290">
        <f>E120*12</f>
        <v>53019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235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236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Lajeado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R$ 5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151.46</v>
      </c>
      <c r="F50" s="34">
        <v>5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357.07000000000005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357.07000000000005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1344.6000000000004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0.87188639684366775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89.86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169.69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47.34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218.03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2.5000000000000001E-2</v>
      </c>
      <c r="E106" s="42">
        <f>ROUND((($E$116+$E$101+$E$102)/(1-($D$104+$D$105+$D$106)))*D106,2)</f>
        <v>90.27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0.18349612265126375</v>
      </c>
      <c r="E107" s="22">
        <f>SUM(E101:E106)</f>
        <v>615.18999999999994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1344.6000000000004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2995.4360000000006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615.18999999999994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3610.63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3610.63</v>
      </c>
      <c r="F120" s="54">
        <f>ROUND((E30+E36+E47+E54+E71+E80+E84+E97+E101+E102)/(1-(D104+D105+D106)),2)</f>
        <v>3610.62</v>
      </c>
      <c r="G120" s="54">
        <f>F120-E118</f>
        <v>-1.0000000000218279E-2</v>
      </c>
    </row>
    <row r="121" spans="1:11" x14ac:dyDescent="0.25">
      <c r="E121" s="41">
        <v>3544.21</v>
      </c>
      <c r="F121" s="287">
        <f>ABS(E121-E120)/E121</f>
        <v>1.8740424523377586E-2</v>
      </c>
      <c r="G121" s="290">
        <f>E120*12</f>
        <v>43327.56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70C0"/>
  </sheetPr>
  <dimension ref="A2:T138"/>
  <sheetViews>
    <sheetView tabSelected="1" view="pageBreakPreview" topLeftCell="A6" zoomScaleNormal="100" zoomScaleSheetLayoutView="100" workbookViewId="0">
      <selection activeCell="C16" sqref="C16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1796875" style="37" customWidth="1"/>
    <col min="5" max="5" width="20.81640625" style="41" customWidth="1"/>
    <col min="6" max="6" width="13.26953125" style="37" hidden="1" customWidth="1"/>
    <col min="7" max="7" width="17" style="37" hidden="1" customWidth="1"/>
    <col min="8" max="8" width="13.1796875" style="37" hidden="1" customWidth="1"/>
    <col min="9" max="9" width="14.26953125" style="37" hidden="1" customWidth="1"/>
    <col min="10" max="10" width="16" style="37" hidden="1" customWidth="1"/>
    <col min="11" max="11" width="21.1796875" style="37" hidden="1" customWidth="1"/>
    <col min="12" max="12" width="15.81640625" style="37" hidden="1" customWidth="1"/>
    <col min="13" max="13" width="0" style="37" hidden="1" customWidth="1"/>
    <col min="14" max="16384" width="9.1796875" style="37"/>
  </cols>
  <sheetData>
    <row r="2" spans="1:7" ht="14" x14ac:dyDescent="0.25">
      <c r="A2" s="379" t="s">
        <v>415</v>
      </c>
      <c r="B2" s="379"/>
      <c r="C2" s="379"/>
      <c r="D2" s="379"/>
      <c r="E2" s="379"/>
    </row>
    <row r="4" spans="1:7" ht="13" x14ac:dyDescent="0.25">
      <c r="A4" s="335" t="s">
        <v>409</v>
      </c>
      <c r="B4" s="335"/>
      <c r="C4" s="335"/>
      <c r="D4" s="335"/>
      <c r="E4" s="335"/>
    </row>
    <row r="6" spans="1:7" ht="12.75" customHeight="1" x14ac:dyDescent="0.25">
      <c r="A6" s="332" t="s">
        <v>87</v>
      </c>
      <c r="B6" s="332"/>
      <c r="C6" s="332"/>
      <c r="D6" s="332"/>
      <c r="E6" s="332"/>
      <c r="F6" s="1"/>
      <c r="G6" s="1"/>
    </row>
    <row r="7" spans="1:7" ht="12.75" customHeight="1" x14ac:dyDescent="0.25">
      <c r="A7" s="55" t="s">
        <v>88</v>
      </c>
      <c r="B7" s="330" t="s">
        <v>411</v>
      </c>
      <c r="C7" s="330"/>
      <c r="D7" s="330"/>
      <c r="E7" s="322" t="s">
        <v>416</v>
      </c>
      <c r="F7" s="38"/>
      <c r="G7" s="38"/>
    </row>
    <row r="8" spans="1:7" ht="13" x14ac:dyDescent="0.25">
      <c r="A8" s="55" t="s">
        <v>90</v>
      </c>
      <c r="B8" s="330" t="s">
        <v>417</v>
      </c>
      <c r="C8" s="330"/>
      <c r="D8" s="330"/>
      <c r="E8" s="18"/>
      <c r="F8" s="38"/>
      <c r="G8" s="38"/>
    </row>
    <row r="9" spans="1:7" ht="13" x14ac:dyDescent="0.25">
      <c r="A9" s="55" t="s">
        <v>93</v>
      </c>
      <c r="B9" s="330" t="s">
        <v>94</v>
      </c>
      <c r="C9" s="330"/>
      <c r="D9" s="330"/>
      <c r="E9" s="18"/>
      <c r="F9" s="38"/>
      <c r="G9" s="38"/>
    </row>
    <row r="10" spans="1:7" ht="12.75" customHeight="1" x14ac:dyDescent="0.25">
      <c r="A10" s="312" t="s">
        <v>95</v>
      </c>
      <c r="B10" s="336" t="s">
        <v>96</v>
      </c>
      <c r="C10" s="336"/>
      <c r="D10" s="336"/>
      <c r="E10" s="313">
        <v>12</v>
      </c>
      <c r="F10" s="38"/>
      <c r="G10" s="38"/>
    </row>
    <row r="11" spans="1:7" ht="12.75" customHeight="1" x14ac:dyDescent="0.25">
      <c r="A11" s="55" t="s">
        <v>120</v>
      </c>
      <c r="B11" s="330" t="s">
        <v>401</v>
      </c>
      <c r="C11" s="330"/>
      <c r="D11" s="330"/>
      <c r="E11" s="18"/>
      <c r="F11" s="38"/>
      <c r="G11" s="38"/>
    </row>
    <row r="12" spans="1:7" ht="12.75" customHeight="1" x14ac:dyDescent="0.25">
      <c r="A12" s="55" t="s">
        <v>122</v>
      </c>
      <c r="B12" s="330" t="s">
        <v>402</v>
      </c>
      <c r="C12" s="330"/>
      <c r="D12" s="330"/>
      <c r="E12" s="18"/>
      <c r="F12" s="38"/>
      <c r="G12" s="38"/>
    </row>
    <row r="13" spans="1:7" ht="12.75" customHeight="1" x14ac:dyDescent="0.25">
      <c r="A13" s="4"/>
      <c r="B13" s="5"/>
      <c r="C13" s="5"/>
      <c r="D13" s="5"/>
      <c r="E13" s="16"/>
      <c r="F13" s="38"/>
      <c r="G13" s="38"/>
    </row>
    <row r="14" spans="1:7" ht="12.75" customHeight="1" x14ac:dyDescent="0.25">
      <c r="A14" s="332" t="s">
        <v>97</v>
      </c>
      <c r="B14" s="332"/>
      <c r="C14" s="332"/>
      <c r="D14" s="332"/>
      <c r="E14" s="332"/>
      <c r="F14" s="1"/>
      <c r="G14" s="38"/>
    </row>
    <row r="15" spans="1:7" s="28" customFormat="1" ht="36.75" customHeight="1" x14ac:dyDescent="0.25">
      <c r="A15" s="333" t="s">
        <v>98</v>
      </c>
      <c r="B15" s="333"/>
      <c r="C15" s="55" t="s">
        <v>99</v>
      </c>
      <c r="D15" s="333" t="s">
        <v>100</v>
      </c>
      <c r="E15" s="333"/>
      <c r="F15" s="1"/>
      <c r="G15" s="27"/>
    </row>
    <row r="16" spans="1:7" ht="34.5" customHeight="1" x14ac:dyDescent="0.25">
      <c r="A16" s="464" t="s">
        <v>418</v>
      </c>
      <c r="B16" s="464"/>
      <c r="C16" s="18" t="s">
        <v>102</v>
      </c>
      <c r="D16" s="334">
        <v>1</v>
      </c>
      <c r="E16" s="334"/>
      <c r="F16" s="38"/>
      <c r="G16" s="38"/>
    </row>
    <row r="18" spans="1:16" ht="12.75" customHeight="1" x14ac:dyDescent="0.25">
      <c r="A18" s="332" t="s">
        <v>103</v>
      </c>
      <c r="B18" s="332"/>
      <c r="C18" s="332"/>
      <c r="D18" s="332"/>
      <c r="E18" s="332"/>
    </row>
    <row r="19" spans="1:16" ht="25.5" customHeight="1" x14ac:dyDescent="0.25">
      <c r="A19" s="6">
        <v>1</v>
      </c>
      <c r="B19" s="337" t="s">
        <v>104</v>
      </c>
      <c r="C19" s="337"/>
      <c r="D19" s="337"/>
      <c r="E19" s="19" t="s">
        <v>408</v>
      </c>
    </row>
    <row r="20" spans="1:16" ht="13" x14ac:dyDescent="0.25">
      <c r="A20" s="7">
        <v>2</v>
      </c>
      <c r="B20" s="330" t="s">
        <v>106</v>
      </c>
      <c r="C20" s="330"/>
      <c r="D20" s="330"/>
      <c r="E20" s="282"/>
    </row>
    <row r="21" spans="1:16" ht="13" x14ac:dyDescent="0.25">
      <c r="A21" s="7">
        <v>3</v>
      </c>
      <c r="B21" s="330" t="s">
        <v>107</v>
      </c>
      <c r="C21" s="330"/>
      <c r="D21" s="330"/>
      <c r="E21" s="307">
        <v>0</v>
      </c>
      <c r="F21" s="32"/>
      <c r="G21" s="32"/>
      <c r="H21" s="32"/>
      <c r="I21" s="32"/>
      <c r="J21" s="32"/>
    </row>
    <row r="22" spans="1:16" ht="13" x14ac:dyDescent="0.25">
      <c r="A22" s="7">
        <v>4</v>
      </c>
      <c r="B22" s="330" t="s">
        <v>108</v>
      </c>
      <c r="C22" s="330"/>
      <c r="D22" s="330"/>
      <c r="E22" s="39">
        <v>220</v>
      </c>
      <c r="F22" s="32"/>
      <c r="G22" s="32"/>
      <c r="H22" s="32"/>
      <c r="I22" s="32"/>
      <c r="J22" s="32"/>
    </row>
    <row r="23" spans="1:16" ht="13" x14ac:dyDescent="0.25">
      <c r="A23" s="7">
        <v>5</v>
      </c>
      <c r="B23" s="330" t="s">
        <v>109</v>
      </c>
      <c r="C23" s="330"/>
      <c r="D23" s="330"/>
      <c r="E23" s="40"/>
      <c r="F23" s="32"/>
      <c r="G23" s="32"/>
      <c r="H23" s="32"/>
      <c r="I23" s="32"/>
      <c r="J23" s="32"/>
    </row>
    <row r="24" spans="1:16" ht="13" x14ac:dyDescent="0.25">
      <c r="F24" s="32"/>
      <c r="G24" s="32"/>
      <c r="H24" s="32"/>
      <c r="I24" s="32"/>
      <c r="J24" s="32"/>
    </row>
    <row r="25" spans="1:16" ht="13" x14ac:dyDescent="0.25">
      <c r="A25" s="326" t="s">
        <v>110</v>
      </c>
      <c r="B25" s="331"/>
      <c r="C25" s="331"/>
      <c r="D25" s="331"/>
      <c r="E25" s="327"/>
      <c r="F25" s="32"/>
      <c r="G25" s="32"/>
      <c r="H25" s="32"/>
      <c r="I25" s="32"/>
      <c r="J25" s="32"/>
    </row>
    <row r="26" spans="1:16" ht="13" x14ac:dyDescent="0.25">
      <c r="A26" s="26">
        <v>1</v>
      </c>
      <c r="B26" s="326" t="s">
        <v>111</v>
      </c>
      <c r="C26" s="327"/>
      <c r="D26" s="188" t="s">
        <v>112</v>
      </c>
      <c r="E26" s="189" t="s">
        <v>113</v>
      </c>
      <c r="F26" s="32"/>
      <c r="G26" s="32"/>
      <c r="H26" s="32"/>
      <c r="I26" s="32"/>
      <c r="J26" s="32"/>
    </row>
    <row r="27" spans="1:16" ht="14.25" customHeight="1" x14ac:dyDescent="0.25">
      <c r="A27" s="8" t="s">
        <v>88</v>
      </c>
      <c r="B27" s="328" t="s">
        <v>114</v>
      </c>
      <c r="C27" s="329"/>
      <c r="D27" s="43">
        <v>0</v>
      </c>
      <c r="E27" s="42">
        <v>0</v>
      </c>
      <c r="F27" s="32"/>
      <c r="G27" s="32"/>
      <c r="H27" s="32"/>
      <c r="I27" s="32"/>
      <c r="J27" s="32"/>
    </row>
    <row r="28" spans="1:16" ht="14.25" customHeight="1" x14ac:dyDescent="0.25">
      <c r="A28" s="8" t="s">
        <v>90</v>
      </c>
      <c r="B28" s="328" t="s">
        <v>115</v>
      </c>
      <c r="C28" s="329"/>
      <c r="D28" s="43">
        <v>0.4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3" x14ac:dyDescent="0.25">
      <c r="A29" s="8" t="s">
        <v>93</v>
      </c>
      <c r="B29" s="328" t="s">
        <v>116</v>
      </c>
      <c r="C29" s="329"/>
      <c r="D29" s="32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4.25" customHeight="1" x14ac:dyDescent="0.25">
      <c r="A30" s="8" t="s">
        <v>95</v>
      </c>
      <c r="B30" s="328" t="s">
        <v>117</v>
      </c>
      <c r="C30" s="329"/>
      <c r="D30" s="43">
        <v>0</v>
      </c>
      <c r="E30" s="42">
        <v>0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1" spans="1:16" ht="13" x14ac:dyDescent="0.25">
      <c r="A31" s="8" t="s">
        <v>93</v>
      </c>
      <c r="B31" s="328" t="s">
        <v>118</v>
      </c>
      <c r="C31" s="329"/>
      <c r="D31" s="43">
        <v>0</v>
      </c>
      <c r="E31" s="42">
        <v>0</v>
      </c>
      <c r="F31" s="338"/>
      <c r="G31" s="339"/>
      <c r="H31" s="339"/>
      <c r="I31" s="339"/>
      <c r="J31" s="339"/>
      <c r="K31" s="339"/>
      <c r="L31" s="339"/>
      <c r="M31" s="339"/>
      <c r="N31" s="339"/>
      <c r="O31" s="339"/>
      <c r="P31" s="339"/>
    </row>
    <row r="32" spans="1:16" ht="14.25" customHeight="1" x14ac:dyDescent="0.25">
      <c r="A32" s="8" t="s">
        <v>95</v>
      </c>
      <c r="B32" s="328" t="s">
        <v>119</v>
      </c>
      <c r="C32" s="329"/>
      <c r="D32" s="43">
        <v>0</v>
      </c>
      <c r="E32" s="42">
        <v>0</v>
      </c>
      <c r="F32" s="338"/>
      <c r="G32" s="339"/>
      <c r="H32" s="339"/>
      <c r="I32" s="339"/>
      <c r="J32" s="339"/>
      <c r="K32" s="339"/>
      <c r="L32" s="339"/>
      <c r="M32" s="339"/>
      <c r="N32" s="339"/>
      <c r="O32" s="339"/>
      <c r="P32" s="339"/>
    </row>
    <row r="33" spans="1:16" ht="14.25" customHeight="1" x14ac:dyDescent="0.25">
      <c r="A33" s="8" t="s">
        <v>120</v>
      </c>
      <c r="B33" s="328" t="s">
        <v>121</v>
      </c>
      <c r="C33" s="329"/>
      <c r="D33" s="43">
        <v>0</v>
      </c>
      <c r="E33" s="42">
        <v>0</v>
      </c>
      <c r="F33" s="338"/>
      <c r="G33" s="339"/>
      <c r="H33" s="339"/>
      <c r="I33" s="339"/>
      <c r="J33" s="339"/>
      <c r="K33" s="339"/>
      <c r="L33" s="339"/>
      <c r="M33" s="339"/>
      <c r="N33" s="339"/>
      <c r="O33" s="339"/>
      <c r="P33" s="339"/>
    </row>
    <row r="34" spans="1:16" ht="13" x14ac:dyDescent="0.25">
      <c r="A34" s="340" t="s">
        <v>124</v>
      </c>
      <c r="B34" s="341"/>
      <c r="C34" s="341"/>
      <c r="D34" s="342"/>
      <c r="E34" s="24">
        <f>SUM(E27:E33)</f>
        <v>0</v>
      </c>
      <c r="F34" s="338"/>
      <c r="G34" s="339"/>
      <c r="H34" s="339"/>
      <c r="I34" s="339"/>
      <c r="J34" s="339"/>
      <c r="K34" s="339"/>
      <c r="L34" s="339"/>
      <c r="M34" s="339"/>
      <c r="N34" s="339"/>
      <c r="O34" s="339"/>
      <c r="P34" s="339"/>
    </row>
    <row r="36" spans="1:16" ht="13" x14ac:dyDescent="0.25">
      <c r="A36" s="326" t="s">
        <v>125</v>
      </c>
      <c r="B36" s="331"/>
      <c r="C36" s="331"/>
      <c r="D36" s="331"/>
      <c r="E36" s="327"/>
    </row>
    <row r="37" spans="1:16" ht="13" x14ac:dyDescent="0.25">
      <c r="A37" s="326" t="s">
        <v>126</v>
      </c>
      <c r="B37" s="331"/>
      <c r="C37" s="327"/>
      <c r="D37" s="188" t="s">
        <v>112</v>
      </c>
      <c r="E37" s="189" t="s">
        <v>113</v>
      </c>
    </row>
    <row r="38" spans="1:16" ht="13" x14ac:dyDescent="0.25">
      <c r="A38" s="8" t="s">
        <v>88</v>
      </c>
      <c r="B38" s="328" t="s">
        <v>127</v>
      </c>
      <c r="C38" s="329"/>
      <c r="D38" s="9">
        <v>8.3299999999999999E-2</v>
      </c>
      <c r="E38" s="42">
        <f>ROUND(D38*$E$34,2)</f>
        <v>0</v>
      </c>
    </row>
    <row r="39" spans="1:16" ht="13" x14ac:dyDescent="0.25">
      <c r="A39" s="8" t="s">
        <v>90</v>
      </c>
      <c r="B39" s="328" t="s">
        <v>128</v>
      </c>
      <c r="C39" s="329"/>
      <c r="D39" s="325">
        <v>0.121</v>
      </c>
      <c r="E39" s="42">
        <f>ROUND(D39*$E$34,2)</f>
        <v>0</v>
      </c>
    </row>
    <row r="40" spans="1:16" ht="13" x14ac:dyDescent="0.25">
      <c r="A40" s="345" t="s">
        <v>414</v>
      </c>
      <c r="B40" s="346"/>
      <c r="C40" s="347"/>
      <c r="D40" s="325">
        <f>SUM(D38:D39)</f>
        <v>0.20429999999999998</v>
      </c>
      <c r="E40" s="42"/>
    </row>
    <row r="41" spans="1:16" ht="13" x14ac:dyDescent="0.25">
      <c r="A41" s="324" t="s">
        <v>93</v>
      </c>
      <c r="B41" s="343" t="s">
        <v>412</v>
      </c>
      <c r="C41" s="344"/>
      <c r="D41" s="325">
        <v>7.8200000000000006E-2</v>
      </c>
      <c r="E41" s="42"/>
    </row>
    <row r="42" spans="1:16" ht="12.75" customHeight="1" x14ac:dyDescent="0.25">
      <c r="A42" s="340" t="s">
        <v>129</v>
      </c>
      <c r="B42" s="341"/>
      <c r="C42" s="342"/>
      <c r="D42" s="25">
        <f>D40+D41</f>
        <v>0.28249999999999997</v>
      </c>
      <c r="E42" s="24">
        <f>SUM(E38:E39)</f>
        <v>0</v>
      </c>
    </row>
    <row r="44" spans="1:16" ht="12.75" customHeight="1" x14ac:dyDescent="0.25">
      <c r="A44" s="326" t="s">
        <v>130</v>
      </c>
      <c r="B44" s="331"/>
      <c r="C44" s="327"/>
      <c r="D44" s="188" t="s">
        <v>112</v>
      </c>
      <c r="E44" s="189" t="s">
        <v>113</v>
      </c>
    </row>
    <row r="45" spans="1:16" ht="13" x14ac:dyDescent="0.25">
      <c r="A45" s="8" t="s">
        <v>88</v>
      </c>
      <c r="B45" s="328" t="s">
        <v>131</v>
      </c>
      <c r="C45" s="329"/>
      <c r="D45" s="9">
        <v>0</v>
      </c>
      <c r="E45" s="42">
        <f t="shared" ref="E45:E52" si="0">ROUND(D45*($E$34+$E$42),2)</f>
        <v>0</v>
      </c>
    </row>
    <row r="46" spans="1:16" ht="13" x14ac:dyDescent="0.25">
      <c r="A46" s="8" t="s">
        <v>90</v>
      </c>
      <c r="B46" s="328" t="s">
        <v>132</v>
      </c>
      <c r="C46" s="329"/>
      <c r="D46" s="9">
        <v>0</v>
      </c>
      <c r="E46" s="42">
        <f t="shared" si="0"/>
        <v>0</v>
      </c>
    </row>
    <row r="47" spans="1:16" ht="13" x14ac:dyDescent="0.25">
      <c r="A47" s="8" t="s">
        <v>93</v>
      </c>
      <c r="B47" s="328" t="s">
        <v>133</v>
      </c>
      <c r="C47" s="329"/>
      <c r="D47" s="9">
        <v>0</v>
      </c>
      <c r="E47" s="42">
        <f t="shared" si="0"/>
        <v>0</v>
      </c>
    </row>
    <row r="48" spans="1:16" ht="13" x14ac:dyDescent="0.25">
      <c r="A48" s="8" t="s">
        <v>95</v>
      </c>
      <c r="B48" s="328" t="s">
        <v>134</v>
      </c>
      <c r="C48" s="329"/>
      <c r="D48" s="9">
        <v>0</v>
      </c>
      <c r="E48" s="42">
        <f t="shared" si="0"/>
        <v>0</v>
      </c>
    </row>
    <row r="49" spans="1:20" ht="13" x14ac:dyDescent="0.25">
      <c r="A49" s="8" t="s">
        <v>120</v>
      </c>
      <c r="B49" s="328" t="s">
        <v>135</v>
      </c>
      <c r="C49" s="329"/>
      <c r="D49" s="9">
        <v>0</v>
      </c>
      <c r="E49" s="42">
        <f t="shared" si="0"/>
        <v>0</v>
      </c>
    </row>
    <row r="50" spans="1:20" ht="13" x14ac:dyDescent="0.25">
      <c r="A50" s="8" t="s">
        <v>122</v>
      </c>
      <c r="B50" s="328" t="s">
        <v>136</v>
      </c>
      <c r="C50" s="329"/>
      <c r="D50" s="9">
        <v>0</v>
      </c>
      <c r="E50" s="42">
        <f t="shared" si="0"/>
        <v>0</v>
      </c>
    </row>
    <row r="51" spans="1:20" ht="13" x14ac:dyDescent="0.25">
      <c r="A51" s="8" t="s">
        <v>137</v>
      </c>
      <c r="B51" s="328" t="s">
        <v>138</v>
      </c>
      <c r="C51" s="329"/>
      <c r="D51" s="9">
        <v>0</v>
      </c>
      <c r="E51" s="42">
        <f t="shared" si="0"/>
        <v>0</v>
      </c>
    </row>
    <row r="52" spans="1:20" ht="13" x14ac:dyDescent="0.25">
      <c r="A52" s="8" t="s">
        <v>139</v>
      </c>
      <c r="B52" s="328" t="s">
        <v>140</v>
      </c>
      <c r="C52" s="329"/>
      <c r="D52" s="9">
        <v>0</v>
      </c>
      <c r="E52" s="42">
        <f t="shared" si="0"/>
        <v>0</v>
      </c>
    </row>
    <row r="53" spans="1:20" ht="12.75" customHeight="1" x14ac:dyDescent="0.25">
      <c r="A53" s="340" t="s">
        <v>141</v>
      </c>
      <c r="B53" s="341"/>
      <c r="C53" s="342"/>
      <c r="D53" s="25">
        <f>SUM(D45:D52)</f>
        <v>0</v>
      </c>
      <c r="E53" s="24">
        <f>SUM(E45:E52)</f>
        <v>0</v>
      </c>
    </row>
    <row r="55" spans="1:20" ht="25.5" customHeight="1" x14ac:dyDescent="0.25">
      <c r="A55" s="326" t="s">
        <v>142</v>
      </c>
      <c r="B55" s="331"/>
      <c r="C55" s="327"/>
      <c r="D55" s="188" t="s">
        <v>398</v>
      </c>
      <c r="E55" s="297" t="s">
        <v>113</v>
      </c>
    </row>
    <row r="56" spans="1:20" ht="14.5" customHeight="1" x14ac:dyDescent="0.25">
      <c r="A56" s="350" t="s">
        <v>88</v>
      </c>
      <c r="B56" s="330" t="s">
        <v>400</v>
      </c>
      <c r="C56" s="330"/>
      <c r="D56" s="330"/>
      <c r="E56" s="355">
        <f>(D57*D58*25.42)-(E21*6%)</f>
        <v>0</v>
      </c>
      <c r="F56" s="34">
        <v>4.8</v>
      </c>
      <c r="G56" s="44">
        <v>22</v>
      </c>
    </row>
    <row r="57" spans="1:20" s="296" customFormat="1" ht="15.5" x14ac:dyDescent="0.25">
      <c r="A57" s="351"/>
      <c r="B57" s="353" t="s">
        <v>406</v>
      </c>
      <c r="C57" s="354"/>
      <c r="D57" s="316">
        <v>0</v>
      </c>
      <c r="E57" s="355"/>
    </row>
    <row r="58" spans="1:20" s="296" customFormat="1" ht="15.5" x14ac:dyDescent="0.25">
      <c r="A58" s="352"/>
      <c r="B58" s="348" t="s">
        <v>397</v>
      </c>
      <c r="C58" s="349"/>
      <c r="D58" s="317">
        <v>2</v>
      </c>
      <c r="E58" s="355"/>
    </row>
    <row r="59" spans="1:20" ht="16.5" customHeight="1" x14ac:dyDescent="0.25">
      <c r="A59" s="350" t="s">
        <v>90</v>
      </c>
      <c r="B59" s="383" t="s">
        <v>399</v>
      </c>
      <c r="C59" s="383"/>
      <c r="D59" s="383"/>
      <c r="E59" s="380">
        <f>ROUND((D60*D61)-(D60*D61*D62),2)</f>
        <v>0</v>
      </c>
      <c r="F59" s="34">
        <v>23.68</v>
      </c>
      <c r="G59" s="44">
        <v>22</v>
      </c>
      <c r="H59" s="45">
        <v>0.19</v>
      </c>
    </row>
    <row r="60" spans="1:20" x14ac:dyDescent="0.25">
      <c r="A60" s="351"/>
      <c r="B60" s="353" t="s">
        <v>410</v>
      </c>
      <c r="C60" s="354"/>
      <c r="D60" s="316">
        <v>0</v>
      </c>
      <c r="E60" s="381"/>
      <c r="F60" s="34"/>
      <c r="G60" s="44"/>
      <c r="H60" s="45"/>
    </row>
    <row r="61" spans="1:20" x14ac:dyDescent="0.25">
      <c r="A61" s="351"/>
      <c r="B61" s="348" t="s">
        <v>407</v>
      </c>
      <c r="C61" s="349"/>
      <c r="D61" s="318">
        <v>25.42</v>
      </c>
      <c r="E61" s="381"/>
      <c r="F61" s="34"/>
      <c r="G61" s="44"/>
      <c r="H61" s="45"/>
    </row>
    <row r="62" spans="1:20" x14ac:dyDescent="0.25">
      <c r="A62" s="352"/>
      <c r="B62" s="348" t="s">
        <v>405</v>
      </c>
      <c r="C62" s="349"/>
      <c r="D62" s="319">
        <v>0.2</v>
      </c>
      <c r="E62" s="382"/>
      <c r="F62" s="34"/>
      <c r="G62" s="44"/>
      <c r="H62" s="45"/>
    </row>
    <row r="63" spans="1:20" ht="12.75" customHeight="1" x14ac:dyDescent="0.25">
      <c r="A63" s="8" t="s">
        <v>93</v>
      </c>
      <c r="B63" s="357" t="s">
        <v>144</v>
      </c>
      <c r="C63" s="358"/>
      <c r="D63" s="320" t="s">
        <v>143</v>
      </c>
      <c r="E63" s="321">
        <f>(D57*D58*22)-(E21*6%)</f>
        <v>0</v>
      </c>
      <c r="F63" s="361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</row>
    <row r="64" spans="1:20" ht="12.75" customHeight="1" x14ac:dyDescent="0.25">
      <c r="A64" s="8" t="s">
        <v>95</v>
      </c>
      <c r="B64" s="359" t="s">
        <v>121</v>
      </c>
      <c r="C64" s="360"/>
      <c r="D64" s="10" t="s">
        <v>143</v>
      </c>
      <c r="E64" s="298">
        <v>0</v>
      </c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</row>
    <row r="65" spans="1:9" ht="12.75" customHeight="1" x14ac:dyDescent="0.25">
      <c r="A65" s="340" t="s">
        <v>145</v>
      </c>
      <c r="B65" s="341"/>
      <c r="C65" s="342"/>
      <c r="D65" s="46"/>
      <c r="E65" s="299">
        <f>SUM(E56:E64)</f>
        <v>0</v>
      </c>
    </row>
    <row r="66" spans="1:9" x14ac:dyDescent="0.25"/>
    <row r="67" spans="1:9" ht="12.75" customHeight="1" x14ac:dyDescent="0.25">
      <c r="A67" s="332" t="s">
        <v>146</v>
      </c>
      <c r="B67" s="332"/>
      <c r="C67" s="332"/>
      <c r="D67" s="332"/>
      <c r="E67" s="332"/>
    </row>
    <row r="68" spans="1:9" ht="12.75" customHeight="1" x14ac:dyDescent="0.25">
      <c r="A68" s="332" t="s">
        <v>147</v>
      </c>
      <c r="B68" s="332"/>
      <c r="C68" s="332"/>
      <c r="D68" s="332"/>
      <c r="E68" s="190" t="s">
        <v>113</v>
      </c>
    </row>
    <row r="69" spans="1:9" ht="13" x14ac:dyDescent="0.25">
      <c r="A69" s="55" t="s">
        <v>148</v>
      </c>
      <c r="B69" s="330" t="s">
        <v>149</v>
      </c>
      <c r="C69" s="330"/>
      <c r="D69" s="330"/>
      <c r="E69" s="47">
        <f>E42</f>
        <v>0</v>
      </c>
    </row>
    <row r="70" spans="1:9" ht="13" x14ac:dyDescent="0.25">
      <c r="A70" s="55" t="s">
        <v>150</v>
      </c>
      <c r="B70" s="330" t="s">
        <v>151</v>
      </c>
      <c r="C70" s="330"/>
      <c r="D70" s="330"/>
      <c r="E70" s="47">
        <f>E53</f>
        <v>0</v>
      </c>
    </row>
    <row r="71" spans="1:9" ht="14.25" customHeight="1" x14ac:dyDescent="0.25">
      <c r="A71" s="55" t="s">
        <v>152</v>
      </c>
      <c r="B71" s="330" t="s">
        <v>153</v>
      </c>
      <c r="C71" s="330"/>
      <c r="D71" s="330"/>
      <c r="E71" s="47">
        <f>E65</f>
        <v>0</v>
      </c>
    </row>
    <row r="72" spans="1:9" ht="12.75" customHeight="1" x14ac:dyDescent="0.25">
      <c r="A72" s="356" t="s">
        <v>154</v>
      </c>
      <c r="B72" s="356"/>
      <c r="C72" s="356"/>
      <c r="D72" s="356"/>
      <c r="E72" s="20">
        <f>SUM(E69:E71)</f>
        <v>0</v>
      </c>
    </row>
    <row r="73" spans="1:9" ht="12" customHeight="1" x14ac:dyDescent="0.25"/>
    <row r="74" spans="1:9" ht="13" x14ac:dyDescent="0.25">
      <c r="A74" s="326" t="s">
        <v>155</v>
      </c>
      <c r="B74" s="331"/>
      <c r="C74" s="331"/>
      <c r="D74" s="331"/>
      <c r="E74" s="327"/>
    </row>
    <row r="75" spans="1:9" ht="13" x14ac:dyDescent="0.25">
      <c r="A75" s="304">
        <v>3</v>
      </c>
      <c r="B75" s="326" t="s">
        <v>156</v>
      </c>
      <c r="C75" s="327"/>
      <c r="D75" s="188" t="s">
        <v>112</v>
      </c>
      <c r="E75" s="189" t="s">
        <v>113</v>
      </c>
    </row>
    <row r="76" spans="1:9" ht="14.25" customHeight="1" x14ac:dyDescent="0.25">
      <c r="A76" s="8" t="s">
        <v>88</v>
      </c>
      <c r="B76" s="359" t="s">
        <v>157</v>
      </c>
      <c r="C76" s="360"/>
      <c r="D76" s="9">
        <v>4.1999999999999997E-3</v>
      </c>
      <c r="E76" s="42">
        <f>ROUND(D76*$E$34,2)</f>
        <v>0</v>
      </c>
    </row>
    <row r="77" spans="1:9" ht="14.25" customHeight="1" x14ac:dyDescent="0.25">
      <c r="A77" s="11" t="s">
        <v>90</v>
      </c>
      <c r="B77" s="359" t="s">
        <v>158</v>
      </c>
      <c r="C77" s="360"/>
      <c r="D77" s="29">
        <f>D52*D76</f>
        <v>0</v>
      </c>
      <c r="E77" s="42">
        <f>ROUND(D77*$E$34,2)</f>
        <v>0</v>
      </c>
    </row>
    <row r="78" spans="1:9" ht="14.25" customHeight="1" x14ac:dyDescent="0.25">
      <c r="A78" s="11" t="s">
        <v>93</v>
      </c>
      <c r="B78" s="359" t="s">
        <v>159</v>
      </c>
      <c r="C78" s="360"/>
      <c r="D78" s="29">
        <v>3.49E-2</v>
      </c>
      <c r="E78" s="42">
        <f t="shared" ref="E78:E81" si="1">ROUND(D78*$E$34,2)</f>
        <v>0</v>
      </c>
    </row>
    <row r="79" spans="1:9" ht="14.25" customHeight="1" x14ac:dyDescent="0.25">
      <c r="A79" s="8" t="s">
        <v>95</v>
      </c>
      <c r="B79" s="359" t="s">
        <v>160</v>
      </c>
      <c r="C79" s="360"/>
      <c r="D79" s="9">
        <f>'Memória Encargos'!C50</f>
        <v>1.9E-3</v>
      </c>
      <c r="E79" s="42">
        <f t="shared" si="1"/>
        <v>0</v>
      </c>
    </row>
    <row r="80" spans="1:9" ht="14.25" customHeight="1" x14ac:dyDescent="0.25">
      <c r="A80" s="8" t="s">
        <v>120</v>
      </c>
      <c r="B80" s="359" t="s">
        <v>161</v>
      </c>
      <c r="C80" s="360"/>
      <c r="D80" s="102">
        <f>D53*D79</f>
        <v>0</v>
      </c>
      <c r="E80" s="42">
        <f>ROUND(D80*$E$34,2)</f>
        <v>0</v>
      </c>
    </row>
    <row r="81" spans="1:5" ht="14.25" customHeight="1" x14ac:dyDescent="0.25">
      <c r="A81" s="11" t="s">
        <v>122</v>
      </c>
      <c r="B81" s="359" t="s">
        <v>162</v>
      </c>
      <c r="C81" s="360"/>
      <c r="D81" s="29">
        <f>'Memória Encargos'!C62</f>
        <v>5.1000000000000004E-3</v>
      </c>
      <c r="E81" s="42">
        <f t="shared" si="1"/>
        <v>0</v>
      </c>
    </row>
    <row r="82" spans="1:5" ht="12.75" customHeight="1" x14ac:dyDescent="0.25">
      <c r="A82" s="340" t="s">
        <v>163</v>
      </c>
      <c r="B82" s="341"/>
      <c r="C82" s="342"/>
      <c r="D82" s="25">
        <f>SUM(D76:D81)</f>
        <v>4.6100000000000002E-2</v>
      </c>
      <c r="E82" s="22">
        <f>SUM(E76:E81)</f>
        <v>0</v>
      </c>
    </row>
    <row r="84" spans="1:5" ht="13" x14ac:dyDescent="0.25">
      <c r="A84" s="326" t="s">
        <v>164</v>
      </c>
      <c r="B84" s="331"/>
      <c r="C84" s="331"/>
      <c r="D84" s="331"/>
      <c r="E84" s="327"/>
    </row>
    <row r="85" spans="1:5" ht="13" x14ac:dyDescent="0.25">
      <c r="A85" s="48"/>
      <c r="B85" s="326" t="s">
        <v>165</v>
      </c>
      <c r="C85" s="327"/>
      <c r="D85" s="188" t="s">
        <v>112</v>
      </c>
      <c r="E85" s="189" t="s">
        <v>113</v>
      </c>
    </row>
    <row r="86" spans="1:5" ht="13" x14ac:dyDescent="0.25">
      <c r="A86" s="8" t="s">
        <v>88</v>
      </c>
      <c r="B86" s="328" t="s">
        <v>166</v>
      </c>
      <c r="C86" s="329"/>
      <c r="D86" s="9">
        <v>9.2999999999999992E-3</v>
      </c>
      <c r="E86" s="42">
        <f t="shared" ref="E86:E91" si="2">ROUND(D86*$E$34,2)</f>
        <v>0</v>
      </c>
    </row>
    <row r="87" spans="1:5" ht="13" x14ac:dyDescent="0.25">
      <c r="A87" s="8" t="s">
        <v>90</v>
      </c>
      <c r="B87" s="328" t="s">
        <v>167</v>
      </c>
      <c r="C87" s="329"/>
      <c r="D87" s="9">
        <v>5.5999999999999999E-3</v>
      </c>
      <c r="E87" s="42">
        <f t="shared" si="2"/>
        <v>0</v>
      </c>
    </row>
    <row r="88" spans="1:5" ht="13" x14ac:dyDescent="0.25">
      <c r="A88" s="8" t="s">
        <v>93</v>
      </c>
      <c r="B88" s="328" t="s">
        <v>168</v>
      </c>
      <c r="C88" s="329"/>
      <c r="D88" s="9">
        <v>5.9999999999999995E-4</v>
      </c>
      <c r="E88" s="42">
        <f t="shared" si="2"/>
        <v>0</v>
      </c>
    </row>
    <row r="89" spans="1:5" ht="13" x14ac:dyDescent="0.25">
      <c r="A89" s="8" t="s">
        <v>95</v>
      </c>
      <c r="B89" s="328" t="s">
        <v>169</v>
      </c>
      <c r="C89" s="329"/>
      <c r="D89" s="9">
        <v>3.3E-3</v>
      </c>
      <c r="E89" s="42">
        <f t="shared" si="2"/>
        <v>0</v>
      </c>
    </row>
    <row r="90" spans="1:5" ht="13" x14ac:dyDescent="0.25">
      <c r="A90" s="8" t="s">
        <v>120</v>
      </c>
      <c r="B90" s="328" t="s">
        <v>170</v>
      </c>
      <c r="C90" s="329"/>
      <c r="D90" s="9">
        <v>4.0000000000000002E-4</v>
      </c>
      <c r="E90" s="42">
        <f t="shared" si="2"/>
        <v>0</v>
      </c>
    </row>
    <row r="91" spans="1:5" ht="13" x14ac:dyDescent="0.25">
      <c r="A91" s="324" t="s">
        <v>122</v>
      </c>
      <c r="B91" s="363" t="s">
        <v>413</v>
      </c>
      <c r="C91" s="364"/>
      <c r="D91" s="9">
        <v>2.0000000000000001E-4</v>
      </c>
      <c r="E91" s="42">
        <f t="shared" si="2"/>
        <v>0</v>
      </c>
    </row>
    <row r="92" spans="1:5" ht="12.75" customHeight="1" x14ac:dyDescent="0.25">
      <c r="A92" s="340" t="s">
        <v>171</v>
      </c>
      <c r="B92" s="341"/>
      <c r="C92" s="342"/>
      <c r="D92" s="25">
        <f>SUM(D86:D91)</f>
        <v>1.9400000000000001E-2</v>
      </c>
      <c r="E92" s="22">
        <f>SUM(E86:E91)</f>
        <v>0</v>
      </c>
    </row>
    <row r="94" spans="1:5" ht="12.75" customHeight="1" x14ac:dyDescent="0.25">
      <c r="A94" s="326" t="s">
        <v>172</v>
      </c>
      <c r="B94" s="331"/>
      <c r="C94" s="327"/>
      <c r="D94" s="188" t="s">
        <v>112</v>
      </c>
      <c r="E94" s="189" t="s">
        <v>113</v>
      </c>
    </row>
    <row r="95" spans="1:5" ht="13" x14ac:dyDescent="0.25">
      <c r="A95" s="8" t="s">
        <v>88</v>
      </c>
      <c r="B95" s="359" t="s">
        <v>173</v>
      </c>
      <c r="C95" s="360"/>
      <c r="D95" s="9">
        <v>0</v>
      </c>
      <c r="E95" s="42">
        <f>ROUND(D95*$E$34,2)</f>
        <v>0</v>
      </c>
    </row>
    <row r="96" spans="1:5" ht="12.75" customHeight="1" x14ac:dyDescent="0.25">
      <c r="A96" s="340" t="s">
        <v>174</v>
      </c>
      <c r="B96" s="341"/>
      <c r="C96" s="342"/>
      <c r="D96" s="21">
        <f>SUM(D95)</f>
        <v>0</v>
      </c>
      <c r="E96" s="24">
        <f>ROUND(SUM(E95:E95),2)</f>
        <v>0</v>
      </c>
    </row>
    <row r="98" spans="1:12" ht="12.75" customHeight="1" x14ac:dyDescent="0.25">
      <c r="A98" s="332" t="s">
        <v>176</v>
      </c>
      <c r="B98" s="332"/>
      <c r="C98" s="332"/>
      <c r="D98" s="332"/>
      <c r="E98" s="332"/>
    </row>
    <row r="99" spans="1:12" ht="12.75" customHeight="1" x14ac:dyDescent="0.25">
      <c r="A99" s="332" t="s">
        <v>177</v>
      </c>
      <c r="B99" s="332"/>
      <c r="C99" s="332"/>
      <c r="D99" s="332"/>
      <c r="E99" s="190" t="s">
        <v>113</v>
      </c>
    </row>
    <row r="100" spans="1:12" ht="13" x14ac:dyDescent="0.25">
      <c r="A100" s="12" t="s">
        <v>178</v>
      </c>
      <c r="B100" s="330" t="s">
        <v>179</v>
      </c>
      <c r="C100" s="330"/>
      <c r="D100" s="330"/>
      <c r="E100" s="47">
        <f>E92</f>
        <v>0</v>
      </c>
    </row>
    <row r="101" spans="1:12" ht="13" x14ac:dyDescent="0.25">
      <c r="A101" s="12" t="s">
        <v>180</v>
      </c>
      <c r="B101" s="330" t="s">
        <v>181</v>
      </c>
      <c r="C101" s="330"/>
      <c r="D101" s="330"/>
      <c r="E101" s="47">
        <f>E96</f>
        <v>0</v>
      </c>
    </row>
    <row r="102" spans="1:12" ht="12.75" customHeight="1" x14ac:dyDescent="0.25">
      <c r="A102" s="356" t="s">
        <v>182</v>
      </c>
      <c r="B102" s="356"/>
      <c r="C102" s="356"/>
      <c r="D102" s="356"/>
      <c r="E102" s="20">
        <f>SUM(E100:E101)</f>
        <v>0</v>
      </c>
    </row>
    <row r="104" spans="1:12" ht="13" customHeight="1" x14ac:dyDescent="0.25">
      <c r="A104" s="326" t="s">
        <v>183</v>
      </c>
      <c r="B104" s="331"/>
      <c r="C104" s="331"/>
      <c r="D104" s="331"/>
      <c r="E104" s="327"/>
    </row>
    <row r="105" spans="1:12" ht="13" x14ac:dyDescent="0.25">
      <c r="A105" s="26">
        <v>5</v>
      </c>
      <c r="B105" s="326" t="s">
        <v>184</v>
      </c>
      <c r="C105" s="327"/>
      <c r="D105" s="303"/>
      <c r="E105" s="189" t="s">
        <v>113</v>
      </c>
    </row>
    <row r="106" spans="1:12" s="118" customFormat="1" ht="13" x14ac:dyDescent="0.25">
      <c r="A106" s="300" t="s">
        <v>88</v>
      </c>
      <c r="B106" s="363" t="s">
        <v>185</v>
      </c>
      <c r="C106" s="364"/>
      <c r="D106" s="301" t="s">
        <v>143</v>
      </c>
      <c r="E106" s="42">
        <v>43.08</v>
      </c>
      <c r="F106" s="31"/>
    </row>
    <row r="107" spans="1:12" s="118" customFormat="1" ht="13" x14ac:dyDescent="0.25">
      <c r="A107" s="300" t="s">
        <v>90</v>
      </c>
      <c r="B107" s="363" t="s">
        <v>186</v>
      </c>
      <c r="C107" s="364"/>
      <c r="D107" s="301" t="s">
        <v>143</v>
      </c>
      <c r="E107" s="42">
        <f>Materiais!F40</f>
        <v>0</v>
      </c>
      <c r="F107" s="283"/>
    </row>
    <row r="108" spans="1:12" s="118" customFormat="1" ht="13" x14ac:dyDescent="0.25">
      <c r="A108" s="300" t="s">
        <v>93</v>
      </c>
      <c r="B108" s="363" t="s">
        <v>187</v>
      </c>
      <c r="C108" s="364"/>
      <c r="D108" s="301" t="s">
        <v>143</v>
      </c>
      <c r="E108" s="42">
        <f>Materiais!F59</f>
        <v>0</v>
      </c>
      <c r="F108" s="283"/>
      <c r="H108" s="284" t="e">
        <f>(E42+E53+E82+E92)/E34</f>
        <v>#DIV/0!</v>
      </c>
    </row>
    <row r="109" spans="1:12" s="118" customFormat="1" ht="12.75" customHeight="1" x14ac:dyDescent="0.25">
      <c r="A109" s="370" t="s">
        <v>188</v>
      </c>
      <c r="B109" s="371"/>
      <c r="C109" s="372"/>
      <c r="D109" s="302" t="s">
        <v>143</v>
      </c>
      <c r="E109" s="22">
        <f>SUM(E106:E108)</f>
        <v>43.08</v>
      </c>
      <c r="H109" s="284" t="e">
        <f>(E42+E53+E82+E92+E113+E114)/E34</f>
        <v>#DIV/0!</v>
      </c>
    </row>
    <row r="110" spans="1:12" ht="13" x14ac:dyDescent="0.25">
      <c r="H110" s="28"/>
      <c r="I110" s="56"/>
      <c r="J110" s="56"/>
      <c r="K110" s="56"/>
      <c r="L110" s="56"/>
    </row>
    <row r="111" spans="1:12" ht="13" x14ac:dyDescent="0.25">
      <c r="A111" s="326" t="s">
        <v>189</v>
      </c>
      <c r="B111" s="331"/>
      <c r="C111" s="331"/>
      <c r="D111" s="331"/>
      <c r="E111" s="327"/>
      <c r="H111" s="107"/>
      <c r="I111" s="56"/>
      <c r="J111" s="56"/>
      <c r="K111" s="56"/>
      <c r="L111" s="56"/>
    </row>
    <row r="112" spans="1:12" ht="13" x14ac:dyDescent="0.25">
      <c r="A112" s="26">
        <v>6</v>
      </c>
      <c r="B112" s="326" t="s">
        <v>190</v>
      </c>
      <c r="C112" s="327"/>
      <c r="D112" s="188" t="s">
        <v>112</v>
      </c>
      <c r="E112" s="189" t="s">
        <v>113</v>
      </c>
      <c r="G112" s="108"/>
      <c r="H112" s="107"/>
      <c r="I112" s="116" t="s">
        <v>191</v>
      </c>
      <c r="J112" s="116" t="s">
        <v>192</v>
      </c>
      <c r="K112" s="56"/>
      <c r="L112" s="56"/>
    </row>
    <row r="113" spans="1:12" ht="15" customHeight="1" x14ac:dyDescent="0.25">
      <c r="A113" s="8" t="s">
        <v>88</v>
      </c>
      <c r="B113" s="359" t="s">
        <v>193</v>
      </c>
      <c r="C113" s="360"/>
      <c r="D113" s="13">
        <v>0</v>
      </c>
      <c r="E113" s="42">
        <f>ROUND(E128*D113,2)</f>
        <v>0</v>
      </c>
      <c r="F113" s="373"/>
      <c r="G113" s="374"/>
      <c r="H113" s="118" t="s">
        <v>194</v>
      </c>
      <c r="I113" s="117"/>
      <c r="J113" s="117"/>
      <c r="K113" s="56"/>
      <c r="L113" s="56"/>
    </row>
    <row r="114" spans="1:12" ht="15" customHeight="1" x14ac:dyDescent="0.25">
      <c r="A114" s="8" t="s">
        <v>90</v>
      </c>
      <c r="B114" s="359" t="s">
        <v>195</v>
      </c>
      <c r="C114" s="360"/>
      <c r="D114" s="13">
        <v>0</v>
      </c>
      <c r="E114" s="42">
        <f>ROUND((E128+E113)*D114,2)</f>
        <v>0</v>
      </c>
      <c r="F114" s="373"/>
      <c r="G114" s="374"/>
      <c r="H114" s="37" t="s">
        <v>196</v>
      </c>
      <c r="I114" s="116" t="e">
        <f>Consolidada!F44</f>
        <v>#REF!</v>
      </c>
      <c r="J114" s="116"/>
      <c r="K114" s="57"/>
      <c r="L114" s="57"/>
    </row>
    <row r="115" spans="1:12" ht="15" customHeight="1" x14ac:dyDescent="0.25">
      <c r="A115" s="8" t="s">
        <v>93</v>
      </c>
      <c r="B115" s="377" t="s">
        <v>197</v>
      </c>
      <c r="C115" s="378"/>
      <c r="D115" s="49"/>
      <c r="E115" s="50"/>
      <c r="I115" s="116"/>
      <c r="J115" s="116"/>
      <c r="K115" s="236" t="s">
        <v>27</v>
      </c>
      <c r="L115" s="280">
        <v>745561.8</v>
      </c>
    </row>
    <row r="116" spans="1:12" ht="15" customHeight="1" x14ac:dyDescent="0.25">
      <c r="A116" s="8" t="s">
        <v>198</v>
      </c>
      <c r="B116" s="368" t="s">
        <v>199</v>
      </c>
      <c r="C116" s="369"/>
      <c r="D116" s="13">
        <v>0</v>
      </c>
      <c r="E116" s="42">
        <f>ROUND((($E$128+$E$113+$E$114)/(1-($D$116+$D$117+$D$118)))*D116,2)</f>
        <v>0</v>
      </c>
      <c r="F116" s="365"/>
      <c r="G116" s="366"/>
      <c r="H116" s="367"/>
      <c r="I116" s="367"/>
      <c r="J116" s="367"/>
      <c r="K116" s="367"/>
      <c r="L116" s="56"/>
    </row>
    <row r="117" spans="1:12" ht="20.5" customHeight="1" x14ac:dyDescent="0.25">
      <c r="A117" s="8" t="s">
        <v>200</v>
      </c>
      <c r="B117" s="368" t="s">
        <v>201</v>
      </c>
      <c r="C117" s="369"/>
      <c r="D117" s="13">
        <v>0</v>
      </c>
      <c r="E117" s="42">
        <f>ROUND((($E$128+$E$113+$E$114)/(1-($D$116+$D$117+$D$118)))*D117,2)</f>
        <v>0</v>
      </c>
      <c r="F117" s="365"/>
      <c r="G117" s="366"/>
      <c r="H117" s="367"/>
      <c r="I117" s="367"/>
      <c r="J117" s="367"/>
      <c r="K117" s="367"/>
      <c r="L117" s="56"/>
    </row>
    <row r="118" spans="1:12" ht="15" customHeight="1" x14ac:dyDescent="0.25">
      <c r="A118" s="8" t="s">
        <v>202</v>
      </c>
      <c r="B118" s="368" t="s">
        <v>203</v>
      </c>
      <c r="C118" s="369"/>
      <c r="D118" s="13">
        <v>0</v>
      </c>
      <c r="E118" s="42">
        <f>ROUND((($E$128+$E$113+$E$114)/(1-($D$116+$D$117+$D$118)))*D118,2)</f>
        <v>0</v>
      </c>
      <c r="F118" s="365"/>
      <c r="G118" s="366"/>
      <c r="H118" s="367"/>
      <c r="I118" s="367"/>
      <c r="J118" s="367"/>
      <c r="K118" s="367"/>
    </row>
    <row r="119" spans="1:12" ht="12.75" customHeight="1" x14ac:dyDescent="0.25">
      <c r="A119" s="340" t="s">
        <v>204</v>
      </c>
      <c r="B119" s="341"/>
      <c r="C119" s="342"/>
      <c r="D119" s="21">
        <f>SUM(D113:D118)</f>
        <v>0</v>
      </c>
      <c r="E119" s="22">
        <f>SUM(E113:E118)</f>
        <v>0</v>
      </c>
      <c r="H119" s="367"/>
      <c r="I119" s="367"/>
      <c r="J119" s="367"/>
      <c r="K119" s="367"/>
    </row>
    <row r="120" spans="1:12" ht="12.75" customHeight="1" x14ac:dyDescent="0.25">
      <c r="H120" s="367"/>
      <c r="I120" s="367"/>
      <c r="J120" s="367"/>
      <c r="K120" s="367"/>
    </row>
    <row r="121" spans="1:12" ht="12.75" customHeight="1" x14ac:dyDescent="0.25">
      <c r="A121" s="332" t="s">
        <v>205</v>
      </c>
      <c r="B121" s="332"/>
      <c r="C121" s="332"/>
      <c r="D121" s="332"/>
      <c r="E121" s="332"/>
      <c r="H121" s="367"/>
      <c r="I121" s="367"/>
      <c r="J121" s="367"/>
      <c r="K121" s="367"/>
    </row>
    <row r="122" spans="1:12" ht="12.75" customHeight="1" x14ac:dyDescent="0.25">
      <c r="A122" s="332" t="s">
        <v>206</v>
      </c>
      <c r="B122" s="332"/>
      <c r="C122" s="332"/>
      <c r="D122" s="332"/>
      <c r="E122" s="190" t="s">
        <v>113</v>
      </c>
      <c r="H122" s="367"/>
      <c r="I122" s="367"/>
      <c r="J122" s="367"/>
      <c r="K122" s="367"/>
    </row>
    <row r="123" spans="1:12" x14ac:dyDescent="0.25">
      <c r="A123" s="18" t="s">
        <v>88</v>
      </c>
      <c r="B123" s="330" t="s">
        <v>110</v>
      </c>
      <c r="C123" s="330"/>
      <c r="D123" s="330"/>
      <c r="E123" s="47">
        <f>E34</f>
        <v>0</v>
      </c>
      <c r="H123" s="367"/>
      <c r="I123" s="367"/>
      <c r="J123" s="367"/>
      <c r="K123" s="367"/>
    </row>
    <row r="124" spans="1:12" x14ac:dyDescent="0.25">
      <c r="A124" s="18" t="s">
        <v>90</v>
      </c>
      <c r="B124" s="330" t="s">
        <v>125</v>
      </c>
      <c r="C124" s="330"/>
      <c r="D124" s="330"/>
      <c r="E124" s="47">
        <f>E72</f>
        <v>0</v>
      </c>
      <c r="H124" s="367"/>
      <c r="I124" s="367"/>
      <c r="J124" s="367"/>
      <c r="K124" s="367"/>
    </row>
    <row r="125" spans="1:12" x14ac:dyDescent="0.25">
      <c r="A125" s="18" t="s">
        <v>93</v>
      </c>
      <c r="B125" s="330" t="s">
        <v>155</v>
      </c>
      <c r="C125" s="330"/>
      <c r="D125" s="330"/>
      <c r="E125" s="47">
        <f>E82</f>
        <v>0</v>
      </c>
      <c r="H125" s="367"/>
      <c r="I125" s="367"/>
      <c r="J125" s="367"/>
      <c r="K125" s="367"/>
    </row>
    <row r="126" spans="1:12" x14ac:dyDescent="0.25">
      <c r="A126" s="14" t="s">
        <v>95</v>
      </c>
      <c r="B126" s="330" t="s">
        <v>164</v>
      </c>
      <c r="C126" s="330"/>
      <c r="D126" s="330"/>
      <c r="E126" s="47">
        <f>E102</f>
        <v>0</v>
      </c>
    </row>
    <row r="127" spans="1:12" x14ac:dyDescent="0.25">
      <c r="A127" s="15" t="s">
        <v>120</v>
      </c>
      <c r="B127" s="330" t="s">
        <v>183</v>
      </c>
      <c r="C127" s="330"/>
      <c r="D127" s="330"/>
      <c r="E127" s="51">
        <f>E109</f>
        <v>43.08</v>
      </c>
    </row>
    <row r="128" spans="1:12" ht="13" x14ac:dyDescent="0.25">
      <c r="A128" s="52"/>
      <c r="B128" s="376" t="s">
        <v>207</v>
      </c>
      <c r="C128" s="376"/>
      <c r="D128" s="376"/>
      <c r="E128" s="17">
        <f>SUM(E123:E127)</f>
        <v>43.08</v>
      </c>
    </row>
    <row r="129" spans="1:8" x14ac:dyDescent="0.25">
      <c r="A129" s="18" t="s">
        <v>122</v>
      </c>
      <c r="B129" s="330" t="s">
        <v>189</v>
      </c>
      <c r="C129" s="330"/>
      <c r="D129" s="330"/>
      <c r="E129" s="47">
        <f>E119</f>
        <v>0</v>
      </c>
    </row>
    <row r="130" spans="1:8" ht="15.75" customHeight="1" x14ac:dyDescent="0.25">
      <c r="A130" s="356" t="s">
        <v>208</v>
      </c>
      <c r="B130" s="356"/>
      <c r="C130" s="356"/>
      <c r="D130" s="356"/>
      <c r="E130" s="20">
        <f>ROUND(SUM(E128:E129),2)</f>
        <v>43.08</v>
      </c>
      <c r="F130" s="53"/>
    </row>
    <row r="131" spans="1:8" ht="15.75" customHeight="1" x14ac:dyDescent="0.25">
      <c r="A131" s="333" t="s">
        <v>209</v>
      </c>
      <c r="B131" s="333"/>
      <c r="C131" s="333"/>
      <c r="D131" s="333"/>
      <c r="E131" s="33">
        <v>1</v>
      </c>
    </row>
    <row r="132" spans="1:8" ht="15.75" customHeight="1" x14ac:dyDescent="0.25">
      <c r="A132" s="375" t="s">
        <v>210</v>
      </c>
      <c r="B132" s="375"/>
      <c r="C132" s="375"/>
      <c r="D132" s="375"/>
      <c r="E132" s="309">
        <f>E131*E130</f>
        <v>43.08</v>
      </c>
      <c r="F132" s="54">
        <f>ROUND((E34+E42+E53+E65+E82+E92+E96+E109+E113+E114)/(1-(D116+D117+D118)),2)</f>
        <v>43.08</v>
      </c>
      <c r="G132" s="54">
        <f>F132-E130</f>
        <v>0</v>
      </c>
      <c r="H132" s="288" t="e">
        <f>E132+#REF!</f>
        <v>#REF!</v>
      </c>
    </row>
    <row r="133" spans="1:8" x14ac:dyDescent="0.25">
      <c r="F133" s="287" t="e">
        <f>ABS(E133-E132)/E133</f>
        <v>#DIV/0!</v>
      </c>
      <c r="G133" s="290">
        <f>E132*12</f>
        <v>516.96</v>
      </c>
      <c r="H133" s="53"/>
    </row>
    <row r="134" spans="1:8" x14ac:dyDescent="0.25">
      <c r="F134" s="287" t="e">
        <f>#REF!</f>
        <v>#REF!</v>
      </c>
      <c r="G134" s="294" t="e">
        <f>#REF!</f>
        <v>#REF!</v>
      </c>
    </row>
    <row r="135" spans="1:8" x14ac:dyDescent="0.25">
      <c r="F135" s="293" t="e">
        <f>AVERAGE(F133:F134)</f>
        <v>#DIV/0!</v>
      </c>
      <c r="G135" s="289" t="e">
        <f>SUM(G133:G134)</f>
        <v>#REF!</v>
      </c>
    </row>
    <row r="136" spans="1:8" x14ac:dyDescent="0.25">
      <c r="F136" s="37" t="e">
        <f>#REF!</f>
        <v>#REF!</v>
      </c>
    </row>
    <row r="137" spans="1:8" x14ac:dyDescent="0.25">
      <c r="F137" s="108" t="e">
        <f>F136+F132</f>
        <v>#REF!</v>
      </c>
    </row>
    <row r="138" spans="1:8" x14ac:dyDescent="0.25">
      <c r="F138" s="108" t="e">
        <f>F137*12</f>
        <v>#REF!</v>
      </c>
    </row>
  </sheetData>
  <mergeCells count="128">
    <mergeCell ref="A2:E2"/>
    <mergeCell ref="B11:D11"/>
    <mergeCell ref="B12:D12"/>
    <mergeCell ref="A59:A62"/>
    <mergeCell ref="B62:C62"/>
    <mergeCell ref="E59:E62"/>
    <mergeCell ref="B60:C60"/>
    <mergeCell ref="B59:D59"/>
    <mergeCell ref="A130:D130"/>
    <mergeCell ref="A102:D102"/>
    <mergeCell ref="A104:E104"/>
    <mergeCell ref="B105:C105"/>
    <mergeCell ref="B106:C106"/>
    <mergeCell ref="B107:C107"/>
    <mergeCell ref="B108:C108"/>
    <mergeCell ref="B95:C95"/>
    <mergeCell ref="A96:C96"/>
    <mergeCell ref="A98:E98"/>
    <mergeCell ref="A99:D99"/>
    <mergeCell ref="B100:D100"/>
    <mergeCell ref="B101:D101"/>
    <mergeCell ref="B87:C87"/>
    <mergeCell ref="B88:C88"/>
    <mergeCell ref="B89:C89"/>
    <mergeCell ref="A131:D131"/>
    <mergeCell ref="A132:D132"/>
    <mergeCell ref="B124:D124"/>
    <mergeCell ref="B125:D125"/>
    <mergeCell ref="B126:D126"/>
    <mergeCell ref="B127:D127"/>
    <mergeCell ref="B128:D128"/>
    <mergeCell ref="B129:D129"/>
    <mergeCell ref="B115:C115"/>
    <mergeCell ref="B116:C116"/>
    <mergeCell ref="F116:G118"/>
    <mergeCell ref="H116:K125"/>
    <mergeCell ref="B117:C117"/>
    <mergeCell ref="B118:C118"/>
    <mergeCell ref="A119:C119"/>
    <mergeCell ref="A121:E121"/>
    <mergeCell ref="A122:D122"/>
    <mergeCell ref="B123:D123"/>
    <mergeCell ref="A109:C109"/>
    <mergeCell ref="A111:E111"/>
    <mergeCell ref="B112:C112"/>
    <mergeCell ref="B113:C113"/>
    <mergeCell ref="B114:C114"/>
    <mergeCell ref="F114:G114"/>
    <mergeCell ref="F113:G113"/>
    <mergeCell ref="B90:C90"/>
    <mergeCell ref="A92:C92"/>
    <mergeCell ref="A94:C94"/>
    <mergeCell ref="B81:C81"/>
    <mergeCell ref="A82:C82"/>
    <mergeCell ref="A84:E84"/>
    <mergeCell ref="B85:C85"/>
    <mergeCell ref="B86:C86"/>
    <mergeCell ref="A74:E74"/>
    <mergeCell ref="B75:C75"/>
    <mergeCell ref="B76:C76"/>
    <mergeCell ref="B77:C77"/>
    <mergeCell ref="B78:C78"/>
    <mergeCell ref="B79:C79"/>
    <mergeCell ref="B91:C91"/>
    <mergeCell ref="A67:E67"/>
    <mergeCell ref="A68:D68"/>
    <mergeCell ref="B69:D69"/>
    <mergeCell ref="B70:D70"/>
    <mergeCell ref="B71:D71"/>
    <mergeCell ref="A72:D72"/>
    <mergeCell ref="B63:C63"/>
    <mergeCell ref="B80:C80"/>
    <mergeCell ref="F63:T63"/>
    <mergeCell ref="B64:C64"/>
    <mergeCell ref="A65:C65"/>
    <mergeCell ref="B61:C61"/>
    <mergeCell ref="A56:A58"/>
    <mergeCell ref="B45:C45"/>
    <mergeCell ref="B46:C46"/>
    <mergeCell ref="B47:C47"/>
    <mergeCell ref="B48:C48"/>
    <mergeCell ref="A34:D34"/>
    <mergeCell ref="F34:P34"/>
    <mergeCell ref="A36:E36"/>
    <mergeCell ref="A37:C37"/>
    <mergeCell ref="B38:C38"/>
    <mergeCell ref="B39:C39"/>
    <mergeCell ref="B56:D56"/>
    <mergeCell ref="B49:C49"/>
    <mergeCell ref="B50:C50"/>
    <mergeCell ref="B51:C51"/>
    <mergeCell ref="B52:C52"/>
    <mergeCell ref="A53:C53"/>
    <mergeCell ref="A55:C55"/>
    <mergeCell ref="B57:C57"/>
    <mergeCell ref="B58:C58"/>
    <mergeCell ref="E56:E58"/>
    <mergeCell ref="B28:C28"/>
    <mergeCell ref="F28:P33"/>
    <mergeCell ref="B29:C29"/>
    <mergeCell ref="B30:C30"/>
    <mergeCell ref="B31:C31"/>
    <mergeCell ref="B32:C32"/>
    <mergeCell ref="B33:C33"/>
    <mergeCell ref="A42:C42"/>
    <mergeCell ref="A44:C44"/>
    <mergeCell ref="B41:C41"/>
    <mergeCell ref="A40:C40"/>
    <mergeCell ref="A4:E4"/>
    <mergeCell ref="A6:E6"/>
    <mergeCell ref="B7:D7"/>
    <mergeCell ref="B8:D8"/>
    <mergeCell ref="B9:D9"/>
    <mergeCell ref="B10:D10"/>
    <mergeCell ref="B19:D19"/>
    <mergeCell ref="B20:D20"/>
    <mergeCell ref="B21:D21"/>
    <mergeCell ref="B26:C26"/>
    <mergeCell ref="B27:C27"/>
    <mergeCell ref="B22:D22"/>
    <mergeCell ref="B23:D23"/>
    <mergeCell ref="A25:E25"/>
    <mergeCell ref="A14:E14"/>
    <mergeCell ref="A15:B15"/>
    <mergeCell ref="D15:E15"/>
    <mergeCell ref="A16:B16"/>
    <mergeCell ref="D16:E16"/>
    <mergeCell ref="A18:E18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72" max="6" man="1"/>
  </rowBreaks>
  <legacy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E211F-11AE-4673-9E68-D3C4BC16FCBE}">
  <dimension ref="B6"/>
  <sheetViews>
    <sheetView workbookViewId="0">
      <selection activeCell="E11" sqref="E11"/>
    </sheetView>
  </sheetViews>
  <sheetFormatPr defaultRowHeight="12.5" x14ac:dyDescent="0.25"/>
  <sheetData>
    <row r="6" spans="2:2" x14ac:dyDescent="0.25">
      <c r="B6" s="278" t="s">
        <v>419</v>
      </c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</sheetPr>
  <dimension ref="B3:G59"/>
  <sheetViews>
    <sheetView workbookViewId="0">
      <selection activeCell="F20" sqref="F20"/>
    </sheetView>
  </sheetViews>
  <sheetFormatPr defaultRowHeight="12.5" x14ac:dyDescent="0.25"/>
  <cols>
    <col min="2" max="2" width="44.453125" customWidth="1"/>
    <col min="3" max="3" width="11.54296875" customWidth="1"/>
    <col min="5" max="5" width="13.26953125" bestFit="1" customWidth="1"/>
    <col min="6" max="6" width="15.6328125" customWidth="1"/>
    <col min="8" max="8" width="8.7265625" customWidth="1"/>
  </cols>
  <sheetData>
    <row r="3" spans="2:6" ht="26" x14ac:dyDescent="0.25">
      <c r="B3" s="295" t="s">
        <v>36</v>
      </c>
      <c r="C3" s="295" t="s">
        <v>37</v>
      </c>
      <c r="D3" s="295" t="s">
        <v>38</v>
      </c>
      <c r="E3" s="295" t="s">
        <v>39</v>
      </c>
      <c r="F3" s="295" t="s">
        <v>40</v>
      </c>
    </row>
    <row r="4" spans="2:6" x14ac:dyDescent="0.25">
      <c r="B4" s="305" t="s">
        <v>41</v>
      </c>
      <c r="C4" s="306"/>
      <c r="D4" s="306"/>
      <c r="E4" s="307">
        <f t="shared" ref="E4:E19" si="0">SUM(D4*C4)</f>
        <v>0</v>
      </c>
      <c r="F4" s="308" t="str">
        <f>IF(D4&gt;0,((E4/12)/D4),"0")</f>
        <v>0</v>
      </c>
    </row>
    <row r="5" spans="2:6" x14ac:dyDescent="0.25">
      <c r="B5" s="305" t="s">
        <v>42</v>
      </c>
      <c r="C5" s="306"/>
      <c r="D5" s="306"/>
      <c r="E5" s="307">
        <f t="shared" si="0"/>
        <v>0</v>
      </c>
      <c r="F5" s="308" t="str">
        <f t="shared" ref="F5:F19" si="1">IF(D5&gt;0,((E5/12)/D5),"0")</f>
        <v>0</v>
      </c>
    </row>
    <row r="6" spans="2:6" x14ac:dyDescent="0.25">
      <c r="B6" s="305" t="s">
        <v>43</v>
      </c>
      <c r="C6" s="306"/>
      <c r="D6" s="306"/>
      <c r="E6" s="307">
        <f t="shared" si="0"/>
        <v>0</v>
      </c>
      <c r="F6" s="308" t="str">
        <f t="shared" si="1"/>
        <v>0</v>
      </c>
    </row>
    <row r="7" spans="2:6" x14ac:dyDescent="0.25">
      <c r="B7" s="305" t="s">
        <v>44</v>
      </c>
      <c r="C7" s="306"/>
      <c r="D7" s="306"/>
      <c r="E7" s="307">
        <f t="shared" si="0"/>
        <v>0</v>
      </c>
      <c r="F7" s="308" t="str">
        <f t="shared" si="1"/>
        <v>0</v>
      </c>
    </row>
    <row r="8" spans="2:6" x14ac:dyDescent="0.25">
      <c r="B8" s="305" t="s">
        <v>45</v>
      </c>
      <c r="C8" s="306"/>
      <c r="D8" s="306"/>
      <c r="E8" s="307">
        <f>SUM(D8*C8)</f>
        <v>0</v>
      </c>
      <c r="F8" s="308" t="str">
        <f>IF(D8&gt;0,((E8/12)/D8),"0")</f>
        <v>0</v>
      </c>
    </row>
    <row r="9" spans="2:6" x14ac:dyDescent="0.25">
      <c r="B9" s="305" t="s">
        <v>46</v>
      </c>
      <c r="C9" s="306"/>
      <c r="D9" s="306"/>
      <c r="E9" s="307">
        <f t="shared" si="0"/>
        <v>0</v>
      </c>
      <c r="F9" s="308" t="str">
        <f t="shared" si="1"/>
        <v>0</v>
      </c>
    </row>
    <row r="10" spans="2:6" x14ac:dyDescent="0.25">
      <c r="B10" s="305" t="s">
        <v>47</v>
      </c>
      <c r="C10" s="306"/>
      <c r="D10" s="306"/>
      <c r="E10" s="307">
        <f t="shared" si="0"/>
        <v>0</v>
      </c>
      <c r="F10" s="308" t="str">
        <f t="shared" si="1"/>
        <v>0</v>
      </c>
    </row>
    <row r="11" spans="2:6" x14ac:dyDescent="0.25">
      <c r="B11" s="305" t="s">
        <v>48</v>
      </c>
      <c r="C11" s="306"/>
      <c r="D11" s="306"/>
      <c r="E11" s="307">
        <f t="shared" si="0"/>
        <v>0</v>
      </c>
      <c r="F11" s="308" t="str">
        <f t="shared" si="1"/>
        <v>0</v>
      </c>
    </row>
    <row r="12" spans="2:6" x14ac:dyDescent="0.25">
      <c r="B12" s="305" t="s">
        <v>49</v>
      </c>
      <c r="C12" s="306"/>
      <c r="D12" s="306"/>
      <c r="E12" s="307">
        <f t="shared" si="0"/>
        <v>0</v>
      </c>
      <c r="F12" s="308" t="str">
        <f t="shared" si="1"/>
        <v>0</v>
      </c>
    </row>
    <row r="13" spans="2:6" x14ac:dyDescent="0.25">
      <c r="B13" s="305" t="s">
        <v>50</v>
      </c>
      <c r="C13" s="306"/>
      <c r="D13" s="306"/>
      <c r="E13" s="307">
        <f t="shared" si="0"/>
        <v>0</v>
      </c>
      <c r="F13" s="308" t="str">
        <f t="shared" si="1"/>
        <v>0</v>
      </c>
    </row>
    <row r="14" spans="2:6" x14ac:dyDescent="0.25">
      <c r="B14" s="305" t="s">
        <v>51</v>
      </c>
      <c r="C14" s="306"/>
      <c r="D14" s="306"/>
      <c r="E14" s="307">
        <f t="shared" si="0"/>
        <v>0</v>
      </c>
      <c r="F14" s="308" t="str">
        <f t="shared" si="1"/>
        <v>0</v>
      </c>
    </row>
    <row r="15" spans="2:6" x14ac:dyDescent="0.25">
      <c r="B15" s="305" t="s">
        <v>52</v>
      </c>
      <c r="C15" s="306"/>
      <c r="D15" s="306"/>
      <c r="E15" s="307">
        <f t="shared" si="0"/>
        <v>0</v>
      </c>
      <c r="F15" s="308" t="str">
        <f t="shared" si="1"/>
        <v>0</v>
      </c>
    </row>
    <row r="16" spans="2:6" x14ac:dyDescent="0.25">
      <c r="B16" s="305" t="s">
        <v>53</v>
      </c>
      <c r="C16" s="306"/>
      <c r="D16" s="306"/>
      <c r="E16" s="307">
        <f t="shared" si="0"/>
        <v>0</v>
      </c>
      <c r="F16" s="308" t="str">
        <f>IF(D16&gt;0,((E16/12)/D16),"0")</f>
        <v>0</v>
      </c>
    </row>
    <row r="17" spans="2:7" x14ac:dyDescent="0.25">
      <c r="B17" s="305" t="s">
        <v>54</v>
      </c>
      <c r="C17" s="306"/>
      <c r="D17" s="306"/>
      <c r="E17" s="307">
        <f t="shared" si="0"/>
        <v>0</v>
      </c>
      <c r="F17" s="308" t="str">
        <f t="shared" si="1"/>
        <v>0</v>
      </c>
    </row>
    <row r="18" spans="2:7" x14ac:dyDescent="0.25">
      <c r="B18" s="305" t="s">
        <v>55</v>
      </c>
      <c r="C18" s="306"/>
      <c r="D18" s="306"/>
      <c r="E18" s="307">
        <f t="shared" si="0"/>
        <v>0</v>
      </c>
      <c r="F18" s="308" t="str">
        <f t="shared" si="1"/>
        <v>0</v>
      </c>
    </row>
    <row r="19" spans="2:7" x14ac:dyDescent="0.25">
      <c r="B19" s="305" t="s">
        <v>56</v>
      </c>
      <c r="C19" s="306"/>
      <c r="D19" s="306"/>
      <c r="E19" s="307">
        <f t="shared" si="0"/>
        <v>0</v>
      </c>
      <c r="F19" s="308" t="str">
        <f t="shared" si="1"/>
        <v>0</v>
      </c>
    </row>
    <row r="20" spans="2:7" ht="13" x14ac:dyDescent="0.3">
      <c r="B20" s="427" t="s">
        <v>347</v>
      </c>
      <c r="C20" s="428"/>
      <c r="D20" s="428"/>
      <c r="E20" s="429"/>
      <c r="F20" s="315">
        <f>SUM(F4:F19)</f>
        <v>0</v>
      </c>
    </row>
    <row r="21" spans="2:7" x14ac:dyDescent="0.25">
      <c r="B21" s="278"/>
      <c r="C21" s="278"/>
      <c r="D21" s="278"/>
      <c r="E21" s="278"/>
      <c r="F21" s="278"/>
    </row>
    <row r="22" spans="2:7" x14ac:dyDescent="0.25">
      <c r="B22" s="278"/>
      <c r="C22" s="278"/>
      <c r="D22" s="278"/>
      <c r="E22" s="278"/>
      <c r="F22" s="278"/>
    </row>
    <row r="23" spans="2:7" x14ac:dyDescent="0.25">
      <c r="B23" s="278"/>
      <c r="C23" s="278"/>
      <c r="D23" s="278"/>
      <c r="E23" s="278"/>
      <c r="F23" s="278"/>
    </row>
    <row r="24" spans="2:7" ht="26" x14ac:dyDescent="0.25">
      <c r="B24" s="310" t="s">
        <v>57</v>
      </c>
      <c r="C24" s="310" t="s">
        <v>37</v>
      </c>
      <c r="D24" s="310" t="s">
        <v>38</v>
      </c>
      <c r="E24" s="310" t="s">
        <v>39</v>
      </c>
      <c r="F24" s="310" t="s">
        <v>40</v>
      </c>
    </row>
    <row r="25" spans="2:7" x14ac:dyDescent="0.25">
      <c r="B25" s="305" t="s">
        <v>58</v>
      </c>
      <c r="C25" s="306"/>
      <c r="D25" s="311"/>
      <c r="E25" s="307">
        <f t="shared" ref="E25:E39" si="2">SUM(D25*C25)</f>
        <v>0</v>
      </c>
      <c r="F25" s="308" t="str">
        <f t="shared" ref="F25:F39" si="3">IF(D25&gt;0,((E25/12)/D25),"0")</f>
        <v>0</v>
      </c>
      <c r="G25" s="279"/>
    </row>
    <row r="26" spans="2:7" x14ac:dyDescent="0.25">
      <c r="B26" s="305" t="s">
        <v>59</v>
      </c>
      <c r="C26" s="306"/>
      <c r="D26" s="311"/>
      <c r="E26" s="307">
        <f t="shared" si="2"/>
        <v>0</v>
      </c>
      <c r="F26" s="308" t="str">
        <f t="shared" si="3"/>
        <v>0</v>
      </c>
    </row>
    <row r="27" spans="2:7" x14ac:dyDescent="0.25">
      <c r="B27" s="305" t="s">
        <v>60</v>
      </c>
      <c r="C27" s="306"/>
      <c r="D27" s="311"/>
      <c r="E27" s="307">
        <f t="shared" si="2"/>
        <v>0</v>
      </c>
      <c r="F27" s="308" t="str">
        <f t="shared" si="3"/>
        <v>0</v>
      </c>
    </row>
    <row r="28" spans="2:7" x14ac:dyDescent="0.25">
      <c r="B28" s="305" t="s">
        <v>61</v>
      </c>
      <c r="C28" s="306"/>
      <c r="D28" s="311"/>
      <c r="E28" s="307">
        <f t="shared" si="2"/>
        <v>0</v>
      </c>
      <c r="F28" s="308" t="str">
        <f t="shared" si="3"/>
        <v>0</v>
      </c>
    </row>
    <row r="29" spans="2:7" x14ac:dyDescent="0.25">
      <c r="B29" s="305" t="s">
        <v>62</v>
      </c>
      <c r="C29" s="306"/>
      <c r="D29" s="311"/>
      <c r="E29" s="307">
        <f t="shared" si="2"/>
        <v>0</v>
      </c>
      <c r="F29" s="308" t="str">
        <f t="shared" si="3"/>
        <v>0</v>
      </c>
    </row>
    <row r="30" spans="2:7" x14ac:dyDescent="0.25">
      <c r="B30" s="305" t="s">
        <v>63</v>
      </c>
      <c r="C30" s="306"/>
      <c r="D30" s="311"/>
      <c r="E30" s="307">
        <f t="shared" si="2"/>
        <v>0</v>
      </c>
      <c r="F30" s="308" t="str">
        <f t="shared" si="3"/>
        <v>0</v>
      </c>
    </row>
    <row r="31" spans="2:7" x14ac:dyDescent="0.25">
      <c r="B31" s="305" t="s">
        <v>64</v>
      </c>
      <c r="C31" s="306"/>
      <c r="D31" s="311"/>
      <c r="E31" s="307">
        <f t="shared" si="2"/>
        <v>0</v>
      </c>
      <c r="F31" s="308" t="str">
        <f t="shared" si="3"/>
        <v>0</v>
      </c>
    </row>
    <row r="32" spans="2:7" x14ac:dyDescent="0.25">
      <c r="B32" s="305" t="s">
        <v>65</v>
      </c>
      <c r="C32" s="306"/>
      <c r="D32" s="311"/>
      <c r="E32" s="307">
        <f t="shared" si="2"/>
        <v>0</v>
      </c>
      <c r="F32" s="308" t="str">
        <f t="shared" si="3"/>
        <v>0</v>
      </c>
    </row>
    <row r="33" spans="2:6" x14ac:dyDescent="0.25">
      <c r="B33" s="305" t="s">
        <v>66</v>
      </c>
      <c r="C33" s="306"/>
      <c r="D33" s="311"/>
      <c r="E33" s="307">
        <f t="shared" si="2"/>
        <v>0</v>
      </c>
      <c r="F33" s="308" t="str">
        <f t="shared" si="3"/>
        <v>0</v>
      </c>
    </row>
    <row r="34" spans="2:6" x14ac:dyDescent="0.25">
      <c r="B34" s="305" t="s">
        <v>67</v>
      </c>
      <c r="C34" s="306"/>
      <c r="D34" s="311"/>
      <c r="E34" s="307">
        <f t="shared" si="2"/>
        <v>0</v>
      </c>
      <c r="F34" s="308" t="str">
        <f t="shared" si="3"/>
        <v>0</v>
      </c>
    </row>
    <row r="35" spans="2:6" x14ac:dyDescent="0.25">
      <c r="B35" s="305" t="s">
        <v>68</v>
      </c>
      <c r="C35" s="306"/>
      <c r="D35" s="311"/>
      <c r="E35" s="307">
        <f t="shared" si="2"/>
        <v>0</v>
      </c>
      <c r="F35" s="308" t="str">
        <f t="shared" si="3"/>
        <v>0</v>
      </c>
    </row>
    <row r="36" spans="2:6" x14ac:dyDescent="0.25">
      <c r="B36" s="305" t="s">
        <v>69</v>
      </c>
      <c r="C36" s="306"/>
      <c r="D36" s="311"/>
      <c r="E36" s="307">
        <f t="shared" si="2"/>
        <v>0</v>
      </c>
      <c r="F36" s="308" t="str">
        <f t="shared" si="3"/>
        <v>0</v>
      </c>
    </row>
    <row r="37" spans="2:6" x14ac:dyDescent="0.25">
      <c r="B37" s="305" t="s">
        <v>70</v>
      </c>
      <c r="C37" s="306"/>
      <c r="D37" s="311"/>
      <c r="E37" s="307">
        <f t="shared" si="2"/>
        <v>0</v>
      </c>
      <c r="F37" s="308" t="str">
        <f t="shared" si="3"/>
        <v>0</v>
      </c>
    </row>
    <row r="38" spans="2:6" x14ac:dyDescent="0.25">
      <c r="B38" s="305" t="s">
        <v>71</v>
      </c>
      <c r="C38" s="306"/>
      <c r="D38" s="311"/>
      <c r="E38" s="307">
        <f t="shared" si="2"/>
        <v>0</v>
      </c>
      <c r="F38" s="308" t="str">
        <f t="shared" si="3"/>
        <v>0</v>
      </c>
    </row>
    <row r="39" spans="2:6" x14ac:dyDescent="0.25">
      <c r="B39" s="305" t="s">
        <v>72</v>
      </c>
      <c r="C39" s="306"/>
      <c r="D39" s="311"/>
      <c r="E39" s="307">
        <f t="shared" si="2"/>
        <v>0</v>
      </c>
      <c r="F39" s="308" t="str">
        <f t="shared" si="3"/>
        <v>0</v>
      </c>
    </row>
    <row r="40" spans="2:6" ht="13" x14ac:dyDescent="0.3">
      <c r="B40" s="427" t="s">
        <v>347</v>
      </c>
      <c r="C40" s="428"/>
      <c r="D40" s="428"/>
      <c r="E40" s="429"/>
      <c r="F40" s="315">
        <f>SUM(F25:F39)</f>
        <v>0</v>
      </c>
    </row>
    <row r="41" spans="2:6" x14ac:dyDescent="0.25">
      <c r="B41" s="278"/>
      <c r="C41" s="278"/>
      <c r="D41" s="278"/>
      <c r="E41" s="278"/>
      <c r="F41" s="278"/>
    </row>
    <row r="42" spans="2:6" x14ac:dyDescent="0.25">
      <c r="B42" s="278"/>
      <c r="C42" s="278"/>
      <c r="D42" s="278"/>
      <c r="E42" s="278"/>
      <c r="F42" s="278"/>
    </row>
    <row r="43" spans="2:6" x14ac:dyDescent="0.25">
      <c r="B43" s="278"/>
      <c r="C43" s="278"/>
      <c r="D43" s="278"/>
      <c r="E43" s="278"/>
      <c r="F43" s="278"/>
    </row>
    <row r="44" spans="2:6" ht="26" x14ac:dyDescent="0.25">
      <c r="B44" s="310" t="s">
        <v>403</v>
      </c>
      <c r="C44" s="310" t="s">
        <v>37</v>
      </c>
      <c r="D44" s="310" t="s">
        <v>38</v>
      </c>
      <c r="E44" s="310" t="s">
        <v>39</v>
      </c>
      <c r="F44" s="310" t="s">
        <v>40</v>
      </c>
    </row>
    <row r="45" spans="2:6" x14ac:dyDescent="0.25">
      <c r="B45" s="305" t="s">
        <v>73</v>
      </c>
      <c r="C45" s="306"/>
      <c r="D45" s="306"/>
      <c r="E45" s="307">
        <f t="shared" ref="E45:E58" si="4">SUM(D45*C45)</f>
        <v>0</v>
      </c>
      <c r="F45" s="308" t="str">
        <f t="shared" ref="F45:F58" si="5">IF(D45&gt;0,((E45/12)/D45),"0")</f>
        <v>0</v>
      </c>
    </row>
    <row r="46" spans="2:6" x14ac:dyDescent="0.25">
      <c r="B46" s="305" t="s">
        <v>74</v>
      </c>
      <c r="C46" s="306"/>
      <c r="D46" s="306"/>
      <c r="E46" s="307">
        <f t="shared" si="4"/>
        <v>0</v>
      </c>
      <c r="F46" s="308" t="str">
        <f t="shared" si="5"/>
        <v>0</v>
      </c>
    </row>
    <row r="47" spans="2:6" x14ac:dyDescent="0.25">
      <c r="B47" s="305" t="s">
        <v>75</v>
      </c>
      <c r="C47" s="306"/>
      <c r="D47" s="306"/>
      <c r="E47" s="307">
        <f t="shared" si="4"/>
        <v>0</v>
      </c>
      <c r="F47" s="308" t="str">
        <f t="shared" si="5"/>
        <v>0</v>
      </c>
    </row>
    <row r="48" spans="2:6" x14ac:dyDescent="0.25">
      <c r="B48" s="305" t="s">
        <v>76</v>
      </c>
      <c r="C48" s="306"/>
      <c r="D48" s="306"/>
      <c r="E48" s="307">
        <f t="shared" si="4"/>
        <v>0</v>
      </c>
      <c r="F48" s="308" t="str">
        <f t="shared" si="5"/>
        <v>0</v>
      </c>
    </row>
    <row r="49" spans="2:6" x14ac:dyDescent="0.25">
      <c r="B49" s="305" t="s">
        <v>77</v>
      </c>
      <c r="C49" s="306"/>
      <c r="D49" s="306"/>
      <c r="E49" s="307">
        <f t="shared" si="4"/>
        <v>0</v>
      </c>
      <c r="F49" s="308" t="str">
        <f t="shared" si="5"/>
        <v>0</v>
      </c>
    </row>
    <row r="50" spans="2:6" x14ac:dyDescent="0.25">
      <c r="B50" s="305" t="s">
        <v>78</v>
      </c>
      <c r="C50" s="306"/>
      <c r="D50" s="306"/>
      <c r="E50" s="307">
        <f t="shared" si="4"/>
        <v>0</v>
      </c>
      <c r="F50" s="308" t="str">
        <f t="shared" si="5"/>
        <v>0</v>
      </c>
    </row>
    <row r="51" spans="2:6" x14ac:dyDescent="0.25">
      <c r="B51" s="305" t="s">
        <v>79</v>
      </c>
      <c r="C51" s="306"/>
      <c r="D51" s="306"/>
      <c r="E51" s="307">
        <f t="shared" si="4"/>
        <v>0</v>
      </c>
      <c r="F51" s="308" t="str">
        <f t="shared" si="5"/>
        <v>0</v>
      </c>
    </row>
    <row r="52" spans="2:6" x14ac:dyDescent="0.25">
      <c r="B52" s="305" t="s">
        <v>80</v>
      </c>
      <c r="C52" s="306"/>
      <c r="D52" s="306"/>
      <c r="E52" s="307">
        <f t="shared" si="4"/>
        <v>0</v>
      </c>
      <c r="F52" s="308" t="str">
        <f t="shared" si="5"/>
        <v>0</v>
      </c>
    </row>
    <row r="53" spans="2:6" x14ac:dyDescent="0.25">
      <c r="B53" s="305" t="s">
        <v>81</v>
      </c>
      <c r="C53" s="306"/>
      <c r="D53" s="306"/>
      <c r="E53" s="307">
        <f t="shared" si="4"/>
        <v>0</v>
      </c>
      <c r="F53" s="308" t="str">
        <f t="shared" si="5"/>
        <v>0</v>
      </c>
    </row>
    <row r="54" spans="2:6" x14ac:dyDescent="0.25">
      <c r="B54" s="305" t="s">
        <v>82</v>
      </c>
      <c r="C54" s="306"/>
      <c r="D54" s="306"/>
      <c r="E54" s="307">
        <f t="shared" si="4"/>
        <v>0</v>
      </c>
      <c r="F54" s="308" t="str">
        <f t="shared" si="5"/>
        <v>0</v>
      </c>
    </row>
    <row r="55" spans="2:6" x14ac:dyDescent="0.25">
      <c r="B55" s="305" t="s">
        <v>83</v>
      </c>
      <c r="C55" s="306"/>
      <c r="D55" s="306"/>
      <c r="E55" s="307">
        <f t="shared" si="4"/>
        <v>0</v>
      </c>
      <c r="F55" s="308" t="str">
        <f t="shared" si="5"/>
        <v>0</v>
      </c>
    </row>
    <row r="56" spans="2:6" x14ac:dyDescent="0.25">
      <c r="B56" s="305" t="s">
        <v>84</v>
      </c>
      <c r="C56" s="306"/>
      <c r="D56" s="306"/>
      <c r="E56" s="307">
        <f t="shared" si="4"/>
        <v>0</v>
      </c>
      <c r="F56" s="308" t="str">
        <f t="shared" si="5"/>
        <v>0</v>
      </c>
    </row>
    <row r="57" spans="2:6" x14ac:dyDescent="0.25">
      <c r="B57" s="305" t="s">
        <v>85</v>
      </c>
      <c r="C57" s="306"/>
      <c r="D57" s="306"/>
      <c r="E57" s="307">
        <f t="shared" si="4"/>
        <v>0</v>
      </c>
      <c r="F57" s="308" t="str">
        <f t="shared" si="5"/>
        <v>0</v>
      </c>
    </row>
    <row r="58" spans="2:6" x14ac:dyDescent="0.25">
      <c r="B58" s="314" t="s">
        <v>404</v>
      </c>
      <c r="C58" s="306"/>
      <c r="D58" s="306"/>
      <c r="E58" s="307">
        <f t="shared" si="4"/>
        <v>0</v>
      </c>
      <c r="F58" s="308" t="str">
        <f t="shared" si="5"/>
        <v>0</v>
      </c>
    </row>
    <row r="59" spans="2:6" ht="13" x14ac:dyDescent="0.3">
      <c r="B59" s="427" t="s">
        <v>347</v>
      </c>
      <c r="C59" s="428"/>
      <c r="D59" s="428"/>
      <c r="E59" s="429"/>
      <c r="F59" s="315">
        <f>SUM(F45:F57)</f>
        <v>0</v>
      </c>
    </row>
  </sheetData>
  <mergeCells count="3">
    <mergeCell ref="B59:E59"/>
    <mergeCell ref="B40:E40"/>
    <mergeCell ref="B20:E20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&amp;L&amp;"Calibri"&amp;12&amp;K008000 Pública&amp;1#_x000D_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237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238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Novo Hamburgo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R$ 4,6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134.66</v>
      </c>
      <c r="F50" s="34">
        <v>4.5999999999999996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340.27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340.27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1327.8000000000002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0.87094978057341588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89.36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168.74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46.81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215.61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0.02</v>
      </c>
      <c r="E106" s="42">
        <f>ROUND((($E$116+$E$101+$E$102)/(1-($D$104+$D$105+$D$106)))*D106,2)</f>
        <v>71.41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0.17849612265126374</v>
      </c>
      <c r="E107" s="22">
        <f>SUM(E101:E106)</f>
        <v>591.92999999999995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1327.8000000000002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2978.6360000000004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591.92999999999995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3570.57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3570.57</v>
      </c>
      <c r="F120" s="54">
        <f>ROUND((E30+E36+E47+E54+E71+E80+E84+E97+E101+E102)/(1-(D104+D105+D106)),2)</f>
        <v>3570.57</v>
      </c>
      <c r="G120" s="54">
        <f>F120-E118</f>
        <v>0</v>
      </c>
    </row>
    <row r="121" spans="1:11" x14ac:dyDescent="0.25">
      <c r="E121" s="41">
        <v>3504.52</v>
      </c>
      <c r="F121" s="287">
        <f>ABS(E121-E120)/E121</f>
        <v>1.8847088902331898E-2</v>
      </c>
      <c r="G121" s="290">
        <f>E120*12</f>
        <v>42846.840000000004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239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240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Passo Fundo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43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R$ 5,5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172.46</v>
      </c>
      <c r="F50" s="34">
        <v>5.5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378.07000000000005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378.07000000000005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1365.6000000000004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0.8730620117483977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90.49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170.88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47.41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218.35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0.02</v>
      </c>
      <c r="E106" s="42">
        <f>ROUND((($E$116+$E$101+$E$102)/(1-($D$104+$D$105+$D$106)))*D106,2)</f>
        <v>72.319999999999993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0.17849612265126374</v>
      </c>
      <c r="E107" s="22">
        <f>SUM(E101:E106)</f>
        <v>599.45000000000005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1365.6000000000004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3016.4360000000006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599.45000000000005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3615.89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3615.89</v>
      </c>
      <c r="F120" s="54">
        <f>ROUND((E30+E36+E47+E54+E71+E80+E84+E97+E101+E102)/(1-(D104+D105+D106)),2)</f>
        <v>3615.88</v>
      </c>
      <c r="G120" s="54">
        <f>F120-E118</f>
        <v>-9.9999999997635314E-3</v>
      </c>
    </row>
    <row r="121" spans="1:11" x14ac:dyDescent="0.25">
      <c r="E121" s="41">
        <v>3549.83</v>
      </c>
      <c r="F121" s="287">
        <f>ABS(E121-E120)/E121</f>
        <v>1.8609341855807166E-2</v>
      </c>
      <c r="G121" s="290">
        <f>E120*12</f>
        <v>43390.68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1" sqref="G121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241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242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Pelotas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R$ 5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151.46</v>
      </c>
      <c r="F50" s="34">
        <v>5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357.07000000000005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357.07000000000005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1344.6000000000004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0.87188639684366775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89.86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169.69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47.87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220.47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3.5000000000000003E-2</v>
      </c>
      <c r="E106" s="42">
        <f>ROUND((($E$116+$E$101+$E$102)/(1-($D$104+$D$105+$D$106)))*D106,2)</f>
        <v>127.79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0.19349612265126376</v>
      </c>
      <c r="E107" s="22">
        <f>SUM(E101:E106)</f>
        <v>655.68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1344.6000000000004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2995.4360000000006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655.68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3651.12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3651.12</v>
      </c>
      <c r="F120" s="54">
        <f>ROUND((E30+E36+E47+E54+E71+E80+E84+E97+E101+E102)/(1-(D104+D105+D106)),2)</f>
        <v>3651.12</v>
      </c>
      <c r="G120" s="54">
        <f>F120-E118</f>
        <v>0</v>
      </c>
    </row>
    <row r="121" spans="1:11" x14ac:dyDescent="0.25">
      <c r="E121" s="41">
        <v>3583.96</v>
      </c>
      <c r="F121" s="287">
        <f>ABS(E121-E120)/E121</f>
        <v>1.8739048426879724E-2</v>
      </c>
      <c r="G121" s="290">
        <f>E120*12</f>
        <v>43813.440000000002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243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244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Santa Cruz do Sul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R$ 4,45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128.36000000000001</v>
      </c>
      <c r="F50" s="34">
        <v>4.45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333.97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333.97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1321.5000000000002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0.87059451233297569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89.17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168.38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46.71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215.15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0.02</v>
      </c>
      <c r="E106" s="42">
        <f>ROUND((($E$116+$E$101+$E$102)/(1-($D$104+$D$105+$D$106)))*D106,2)</f>
        <v>71.260000000000005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0.17849612265126374</v>
      </c>
      <c r="E107" s="22">
        <f>SUM(E101:E106)</f>
        <v>590.66999999999996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1321.5000000000002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2972.3360000000002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590.66999999999996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3563.01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3563.01</v>
      </c>
      <c r="F120" s="54">
        <f>ROUND((E30+E36+E47+E54+E71+E80+E84+E97+E101+E102)/(1-(D104+D105+D106)),2)</f>
        <v>3563.01</v>
      </c>
      <c r="G120" s="54">
        <f>F120-E118</f>
        <v>0</v>
      </c>
    </row>
    <row r="121" spans="1:11" x14ac:dyDescent="0.25">
      <c r="E121" s="41">
        <v>3496.97</v>
      </c>
      <c r="F121" s="287">
        <f>ABS(E121-E120)/E121</f>
        <v>1.8884920373923832E-2</v>
      </c>
      <c r="G121" s="290">
        <f>E120*12</f>
        <v>42756.12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245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246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Santa Maria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R$ 5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151.46</v>
      </c>
      <c r="F50" s="34">
        <v>5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357.07000000000005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357.07000000000005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1344.6000000000004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0.87188639684366775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89.86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169.69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48.14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221.72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0.04</v>
      </c>
      <c r="E106" s="42">
        <f>ROUND((($E$116+$E$101+$E$102)/(1-($D$104+$D$105+$D$106)))*D106,2)</f>
        <v>146.87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0.19849612265126376</v>
      </c>
      <c r="E107" s="22">
        <f>SUM(E101:E106)</f>
        <v>676.28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1344.6000000000004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2995.4360000000006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676.28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3671.72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3671.72</v>
      </c>
      <c r="F120" s="54">
        <f>ROUND((E30+E36+E47+E54+E71+E80+E84+E97+E101+E102)/(1-(D104+D105+D106)),2)</f>
        <v>3671.71</v>
      </c>
      <c r="G120" s="54">
        <f>F120-E118</f>
        <v>-9.9999999997635314E-3</v>
      </c>
    </row>
    <row r="121" spans="1:11" x14ac:dyDescent="0.25">
      <c r="E121" s="41">
        <v>3604.17</v>
      </c>
      <c r="F121" s="287">
        <f>ABS(E121-E120)/E121</f>
        <v>1.8742179197984481E-2</v>
      </c>
      <c r="G121" s="290">
        <f>E120*12</f>
        <v>44060.639999999999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25" x14ac:dyDescent="0.25">
      <c r="A5" s="55" t="s">
        <v>90</v>
      </c>
      <c r="B5" s="330" t="s">
        <v>91</v>
      </c>
      <c r="C5" s="330"/>
      <c r="D5" s="330"/>
      <c r="E5" s="18" t="s">
        <v>247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248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Santana do Livramento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277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R$ 3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67.459999999999994</v>
      </c>
      <c r="F50" s="34">
        <v>3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273.07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273.07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1260.6000000000001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0.86718393722474785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87.34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5.5E-2</v>
      </c>
      <c r="E102" s="42">
        <f>ROUND((E116+E101)*D102,2)</f>
        <v>164.93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46.27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213.1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0.03</v>
      </c>
      <c r="E106" s="42">
        <f>ROUND((($E$116+$E$101+$E$102)/(1-($D$104+$D$105+$D$106)))*D106,2)</f>
        <v>105.87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0.18849612265126375</v>
      </c>
      <c r="E107" s="22">
        <f>SUM(E101:E106)</f>
        <v>617.51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1260.6000000000001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2911.4360000000006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617.51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3528.95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3528.95</v>
      </c>
      <c r="F120" s="54">
        <f>ROUND((E30+E36+E47+E54+E71+E80+E84+E97+E101+E102)/(1-(D104+D105+D106)),2)</f>
        <v>3528.94</v>
      </c>
      <c r="G120" s="54">
        <f>F120-E118</f>
        <v>-9.9999999997635314E-3</v>
      </c>
    </row>
    <row r="121" spans="1:11" x14ac:dyDescent="0.25">
      <c r="E121" s="41">
        <v>3462.14</v>
      </c>
      <c r="F121" s="287">
        <f>ABS(E121-E120)/E121</f>
        <v>1.9297313222457771E-2</v>
      </c>
      <c r="G121" s="290">
        <f>E120*12</f>
        <v>42347.399999999994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70C0"/>
  </sheetPr>
  <dimension ref="A1:T121"/>
  <sheetViews>
    <sheetView view="pageBreakPreview" topLeftCell="A88" zoomScaleNormal="100" zoomScaleSheetLayoutView="100" workbookViewId="0">
      <selection activeCell="G122" sqref="G122"/>
    </sheetView>
  </sheetViews>
  <sheetFormatPr defaultColWidth="9.1796875" defaultRowHeight="12.5" x14ac:dyDescent="0.25"/>
  <cols>
    <col min="1" max="1" width="7.1796875" style="37" customWidth="1"/>
    <col min="2" max="2" width="24.1796875" style="37" customWidth="1"/>
    <col min="3" max="3" width="51.453125" style="37" customWidth="1"/>
    <col min="4" max="4" width="12.54296875" style="37" customWidth="1"/>
    <col min="5" max="5" width="20.81640625" style="41" customWidth="1"/>
    <col min="6" max="6" width="13.26953125" style="37" bestFit="1" customWidth="1"/>
    <col min="7" max="7" width="17" style="37" customWidth="1"/>
    <col min="8" max="8" width="9.1796875" style="37"/>
    <col min="9" max="9" width="14.26953125" style="37" bestFit="1" customWidth="1"/>
    <col min="10" max="10" width="16" style="37" bestFit="1" customWidth="1"/>
    <col min="11" max="11" width="21.1796875" style="37" customWidth="1"/>
    <col min="12" max="12" width="15.81640625" style="37" bestFit="1" customWidth="1"/>
    <col min="13" max="16384" width="9.1796875" style="37"/>
  </cols>
  <sheetData>
    <row r="1" spans="1:10" ht="13" x14ac:dyDescent="0.25">
      <c r="A1" s="335" t="s">
        <v>86</v>
      </c>
      <c r="B1" s="335"/>
      <c r="C1" s="335"/>
      <c r="D1" s="335"/>
      <c r="E1" s="335"/>
    </row>
    <row r="3" spans="1:10" ht="12.75" customHeight="1" x14ac:dyDescent="0.25">
      <c r="A3" s="332" t="s">
        <v>87</v>
      </c>
      <c r="B3" s="332"/>
      <c r="C3" s="332"/>
      <c r="D3" s="332"/>
      <c r="E3" s="332"/>
      <c r="F3" s="1"/>
      <c r="G3" s="1"/>
    </row>
    <row r="4" spans="1:10" ht="12.75" customHeight="1" x14ac:dyDescent="0.25">
      <c r="A4" s="55" t="s">
        <v>88</v>
      </c>
      <c r="B4" s="330" t="s">
        <v>89</v>
      </c>
      <c r="C4" s="330"/>
      <c r="D4" s="330"/>
      <c r="E4" s="2">
        <v>44887</v>
      </c>
      <c r="F4" s="38"/>
      <c r="G4" s="38"/>
    </row>
    <row r="5" spans="1:10" ht="13" x14ac:dyDescent="0.25">
      <c r="A5" s="55" t="s">
        <v>90</v>
      </c>
      <c r="B5" s="330" t="s">
        <v>91</v>
      </c>
      <c r="C5" s="330"/>
      <c r="D5" s="330"/>
      <c r="E5" s="18" t="s">
        <v>249</v>
      </c>
      <c r="F5" s="38"/>
      <c r="G5" s="38"/>
    </row>
    <row r="6" spans="1:10" ht="13" x14ac:dyDescent="0.25">
      <c r="A6" s="55" t="s">
        <v>93</v>
      </c>
      <c r="B6" s="330" t="s">
        <v>94</v>
      </c>
      <c r="C6" s="330"/>
      <c r="D6" s="330"/>
      <c r="E6" s="18">
        <v>2022</v>
      </c>
      <c r="F6" s="38"/>
      <c r="G6" s="38"/>
    </row>
    <row r="7" spans="1:10" ht="12.75" customHeight="1" x14ac:dyDescent="0.25">
      <c r="A7" s="3" t="s">
        <v>95</v>
      </c>
      <c r="B7" s="330" t="s">
        <v>96</v>
      </c>
      <c r="C7" s="330"/>
      <c r="D7" s="330"/>
      <c r="E7" s="18">
        <v>12</v>
      </c>
      <c r="F7" s="38"/>
      <c r="G7" s="38"/>
    </row>
    <row r="8" spans="1:10" ht="12.75" customHeight="1" x14ac:dyDescent="0.25">
      <c r="A8" s="4"/>
      <c r="B8" s="5"/>
      <c r="C8" s="5"/>
      <c r="D8" s="5"/>
      <c r="E8" s="16"/>
      <c r="F8" s="38"/>
      <c r="G8" s="38"/>
    </row>
    <row r="9" spans="1:10" ht="12.75" customHeight="1" x14ac:dyDescent="0.25">
      <c r="A9" s="332" t="s">
        <v>97</v>
      </c>
      <c r="B9" s="332"/>
      <c r="C9" s="332"/>
      <c r="D9" s="332"/>
      <c r="E9" s="332"/>
      <c r="F9" s="1"/>
      <c r="G9" s="38"/>
    </row>
    <row r="10" spans="1:10" s="28" customFormat="1" ht="36.75" customHeight="1" x14ac:dyDescent="0.25">
      <c r="A10" s="333" t="s">
        <v>98</v>
      </c>
      <c r="B10" s="333"/>
      <c r="C10" s="55" t="s">
        <v>99</v>
      </c>
      <c r="D10" s="333" t="s">
        <v>100</v>
      </c>
      <c r="E10" s="333"/>
      <c r="F10" s="1"/>
      <c r="G10" s="27"/>
    </row>
    <row r="11" spans="1:10" ht="34.5" customHeight="1" x14ac:dyDescent="0.25">
      <c r="A11" s="422" t="s">
        <v>250</v>
      </c>
      <c r="B11" s="422"/>
      <c r="C11" s="18" t="s">
        <v>102</v>
      </c>
      <c r="D11" s="334">
        <v>1</v>
      </c>
      <c r="E11" s="334"/>
      <c r="F11" s="38"/>
      <c r="G11" s="38"/>
    </row>
    <row r="13" spans="1:10" ht="12.75" customHeight="1" x14ac:dyDescent="0.25">
      <c r="A13" s="332" t="s">
        <v>103</v>
      </c>
      <c r="B13" s="332"/>
      <c r="C13" s="332"/>
      <c r="D13" s="332"/>
      <c r="E13" s="332"/>
    </row>
    <row r="14" spans="1:10" ht="13" x14ac:dyDescent="0.25">
      <c r="A14" s="6">
        <v>1</v>
      </c>
      <c r="B14" s="337" t="s">
        <v>104</v>
      </c>
      <c r="C14" s="337"/>
      <c r="D14" s="337"/>
      <c r="E14" s="19" t="s">
        <v>105</v>
      </c>
    </row>
    <row r="15" spans="1:10" ht="13" x14ac:dyDescent="0.25">
      <c r="A15" s="7">
        <v>2</v>
      </c>
      <c r="B15" s="330" t="s">
        <v>106</v>
      </c>
      <c r="C15" s="330"/>
      <c r="D15" s="330"/>
      <c r="E15" s="282">
        <v>5143</v>
      </c>
    </row>
    <row r="16" spans="1:10" ht="13" x14ac:dyDescent="0.25">
      <c r="A16" s="7">
        <v>3</v>
      </c>
      <c r="B16" s="330" t="s">
        <v>107</v>
      </c>
      <c r="C16" s="330"/>
      <c r="D16" s="330"/>
      <c r="E16" s="285">
        <v>1431.04</v>
      </c>
      <c r="F16" s="32"/>
      <c r="G16" s="32"/>
      <c r="H16" s="32"/>
      <c r="I16" s="32"/>
      <c r="J16" s="32"/>
    </row>
    <row r="17" spans="1:16" ht="25" x14ac:dyDescent="0.25">
      <c r="A17" s="7">
        <v>4</v>
      </c>
      <c r="B17" s="330" t="s">
        <v>108</v>
      </c>
      <c r="C17" s="330"/>
      <c r="D17" s="330"/>
      <c r="E17" s="39" t="str">
        <f>A11</f>
        <v>Servente 30 horas São Leopoldo</v>
      </c>
      <c r="F17" s="32"/>
      <c r="G17" s="32"/>
      <c r="H17" s="32"/>
      <c r="I17" s="32"/>
      <c r="J17" s="32"/>
    </row>
    <row r="18" spans="1:16" ht="13" x14ac:dyDescent="0.25">
      <c r="A18" s="7">
        <v>5</v>
      </c>
      <c r="B18" s="330" t="s">
        <v>109</v>
      </c>
      <c r="C18" s="330"/>
      <c r="D18" s="330"/>
      <c r="E18" s="40">
        <v>44562</v>
      </c>
      <c r="F18" s="32"/>
      <c r="G18" s="32"/>
      <c r="H18" s="32"/>
      <c r="I18" s="32"/>
      <c r="J18" s="32"/>
    </row>
    <row r="19" spans="1:16" ht="13" x14ac:dyDescent="0.25">
      <c r="F19" s="32"/>
      <c r="G19" s="32"/>
      <c r="H19" s="32"/>
      <c r="I19" s="32"/>
      <c r="J19" s="32"/>
    </row>
    <row r="20" spans="1:16" ht="13" x14ac:dyDescent="0.25">
      <c r="A20" s="326" t="s">
        <v>110</v>
      </c>
      <c r="B20" s="331"/>
      <c r="C20" s="331"/>
      <c r="D20" s="331"/>
      <c r="E20" s="327"/>
      <c r="F20" s="32"/>
      <c r="G20" s="32"/>
      <c r="H20" s="32"/>
      <c r="I20" s="32"/>
      <c r="J20" s="32"/>
    </row>
    <row r="21" spans="1:16" ht="13" x14ac:dyDescent="0.25">
      <c r="A21" s="26">
        <v>1</v>
      </c>
      <c r="B21" s="326" t="s">
        <v>111</v>
      </c>
      <c r="C21" s="327"/>
      <c r="D21" s="188" t="s">
        <v>112</v>
      </c>
      <c r="E21" s="189" t="s">
        <v>113</v>
      </c>
      <c r="F21" s="32"/>
      <c r="G21" s="32"/>
      <c r="H21" s="32"/>
      <c r="I21" s="32"/>
      <c r="J21" s="32"/>
    </row>
    <row r="22" spans="1:16" ht="14.25" customHeight="1" x14ac:dyDescent="0.25">
      <c r="A22" s="8" t="s">
        <v>88</v>
      </c>
      <c r="B22" s="328" t="s">
        <v>114</v>
      </c>
      <c r="C22" s="329"/>
      <c r="D22" s="43">
        <v>0</v>
      </c>
      <c r="E22" s="42">
        <f>ROUND((E16/220)*150,2)</f>
        <v>975.71</v>
      </c>
      <c r="F22" s="32"/>
      <c r="G22" s="32"/>
      <c r="H22" s="32"/>
      <c r="I22" s="32"/>
      <c r="J22" s="32"/>
    </row>
    <row r="23" spans="1:16" ht="14.25" customHeight="1" x14ac:dyDescent="0.25">
      <c r="A23" s="8" t="s">
        <v>90</v>
      </c>
      <c r="B23" s="328" t="s">
        <v>115</v>
      </c>
      <c r="C23" s="329"/>
      <c r="D23" s="43">
        <v>0.4</v>
      </c>
      <c r="E23" s="42">
        <f>E16*D23</f>
        <v>572.41600000000005</v>
      </c>
      <c r="F23" s="338"/>
      <c r="G23" s="339"/>
      <c r="H23" s="339"/>
      <c r="I23" s="339"/>
      <c r="J23" s="339"/>
      <c r="K23" s="339"/>
      <c r="L23" s="339"/>
      <c r="M23" s="339"/>
      <c r="N23" s="339"/>
      <c r="O23" s="339"/>
      <c r="P23" s="339"/>
    </row>
    <row r="24" spans="1:16" ht="13" x14ac:dyDescent="0.25">
      <c r="A24" s="8" t="s">
        <v>93</v>
      </c>
      <c r="B24" s="328" t="s">
        <v>116</v>
      </c>
      <c r="C24" s="329"/>
      <c r="D24" s="43">
        <v>0</v>
      </c>
      <c r="E24" s="42">
        <v>0</v>
      </c>
      <c r="F24" s="338"/>
      <c r="G24" s="339"/>
      <c r="H24" s="339"/>
      <c r="I24" s="339"/>
      <c r="J24" s="339"/>
      <c r="K24" s="339"/>
      <c r="L24" s="339"/>
      <c r="M24" s="339"/>
      <c r="N24" s="339"/>
      <c r="O24" s="339"/>
      <c r="P24" s="339"/>
    </row>
    <row r="25" spans="1:16" ht="14.25" customHeight="1" x14ac:dyDescent="0.25">
      <c r="A25" s="8" t="s">
        <v>95</v>
      </c>
      <c r="B25" s="328" t="s">
        <v>117</v>
      </c>
      <c r="C25" s="329"/>
      <c r="D25" s="43">
        <v>0</v>
      </c>
      <c r="E25" s="42">
        <v>0</v>
      </c>
      <c r="F25" s="338"/>
      <c r="G25" s="339"/>
      <c r="H25" s="339"/>
      <c r="I25" s="339"/>
      <c r="J25" s="339"/>
      <c r="K25" s="339"/>
      <c r="L25" s="339"/>
      <c r="M25" s="339"/>
      <c r="N25" s="339"/>
      <c r="O25" s="339"/>
      <c r="P25" s="339"/>
    </row>
    <row r="26" spans="1:16" ht="13" x14ac:dyDescent="0.25">
      <c r="A26" s="8" t="s">
        <v>93</v>
      </c>
      <c r="B26" s="328" t="s">
        <v>118</v>
      </c>
      <c r="C26" s="329"/>
      <c r="D26" s="43">
        <v>0</v>
      </c>
      <c r="E26" s="42">
        <v>0</v>
      </c>
      <c r="F26" s="338"/>
      <c r="G26" s="339"/>
      <c r="H26" s="339"/>
      <c r="I26" s="339"/>
      <c r="J26" s="339"/>
      <c r="K26" s="339"/>
      <c r="L26" s="339"/>
      <c r="M26" s="339"/>
      <c r="N26" s="339"/>
      <c r="O26" s="339"/>
      <c r="P26" s="339"/>
    </row>
    <row r="27" spans="1:16" ht="14.25" customHeight="1" x14ac:dyDescent="0.25">
      <c r="A27" s="8" t="s">
        <v>95</v>
      </c>
      <c r="B27" s="328" t="s">
        <v>119</v>
      </c>
      <c r="C27" s="329"/>
      <c r="D27" s="43">
        <v>0</v>
      </c>
      <c r="E27" s="42">
        <v>0</v>
      </c>
      <c r="F27" s="338"/>
      <c r="G27" s="339"/>
      <c r="H27" s="339"/>
      <c r="I27" s="339"/>
      <c r="J27" s="339"/>
      <c r="K27" s="339"/>
      <c r="L27" s="339"/>
      <c r="M27" s="339"/>
      <c r="N27" s="339"/>
      <c r="O27" s="339"/>
      <c r="P27" s="339"/>
    </row>
    <row r="28" spans="1:16" ht="14.25" customHeight="1" x14ac:dyDescent="0.25">
      <c r="A28" s="8" t="s">
        <v>120</v>
      </c>
      <c r="B28" s="328" t="s">
        <v>121</v>
      </c>
      <c r="C28" s="329"/>
      <c r="D28" s="43">
        <v>0</v>
      </c>
      <c r="E28" s="42">
        <v>0</v>
      </c>
      <c r="F28" s="338"/>
      <c r="G28" s="339"/>
      <c r="H28" s="339"/>
      <c r="I28" s="339"/>
      <c r="J28" s="339"/>
      <c r="K28" s="339"/>
      <c r="L28" s="339"/>
      <c r="M28" s="339"/>
      <c r="N28" s="339"/>
      <c r="O28" s="339"/>
      <c r="P28" s="339"/>
    </row>
    <row r="29" spans="1:16" ht="14.25" customHeight="1" x14ac:dyDescent="0.25">
      <c r="A29" s="8" t="s">
        <v>122</v>
      </c>
      <c r="B29" s="328" t="s">
        <v>123</v>
      </c>
      <c r="C29" s="329"/>
      <c r="D29" s="43">
        <v>0</v>
      </c>
      <c r="E29" s="42">
        <v>0</v>
      </c>
      <c r="F29" s="338"/>
      <c r="G29" s="339"/>
      <c r="H29" s="339"/>
      <c r="I29" s="339"/>
      <c r="J29" s="339"/>
      <c r="K29" s="339"/>
      <c r="L29" s="339"/>
      <c r="M29" s="339"/>
      <c r="N29" s="339"/>
      <c r="O29" s="339"/>
      <c r="P29" s="339"/>
    </row>
    <row r="30" spans="1:16" ht="13" x14ac:dyDescent="0.25">
      <c r="A30" s="340" t="s">
        <v>124</v>
      </c>
      <c r="B30" s="341"/>
      <c r="C30" s="341"/>
      <c r="D30" s="342"/>
      <c r="E30" s="24">
        <f>SUM(E22:E29)</f>
        <v>1548.1260000000002</v>
      </c>
      <c r="F30" s="338"/>
      <c r="G30" s="339"/>
      <c r="H30" s="339"/>
      <c r="I30" s="339"/>
      <c r="J30" s="339"/>
      <c r="K30" s="339"/>
      <c r="L30" s="339"/>
      <c r="M30" s="339"/>
      <c r="N30" s="339"/>
      <c r="O30" s="339"/>
      <c r="P30" s="339"/>
    </row>
    <row r="32" spans="1:16" ht="13" x14ac:dyDescent="0.25">
      <c r="A32" s="326" t="s">
        <v>125</v>
      </c>
      <c r="B32" s="331"/>
      <c r="C32" s="331"/>
      <c r="D32" s="331"/>
      <c r="E32" s="327"/>
    </row>
    <row r="33" spans="1:5" ht="13" x14ac:dyDescent="0.25">
      <c r="A33" s="326" t="s">
        <v>126</v>
      </c>
      <c r="B33" s="331"/>
      <c r="C33" s="327"/>
      <c r="D33" s="188" t="s">
        <v>112</v>
      </c>
      <c r="E33" s="189" t="s">
        <v>113</v>
      </c>
    </row>
    <row r="34" spans="1:5" ht="13" x14ac:dyDescent="0.25">
      <c r="A34" s="8" t="s">
        <v>88</v>
      </c>
      <c r="B34" s="328" t="s">
        <v>127</v>
      </c>
      <c r="C34" s="329"/>
      <c r="D34" s="9">
        <v>8.3299999999999999E-2</v>
      </c>
      <c r="E34" s="42">
        <f>ROUND(D34*$E$30,2)</f>
        <v>128.96</v>
      </c>
    </row>
    <row r="35" spans="1:5" ht="13" x14ac:dyDescent="0.25">
      <c r="A35" s="8" t="s">
        <v>90</v>
      </c>
      <c r="B35" s="328" t="s">
        <v>128</v>
      </c>
      <c r="C35" s="329"/>
      <c r="D35" s="9">
        <v>0.1111</v>
      </c>
      <c r="E35" s="42">
        <f>ROUND(D35*$E$30,2)</f>
        <v>172</v>
      </c>
    </row>
    <row r="36" spans="1:5" ht="12.75" customHeight="1" x14ac:dyDescent="0.25">
      <c r="A36" s="340" t="s">
        <v>129</v>
      </c>
      <c r="B36" s="341"/>
      <c r="C36" s="342"/>
      <c r="D36" s="25">
        <f>SUM(D34:D35)</f>
        <v>0.19440000000000002</v>
      </c>
      <c r="E36" s="24">
        <f>SUM(E34:E35)</f>
        <v>300.96000000000004</v>
      </c>
    </row>
    <row r="38" spans="1:5" ht="12.75" customHeight="1" x14ac:dyDescent="0.25">
      <c r="A38" s="326" t="s">
        <v>130</v>
      </c>
      <c r="B38" s="331"/>
      <c r="C38" s="327"/>
      <c r="D38" s="188" t="s">
        <v>112</v>
      </c>
      <c r="E38" s="189" t="s">
        <v>113</v>
      </c>
    </row>
    <row r="39" spans="1:5" ht="13" x14ac:dyDescent="0.25">
      <c r="A39" s="8" t="s">
        <v>88</v>
      </c>
      <c r="B39" s="328" t="s">
        <v>131</v>
      </c>
      <c r="C39" s="329"/>
      <c r="D39" s="9">
        <v>0.2</v>
      </c>
      <c r="E39" s="42">
        <f t="shared" ref="E39:E46" si="0">ROUND(D39*($E$30+$E$36),2)</f>
        <v>369.82</v>
      </c>
    </row>
    <row r="40" spans="1:5" ht="13" x14ac:dyDescent="0.25">
      <c r="A40" s="8" t="s">
        <v>90</v>
      </c>
      <c r="B40" s="328" t="s">
        <v>132</v>
      </c>
      <c r="C40" s="329"/>
      <c r="D40" s="9">
        <v>2.5000000000000001E-2</v>
      </c>
      <c r="E40" s="42">
        <f t="shared" si="0"/>
        <v>46.23</v>
      </c>
    </row>
    <row r="41" spans="1:5" ht="13" x14ac:dyDescent="0.25">
      <c r="A41" s="8" t="s">
        <v>93</v>
      </c>
      <c r="B41" s="328" t="s">
        <v>133</v>
      </c>
      <c r="C41" s="329"/>
      <c r="D41" s="60">
        <v>3.3300000000000003E-2</v>
      </c>
      <c r="E41" s="42">
        <f t="shared" si="0"/>
        <v>61.57</v>
      </c>
    </row>
    <row r="42" spans="1:5" ht="13" x14ac:dyDescent="0.25">
      <c r="A42" s="8" t="s">
        <v>95</v>
      </c>
      <c r="B42" s="328" t="s">
        <v>134</v>
      </c>
      <c r="C42" s="329"/>
      <c r="D42" s="9">
        <v>1.4999999999999999E-2</v>
      </c>
      <c r="E42" s="42">
        <f t="shared" si="0"/>
        <v>27.74</v>
      </c>
    </row>
    <row r="43" spans="1:5" ht="13" x14ac:dyDescent="0.25">
      <c r="A43" s="8" t="s">
        <v>120</v>
      </c>
      <c r="B43" s="328" t="s">
        <v>135</v>
      </c>
      <c r="C43" s="329"/>
      <c r="D43" s="9">
        <v>0.01</v>
      </c>
      <c r="E43" s="42">
        <f t="shared" si="0"/>
        <v>18.489999999999998</v>
      </c>
    </row>
    <row r="44" spans="1:5" ht="13" x14ac:dyDescent="0.25">
      <c r="A44" s="8" t="s">
        <v>122</v>
      </c>
      <c r="B44" s="328" t="s">
        <v>136</v>
      </c>
      <c r="C44" s="329"/>
      <c r="D44" s="9">
        <v>6.0000000000000001E-3</v>
      </c>
      <c r="E44" s="42">
        <f t="shared" si="0"/>
        <v>11.09</v>
      </c>
    </row>
    <row r="45" spans="1:5" ht="13" x14ac:dyDescent="0.25">
      <c r="A45" s="8" t="s">
        <v>137</v>
      </c>
      <c r="B45" s="328" t="s">
        <v>138</v>
      </c>
      <c r="C45" s="329"/>
      <c r="D45" s="9">
        <v>2E-3</v>
      </c>
      <c r="E45" s="42">
        <f t="shared" si="0"/>
        <v>3.7</v>
      </c>
    </row>
    <row r="46" spans="1:5" ht="13" x14ac:dyDescent="0.25">
      <c r="A46" s="8" t="s">
        <v>139</v>
      </c>
      <c r="B46" s="328" t="s">
        <v>140</v>
      </c>
      <c r="C46" s="329"/>
      <c r="D46" s="9">
        <v>0.08</v>
      </c>
      <c r="E46" s="42">
        <f t="shared" si="0"/>
        <v>147.93</v>
      </c>
    </row>
    <row r="47" spans="1:5" ht="12.75" customHeight="1" x14ac:dyDescent="0.25">
      <c r="A47" s="340" t="s">
        <v>141</v>
      </c>
      <c r="B47" s="341"/>
      <c r="C47" s="342"/>
      <c r="D47" s="25">
        <f>SUM(D39:D46)</f>
        <v>0.37130000000000007</v>
      </c>
      <c r="E47" s="24">
        <f>SUM(E39:E46)</f>
        <v>686.57000000000016</v>
      </c>
    </row>
    <row r="49" spans="1:20" ht="12.75" customHeight="1" x14ac:dyDescent="0.25">
      <c r="A49" s="326" t="s">
        <v>142</v>
      </c>
      <c r="B49" s="331"/>
      <c r="C49" s="327"/>
      <c r="D49" s="188" t="s">
        <v>112</v>
      </c>
      <c r="E49" s="189" t="s">
        <v>113</v>
      </c>
    </row>
    <row r="50" spans="1:20" ht="29.25" customHeight="1" x14ac:dyDescent="0.25">
      <c r="A50" s="8" t="s">
        <v>88</v>
      </c>
      <c r="B50" s="359" t="str">
        <f>"Auxílio Transporte Público: [ (Valor da Tarifa: R$ "&amp;F50&amp;" x "&amp;G50&amp;" dias trabalhados x 2 passagens por dia) - (Salário base x 6% de desconto legal) ]"</f>
        <v>Auxílio Transporte Público: [ (Valor da Tarifa: R$ 4,6 x 21 dias trabalhados x 2 passagens por dia) - (Salário base x 6% de desconto legal) ]</v>
      </c>
      <c r="C50" s="360"/>
      <c r="D50" s="10" t="s">
        <v>143</v>
      </c>
      <c r="E50" s="42">
        <f>IF(ROUND((G50*2*F50)-(0.06*E22),2)&lt;=0,0,ROUND((G50*2*F50)-(0.06*E22),2))</f>
        <v>134.66</v>
      </c>
      <c r="F50" s="34">
        <v>4.5999999999999996</v>
      </c>
      <c r="G50" s="44">
        <v>21</v>
      </c>
    </row>
    <row r="51" spans="1:20" ht="36" customHeight="1" x14ac:dyDescent="0.25">
      <c r="A51" s="8" t="s">
        <v>90</v>
      </c>
      <c r="B51" s="359" t="str">
        <f>"Auxílio Alimentação (Vales, cesta básica etc.): [ (Valor do V.A: R$ "&amp;F51&amp;"  x "&amp;G51&amp;" vale por mês) - desconto legal de "&amp;H51*100&amp;"%]"</f>
        <v>Auxílio Alimentação (Vales, cesta básica etc.): [ (Valor do V.A: R$ 11  x 21 vale por mês) - desconto legal de 19%]</v>
      </c>
      <c r="C51" s="360"/>
      <c r="D51" s="10" t="s">
        <v>143</v>
      </c>
      <c r="E51" s="286">
        <f>ROUND((F51*G51)-(F51*G51*H51),2)</f>
        <v>187.11</v>
      </c>
      <c r="F51" s="34">
        <v>11</v>
      </c>
      <c r="G51" s="44">
        <v>21</v>
      </c>
      <c r="H51" s="45">
        <v>0.19</v>
      </c>
    </row>
    <row r="52" spans="1:20" ht="12.75" customHeight="1" x14ac:dyDescent="0.25">
      <c r="A52" s="8" t="s">
        <v>93</v>
      </c>
      <c r="B52" s="359" t="s">
        <v>144</v>
      </c>
      <c r="C52" s="360"/>
      <c r="D52" s="10" t="s">
        <v>143</v>
      </c>
      <c r="E52" s="286">
        <v>18.5</v>
      </c>
      <c r="F52" s="361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</row>
    <row r="53" spans="1:20" ht="12.75" customHeight="1" x14ac:dyDescent="0.25">
      <c r="A53" s="8" t="s">
        <v>95</v>
      </c>
      <c r="B53" s="359" t="s">
        <v>121</v>
      </c>
      <c r="C53" s="360"/>
      <c r="D53" s="10" t="s">
        <v>143</v>
      </c>
      <c r="E53" s="42">
        <v>0</v>
      </c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</row>
    <row r="54" spans="1:20" ht="12.75" customHeight="1" x14ac:dyDescent="0.25">
      <c r="A54" s="340" t="s">
        <v>145</v>
      </c>
      <c r="B54" s="341"/>
      <c r="C54" s="342"/>
      <c r="D54" s="46"/>
      <c r="E54" s="22">
        <f>SUM(E50:E53)</f>
        <v>340.27</v>
      </c>
    </row>
    <row r="56" spans="1:20" ht="12.75" customHeight="1" x14ac:dyDescent="0.25">
      <c r="A56" s="332" t="s">
        <v>146</v>
      </c>
      <c r="B56" s="332"/>
      <c r="C56" s="332"/>
      <c r="D56" s="332"/>
      <c r="E56" s="332"/>
    </row>
    <row r="57" spans="1:20" ht="12.75" customHeight="1" x14ac:dyDescent="0.25">
      <c r="A57" s="332" t="s">
        <v>147</v>
      </c>
      <c r="B57" s="332"/>
      <c r="C57" s="332"/>
      <c r="D57" s="332"/>
      <c r="E57" s="190" t="s">
        <v>113</v>
      </c>
    </row>
    <row r="58" spans="1:20" ht="13" x14ac:dyDescent="0.25">
      <c r="A58" s="55" t="s">
        <v>148</v>
      </c>
      <c r="B58" s="330" t="s">
        <v>149</v>
      </c>
      <c r="C58" s="330"/>
      <c r="D58" s="330"/>
      <c r="E58" s="47">
        <f>E36</f>
        <v>300.96000000000004</v>
      </c>
    </row>
    <row r="59" spans="1:20" ht="13" x14ac:dyDescent="0.25">
      <c r="A59" s="55" t="s">
        <v>150</v>
      </c>
      <c r="B59" s="330" t="s">
        <v>151</v>
      </c>
      <c r="C59" s="330"/>
      <c r="D59" s="330"/>
      <c r="E59" s="47">
        <f>E47</f>
        <v>686.57000000000016</v>
      </c>
    </row>
    <row r="60" spans="1:20" ht="14.25" customHeight="1" x14ac:dyDescent="0.25">
      <c r="A60" s="55" t="s">
        <v>152</v>
      </c>
      <c r="B60" s="330" t="s">
        <v>153</v>
      </c>
      <c r="C60" s="330"/>
      <c r="D60" s="330"/>
      <c r="E60" s="47">
        <f>E54</f>
        <v>340.27</v>
      </c>
    </row>
    <row r="61" spans="1:20" ht="12.75" customHeight="1" x14ac:dyDescent="0.25">
      <c r="A61" s="356" t="s">
        <v>154</v>
      </c>
      <c r="B61" s="356"/>
      <c r="C61" s="356"/>
      <c r="D61" s="356"/>
      <c r="E61" s="20">
        <f>SUM(E58:E60)</f>
        <v>1327.8000000000002</v>
      </c>
    </row>
    <row r="62" spans="1:20" ht="12" customHeight="1" x14ac:dyDescent="0.25"/>
    <row r="63" spans="1:20" ht="13" x14ac:dyDescent="0.25">
      <c r="A63" s="326" t="s">
        <v>155</v>
      </c>
      <c r="B63" s="331"/>
      <c r="C63" s="331"/>
      <c r="D63" s="331"/>
      <c r="E63" s="327"/>
    </row>
    <row r="64" spans="1:20" ht="13" x14ac:dyDescent="0.25">
      <c r="A64" s="26">
        <v>3</v>
      </c>
      <c r="B64" s="326" t="s">
        <v>156</v>
      </c>
      <c r="C64" s="327"/>
      <c r="D64" s="188" t="s">
        <v>112</v>
      </c>
      <c r="E64" s="189" t="s">
        <v>113</v>
      </c>
    </row>
    <row r="65" spans="1:5" ht="14.25" customHeight="1" x14ac:dyDescent="0.25">
      <c r="A65" s="8" t="s">
        <v>88</v>
      </c>
      <c r="B65" s="359" t="s">
        <v>157</v>
      </c>
      <c r="C65" s="360"/>
      <c r="D65" s="9">
        <v>4.1999999999999997E-3</v>
      </c>
      <c r="E65" s="42">
        <f t="shared" ref="E65:E70" si="1">ROUND(D65*$E$30,2)</f>
        <v>6.5</v>
      </c>
    </row>
    <row r="66" spans="1:5" ht="14.25" customHeight="1" x14ac:dyDescent="0.25">
      <c r="A66" s="11" t="s">
        <v>90</v>
      </c>
      <c r="B66" s="359" t="s">
        <v>158</v>
      </c>
      <c r="C66" s="360"/>
      <c r="D66" s="29">
        <f>D46*D65</f>
        <v>3.3599999999999998E-4</v>
      </c>
      <c r="E66" s="42">
        <f>ROUND(D66*$E$30,2)</f>
        <v>0.52</v>
      </c>
    </row>
    <row r="67" spans="1:5" ht="14.25" customHeight="1" x14ac:dyDescent="0.25">
      <c r="A67" s="11" t="s">
        <v>93</v>
      </c>
      <c r="B67" s="359" t="s">
        <v>159</v>
      </c>
      <c r="C67" s="360"/>
      <c r="D67" s="29">
        <v>3.49E-2</v>
      </c>
      <c r="E67" s="42">
        <f t="shared" si="1"/>
        <v>54.03</v>
      </c>
    </row>
    <row r="68" spans="1:5" ht="14.25" customHeight="1" x14ac:dyDescent="0.25">
      <c r="A68" s="8" t="s">
        <v>95</v>
      </c>
      <c r="B68" s="359" t="s">
        <v>160</v>
      </c>
      <c r="C68" s="360"/>
      <c r="D68" s="9">
        <f>'Memória Encargos'!C50</f>
        <v>1.9E-3</v>
      </c>
      <c r="E68" s="42">
        <f t="shared" si="1"/>
        <v>2.94</v>
      </c>
    </row>
    <row r="69" spans="1:5" ht="14.25" customHeight="1" x14ac:dyDescent="0.25">
      <c r="A69" s="8" t="s">
        <v>120</v>
      </c>
      <c r="B69" s="359" t="s">
        <v>161</v>
      </c>
      <c r="C69" s="360"/>
      <c r="D69" s="102">
        <f>D47*D68</f>
        <v>7.0547000000000014E-4</v>
      </c>
      <c r="E69" s="42">
        <f t="shared" si="1"/>
        <v>1.0900000000000001</v>
      </c>
    </row>
    <row r="70" spans="1:5" ht="14.25" customHeight="1" x14ac:dyDescent="0.25">
      <c r="A70" s="11" t="s">
        <v>122</v>
      </c>
      <c r="B70" s="359" t="s">
        <v>162</v>
      </c>
      <c r="C70" s="360"/>
      <c r="D70" s="29">
        <f>'Memória Encargos'!C62</f>
        <v>5.1000000000000004E-3</v>
      </c>
      <c r="E70" s="42">
        <f t="shared" si="1"/>
        <v>7.9</v>
      </c>
    </row>
    <row r="71" spans="1:5" ht="12.75" customHeight="1" x14ac:dyDescent="0.25">
      <c r="A71" s="340" t="s">
        <v>163</v>
      </c>
      <c r="B71" s="341"/>
      <c r="C71" s="342"/>
      <c r="D71" s="25">
        <f>SUM(D65:D70)</f>
        <v>4.7141469999999998E-2</v>
      </c>
      <c r="E71" s="22">
        <f>SUM(E65:E70)</f>
        <v>72.98</v>
      </c>
    </row>
    <row r="73" spans="1:5" ht="13" x14ac:dyDescent="0.25">
      <c r="A73" s="326" t="s">
        <v>164</v>
      </c>
      <c r="B73" s="331"/>
      <c r="C73" s="331"/>
      <c r="D73" s="331"/>
      <c r="E73" s="327"/>
    </row>
    <row r="74" spans="1:5" ht="13" x14ac:dyDescent="0.25">
      <c r="A74" s="48"/>
      <c r="B74" s="326" t="s">
        <v>165</v>
      </c>
      <c r="C74" s="327"/>
      <c r="D74" s="188" t="s">
        <v>112</v>
      </c>
      <c r="E74" s="189" t="s">
        <v>113</v>
      </c>
    </row>
    <row r="75" spans="1:5" ht="13" x14ac:dyDescent="0.25">
      <c r="A75" s="8" t="s">
        <v>88</v>
      </c>
      <c r="B75" s="328" t="s">
        <v>166</v>
      </c>
      <c r="C75" s="329"/>
      <c r="D75" s="9">
        <v>9.2999999999999992E-3</v>
      </c>
      <c r="E75" s="42">
        <f>ROUND(D75*$E$30,2)</f>
        <v>14.4</v>
      </c>
    </row>
    <row r="76" spans="1:5" ht="13" x14ac:dyDescent="0.25">
      <c r="A76" s="8" t="s">
        <v>90</v>
      </c>
      <c r="B76" s="328" t="s">
        <v>167</v>
      </c>
      <c r="C76" s="329"/>
      <c r="D76" s="9">
        <v>5.5999999999999999E-3</v>
      </c>
      <c r="E76" s="42">
        <f>ROUND(D76*$E$30,2)</f>
        <v>8.67</v>
      </c>
    </row>
    <row r="77" spans="1:5" ht="13" x14ac:dyDescent="0.25">
      <c r="A77" s="8" t="s">
        <v>93</v>
      </c>
      <c r="B77" s="328" t="s">
        <v>168</v>
      </c>
      <c r="C77" s="329"/>
      <c r="D77" s="9">
        <v>5.9999999999999995E-4</v>
      </c>
      <c r="E77" s="42">
        <f>ROUND(D77*$E$30,2)</f>
        <v>0.93</v>
      </c>
    </row>
    <row r="78" spans="1:5" ht="13" x14ac:dyDescent="0.25">
      <c r="A78" s="8" t="s">
        <v>95</v>
      </c>
      <c r="B78" s="328" t="s">
        <v>169</v>
      </c>
      <c r="C78" s="329"/>
      <c r="D78" s="9">
        <v>3.3E-3</v>
      </c>
      <c r="E78" s="42">
        <f>ROUND(D78*$E$30,2)</f>
        <v>5.1100000000000003</v>
      </c>
    </row>
    <row r="79" spans="1:5" ht="13" x14ac:dyDescent="0.25">
      <c r="A79" s="8" t="s">
        <v>120</v>
      </c>
      <c r="B79" s="328" t="s">
        <v>170</v>
      </c>
      <c r="C79" s="329"/>
      <c r="D79" s="9">
        <v>4.0000000000000002E-4</v>
      </c>
      <c r="E79" s="42">
        <f>ROUND(D79*$E$30,2)</f>
        <v>0.62</v>
      </c>
    </row>
    <row r="80" spans="1:5" ht="12.75" customHeight="1" x14ac:dyDescent="0.25">
      <c r="A80" s="340" t="s">
        <v>171</v>
      </c>
      <c r="B80" s="341"/>
      <c r="C80" s="342"/>
      <c r="D80" s="25">
        <f>SUM(D75:D79)</f>
        <v>1.9200000000000002E-2</v>
      </c>
      <c r="E80" s="22">
        <f>SUM(E75:E79)</f>
        <v>29.73</v>
      </c>
    </row>
    <row r="82" spans="1:8" ht="12.75" customHeight="1" x14ac:dyDescent="0.25">
      <c r="A82" s="326" t="s">
        <v>172</v>
      </c>
      <c r="B82" s="331"/>
      <c r="C82" s="327"/>
      <c r="D82" s="188" t="s">
        <v>112</v>
      </c>
      <c r="E82" s="189" t="s">
        <v>113</v>
      </c>
    </row>
    <row r="83" spans="1:8" ht="13" x14ac:dyDescent="0.25">
      <c r="A83" s="8" t="s">
        <v>88</v>
      </c>
      <c r="B83" s="359" t="s">
        <v>173</v>
      </c>
      <c r="C83" s="360"/>
      <c r="D83" s="9">
        <v>0</v>
      </c>
      <c r="E83" s="42">
        <f>ROUND(D83*$E$30,2)</f>
        <v>0</v>
      </c>
    </row>
    <row r="84" spans="1:8" ht="12.75" customHeight="1" x14ac:dyDescent="0.25">
      <c r="A84" s="340" t="s">
        <v>174</v>
      </c>
      <c r="B84" s="341"/>
      <c r="C84" s="342"/>
      <c r="D84" s="21">
        <f>SUM(D83)</f>
        <v>0</v>
      </c>
      <c r="E84" s="24">
        <f>ROUND(SUM(E83:E83),2)</f>
        <v>0</v>
      </c>
    </row>
    <row r="86" spans="1:8" ht="12.75" customHeight="1" x14ac:dyDescent="0.25">
      <c r="A86" s="332" t="s">
        <v>176</v>
      </c>
      <c r="B86" s="332"/>
      <c r="C86" s="332"/>
      <c r="D86" s="332"/>
      <c r="E86" s="332"/>
    </row>
    <row r="87" spans="1:8" ht="12.75" customHeight="1" x14ac:dyDescent="0.25">
      <c r="A87" s="332" t="s">
        <v>177</v>
      </c>
      <c r="B87" s="332"/>
      <c r="C87" s="332"/>
      <c r="D87" s="332"/>
      <c r="E87" s="190" t="s">
        <v>113</v>
      </c>
    </row>
    <row r="88" spans="1:8" ht="13" x14ac:dyDescent="0.25">
      <c r="A88" s="12" t="s">
        <v>178</v>
      </c>
      <c r="B88" s="330" t="s">
        <v>179</v>
      </c>
      <c r="C88" s="330"/>
      <c r="D88" s="330"/>
      <c r="E88" s="47">
        <f>E80</f>
        <v>29.73</v>
      </c>
    </row>
    <row r="89" spans="1:8" ht="13" x14ac:dyDescent="0.25">
      <c r="A89" s="12" t="s">
        <v>180</v>
      </c>
      <c r="B89" s="330" t="s">
        <v>181</v>
      </c>
      <c r="C89" s="330"/>
      <c r="D89" s="330"/>
      <c r="E89" s="47">
        <f>E84</f>
        <v>0</v>
      </c>
    </row>
    <row r="90" spans="1:8" ht="12.75" customHeight="1" x14ac:dyDescent="0.25">
      <c r="A90" s="356" t="s">
        <v>182</v>
      </c>
      <c r="B90" s="356"/>
      <c r="C90" s="356"/>
      <c r="D90" s="356"/>
      <c r="E90" s="20">
        <f>SUM(E88:E89)</f>
        <v>29.73</v>
      </c>
    </row>
    <row r="92" spans="1:8" ht="13" x14ac:dyDescent="0.25">
      <c r="A92" s="326" t="s">
        <v>183</v>
      </c>
      <c r="B92" s="331"/>
      <c r="C92" s="331"/>
      <c r="D92" s="331"/>
      <c r="E92" s="327"/>
    </row>
    <row r="93" spans="1:8" ht="13" x14ac:dyDescent="0.25">
      <c r="A93" s="26">
        <v>5</v>
      </c>
      <c r="B93" s="326" t="s">
        <v>184</v>
      </c>
      <c r="C93" s="327"/>
      <c r="D93" s="48"/>
      <c r="E93" s="189" t="s">
        <v>113</v>
      </c>
    </row>
    <row r="94" spans="1:8" ht="13" x14ac:dyDescent="0.25">
      <c r="A94" s="8" t="s">
        <v>88</v>
      </c>
      <c r="B94" s="328" t="s">
        <v>185</v>
      </c>
      <c r="C94" s="329"/>
      <c r="D94" s="10" t="s">
        <v>143</v>
      </c>
      <c r="E94" s="42">
        <f>Materiais!F20</f>
        <v>0</v>
      </c>
      <c r="F94" s="31"/>
    </row>
    <row r="95" spans="1:8" ht="13" x14ac:dyDescent="0.25">
      <c r="A95" s="8" t="s">
        <v>90</v>
      </c>
      <c r="B95" s="328" t="s">
        <v>186</v>
      </c>
      <c r="C95" s="329"/>
      <c r="D95" s="10" t="s">
        <v>143</v>
      </c>
      <c r="E95" s="42">
        <f>Materiais!F40</f>
        <v>0</v>
      </c>
      <c r="F95" s="35"/>
    </row>
    <row r="96" spans="1:8" ht="13" x14ac:dyDescent="0.25">
      <c r="A96" s="8" t="s">
        <v>93</v>
      </c>
      <c r="B96" s="328" t="s">
        <v>187</v>
      </c>
      <c r="C96" s="329"/>
      <c r="D96" s="10" t="s">
        <v>143</v>
      </c>
      <c r="E96" s="42">
        <f>Materiais!F59</f>
        <v>0</v>
      </c>
      <c r="F96" s="35"/>
      <c r="H96" s="119">
        <f>(E36+E47+E71+E80)/E30</f>
        <v>0.70423208446857688</v>
      </c>
    </row>
    <row r="97" spans="1:12" ht="12.75" customHeight="1" x14ac:dyDescent="0.25">
      <c r="A97" s="340" t="s">
        <v>188</v>
      </c>
      <c r="B97" s="341"/>
      <c r="C97" s="342"/>
      <c r="D97" s="23" t="s">
        <v>143</v>
      </c>
      <c r="E97" s="22">
        <f>SUM(E94:E96)</f>
        <v>0</v>
      </c>
      <c r="H97" s="119">
        <f>(E36+E47+E71+E80+E101+E102)/E30</f>
        <v>0.86732604452092388</v>
      </c>
    </row>
    <row r="98" spans="1:12" ht="13" x14ac:dyDescent="0.25">
      <c r="H98" s="28"/>
      <c r="I98" s="56"/>
      <c r="J98" s="56"/>
      <c r="K98" s="56"/>
      <c r="L98" s="56"/>
    </row>
    <row r="99" spans="1:12" ht="13" x14ac:dyDescent="0.25">
      <c r="A99" s="326" t="s">
        <v>189</v>
      </c>
      <c r="B99" s="331"/>
      <c r="C99" s="331"/>
      <c r="D99" s="331"/>
      <c r="E99" s="327"/>
      <c r="H99" s="107"/>
      <c r="I99" s="56"/>
      <c r="J99" s="56"/>
      <c r="K99" s="56"/>
      <c r="L99" s="56"/>
    </row>
    <row r="100" spans="1:12" ht="13" x14ac:dyDescent="0.25">
      <c r="A100" s="26">
        <v>6</v>
      </c>
      <c r="B100" s="326" t="s">
        <v>190</v>
      </c>
      <c r="C100" s="327"/>
      <c r="D100" s="188" t="s">
        <v>112</v>
      </c>
      <c r="E100" s="189" t="s">
        <v>113</v>
      </c>
      <c r="G100" s="108"/>
      <c r="H100" s="107"/>
      <c r="I100" s="116" t="s">
        <v>191</v>
      </c>
      <c r="J100" s="116" t="s">
        <v>192</v>
      </c>
      <c r="K100" s="56"/>
      <c r="L100" s="56"/>
    </row>
    <row r="101" spans="1:12" ht="15" customHeight="1" x14ac:dyDescent="0.25">
      <c r="A101" s="8" t="s">
        <v>88</v>
      </c>
      <c r="B101" s="359" t="s">
        <v>193</v>
      </c>
      <c r="C101" s="360"/>
      <c r="D101" s="13">
        <v>0.03</v>
      </c>
      <c r="E101" s="42">
        <f>ROUND(E116*D101,2)</f>
        <v>89.36</v>
      </c>
      <c r="F101" s="373"/>
      <c r="G101" s="423"/>
      <c r="H101" s="118" t="s">
        <v>194</v>
      </c>
      <c r="I101" s="117"/>
      <c r="J101" s="117"/>
      <c r="K101" s="56"/>
      <c r="L101" s="56"/>
    </row>
    <row r="102" spans="1:12" ht="15" customHeight="1" x14ac:dyDescent="0.25">
      <c r="A102" s="8" t="s">
        <v>90</v>
      </c>
      <c r="B102" s="359" t="s">
        <v>195</v>
      </c>
      <c r="C102" s="360"/>
      <c r="D102" s="13">
        <v>5.3171621621619508E-2</v>
      </c>
      <c r="E102" s="42">
        <f>ROUND((E116+E101)*D102,2)</f>
        <v>163.13</v>
      </c>
      <c r="F102" s="373"/>
      <c r="G102" s="423"/>
      <c r="H102" s="37" t="s">
        <v>196</v>
      </c>
      <c r="I102" s="116" t="e">
        <f>Consolidada!F44</f>
        <v>#REF!</v>
      </c>
      <c r="J102" s="116"/>
      <c r="K102" s="57"/>
      <c r="L102" s="57"/>
    </row>
    <row r="103" spans="1:12" ht="15" customHeight="1" x14ac:dyDescent="0.25">
      <c r="A103" s="8" t="s">
        <v>93</v>
      </c>
      <c r="B103" s="377" t="s">
        <v>197</v>
      </c>
      <c r="C103" s="378"/>
      <c r="D103" s="49"/>
      <c r="E103" s="50"/>
      <c r="I103" s="116"/>
      <c r="J103" s="116"/>
      <c r="K103" s="236" t="s">
        <v>27</v>
      </c>
      <c r="L103" s="280">
        <v>745561.8</v>
      </c>
    </row>
    <row r="104" spans="1:12" ht="15" customHeight="1" x14ac:dyDescent="0.25">
      <c r="A104" s="8" t="s">
        <v>198</v>
      </c>
      <c r="B104" s="359" t="s">
        <v>199</v>
      </c>
      <c r="C104" s="360"/>
      <c r="D104" s="13">
        <f>'Apuração SPED'!F16</f>
        <v>1.3110871258703184E-2</v>
      </c>
      <c r="E104" s="42">
        <f>ROUND((($E$116+$E$101+$E$102)/(1-($D$104+$D$105+$D$106)))*D104,2)</f>
        <v>47.25</v>
      </c>
      <c r="F104" s="365"/>
      <c r="G104" s="366"/>
      <c r="H104" s="367"/>
      <c r="I104" s="367"/>
      <c r="J104" s="367"/>
      <c r="K104" s="367"/>
      <c r="L104" s="56"/>
    </row>
    <row r="105" spans="1:12" ht="28.5" customHeight="1" x14ac:dyDescent="0.25">
      <c r="A105" s="8" t="s">
        <v>200</v>
      </c>
      <c r="B105" s="359" t="s">
        <v>201</v>
      </c>
      <c r="C105" s="360"/>
      <c r="D105" s="13">
        <f>'Apuração SPED'!F33</f>
        <v>6.0385251392560582E-2</v>
      </c>
      <c r="E105" s="42">
        <f>ROUND((($E$116+$E$101+$E$102)/(1-($D$104+$D$105+$D$106)))*D105,2)</f>
        <v>217.64</v>
      </c>
      <c r="F105" s="365"/>
      <c r="G105" s="366"/>
      <c r="H105" s="367"/>
      <c r="I105" s="367"/>
      <c r="J105" s="367"/>
      <c r="K105" s="367"/>
      <c r="L105" s="56"/>
    </row>
    <row r="106" spans="1:12" ht="15" customHeight="1" x14ac:dyDescent="0.25">
      <c r="A106" s="8" t="s">
        <v>202</v>
      </c>
      <c r="B106" s="359" t="s">
        <v>203</v>
      </c>
      <c r="C106" s="360"/>
      <c r="D106" s="13">
        <v>0.03</v>
      </c>
      <c r="E106" s="42">
        <f>ROUND((($E$116+$E$101+$E$102)/(1-($D$104+$D$105+$D$106)))*D106,2)</f>
        <v>108.12</v>
      </c>
      <c r="F106" s="365"/>
      <c r="G106" s="366"/>
      <c r="H106" s="367"/>
      <c r="I106" s="367"/>
      <c r="J106" s="367"/>
      <c r="K106" s="367"/>
    </row>
    <row r="107" spans="1:12" ht="12.75" customHeight="1" x14ac:dyDescent="0.25">
      <c r="A107" s="340" t="s">
        <v>204</v>
      </c>
      <c r="B107" s="341"/>
      <c r="C107" s="342"/>
      <c r="D107" s="21">
        <f>SUM(D101:D106)</f>
        <v>0.18666774427288327</v>
      </c>
      <c r="E107" s="22">
        <f>SUM(E101:E106)</f>
        <v>625.5</v>
      </c>
      <c r="H107" s="367"/>
      <c r="I107" s="367"/>
      <c r="J107" s="367"/>
      <c r="K107" s="367"/>
    </row>
    <row r="108" spans="1:12" ht="12.75" customHeight="1" x14ac:dyDescent="0.25">
      <c r="H108" s="367"/>
      <c r="I108" s="367"/>
      <c r="J108" s="367"/>
      <c r="K108" s="367"/>
    </row>
    <row r="109" spans="1:12" ht="12.75" customHeight="1" x14ac:dyDescent="0.25">
      <c r="A109" s="332" t="s">
        <v>205</v>
      </c>
      <c r="B109" s="332"/>
      <c r="C109" s="332"/>
      <c r="D109" s="332"/>
      <c r="E109" s="332"/>
      <c r="H109" s="367"/>
      <c r="I109" s="367"/>
      <c r="J109" s="367"/>
      <c r="K109" s="367"/>
    </row>
    <row r="110" spans="1:12" ht="12.75" customHeight="1" x14ac:dyDescent="0.25">
      <c r="A110" s="332" t="s">
        <v>206</v>
      </c>
      <c r="B110" s="332"/>
      <c r="C110" s="332"/>
      <c r="D110" s="332"/>
      <c r="E110" s="190" t="s">
        <v>113</v>
      </c>
      <c r="H110" s="367"/>
      <c r="I110" s="367"/>
      <c r="J110" s="367"/>
      <c r="K110" s="367"/>
    </row>
    <row r="111" spans="1:12" x14ac:dyDescent="0.25">
      <c r="A111" s="18" t="s">
        <v>88</v>
      </c>
      <c r="B111" s="330" t="s">
        <v>110</v>
      </c>
      <c r="C111" s="330"/>
      <c r="D111" s="330"/>
      <c r="E111" s="47">
        <f>E30</f>
        <v>1548.1260000000002</v>
      </c>
      <c r="H111" s="367"/>
      <c r="I111" s="367"/>
      <c r="J111" s="367"/>
      <c r="K111" s="367"/>
    </row>
    <row r="112" spans="1:12" x14ac:dyDescent="0.25">
      <c r="A112" s="18" t="s">
        <v>90</v>
      </c>
      <c r="B112" s="330" t="s">
        <v>125</v>
      </c>
      <c r="C112" s="330"/>
      <c r="D112" s="330"/>
      <c r="E112" s="47">
        <f>E61</f>
        <v>1327.8000000000002</v>
      </c>
      <c r="H112" s="367"/>
      <c r="I112" s="367"/>
      <c r="J112" s="367"/>
      <c r="K112" s="367"/>
    </row>
    <row r="113" spans="1:11" x14ac:dyDescent="0.25">
      <c r="A113" s="18" t="s">
        <v>93</v>
      </c>
      <c r="B113" s="330" t="s">
        <v>155</v>
      </c>
      <c r="C113" s="330"/>
      <c r="D113" s="330"/>
      <c r="E113" s="47">
        <f>E71</f>
        <v>72.98</v>
      </c>
      <c r="H113" s="367"/>
      <c r="I113" s="367"/>
      <c r="J113" s="367"/>
      <c r="K113" s="367"/>
    </row>
    <row r="114" spans="1:11" x14ac:dyDescent="0.25">
      <c r="A114" s="14" t="s">
        <v>95</v>
      </c>
      <c r="B114" s="330" t="s">
        <v>164</v>
      </c>
      <c r="C114" s="330"/>
      <c r="D114" s="330"/>
      <c r="E114" s="47">
        <f>E90</f>
        <v>29.73</v>
      </c>
    </row>
    <row r="115" spans="1:11" x14ac:dyDescent="0.25">
      <c r="A115" s="15" t="s">
        <v>120</v>
      </c>
      <c r="B115" s="330" t="s">
        <v>183</v>
      </c>
      <c r="C115" s="330"/>
      <c r="D115" s="330"/>
      <c r="E115" s="51">
        <f>E97</f>
        <v>0</v>
      </c>
    </row>
    <row r="116" spans="1:11" ht="13" x14ac:dyDescent="0.25">
      <c r="A116" s="52"/>
      <c r="B116" s="376" t="s">
        <v>207</v>
      </c>
      <c r="C116" s="376"/>
      <c r="D116" s="376"/>
      <c r="E116" s="17">
        <f>SUM(E111:E115)</f>
        <v>2978.6360000000004</v>
      </c>
    </row>
    <row r="117" spans="1:11" x14ac:dyDescent="0.25">
      <c r="A117" s="18" t="s">
        <v>122</v>
      </c>
      <c r="B117" s="330" t="s">
        <v>189</v>
      </c>
      <c r="C117" s="330"/>
      <c r="D117" s="330"/>
      <c r="E117" s="47">
        <f>E107</f>
        <v>625.5</v>
      </c>
    </row>
    <row r="118" spans="1:11" ht="15.75" customHeight="1" x14ac:dyDescent="0.25">
      <c r="A118" s="356" t="s">
        <v>208</v>
      </c>
      <c r="B118" s="356"/>
      <c r="C118" s="356"/>
      <c r="D118" s="356"/>
      <c r="E118" s="20">
        <f>ROUND(SUM(E116:E117),2)</f>
        <v>3604.14</v>
      </c>
      <c r="F118" s="53"/>
    </row>
    <row r="119" spans="1:11" ht="15.75" customHeight="1" x14ac:dyDescent="0.25">
      <c r="A119" s="333" t="s">
        <v>209</v>
      </c>
      <c r="B119" s="333"/>
      <c r="C119" s="333"/>
      <c r="D119" s="333"/>
      <c r="E119" s="33">
        <v>1</v>
      </c>
    </row>
    <row r="120" spans="1:11" ht="15.75" customHeight="1" x14ac:dyDescent="0.25">
      <c r="A120" s="424" t="s">
        <v>210</v>
      </c>
      <c r="B120" s="424"/>
      <c r="C120" s="424"/>
      <c r="D120" s="424"/>
      <c r="E120" s="36">
        <f>E119*E118</f>
        <v>3604.14</v>
      </c>
      <c r="F120" s="54">
        <f>ROUND((E30+E36+E47+E54+E71+E80+E84+E97+E101+E102)/(1-(D104+D105+D106)),2)</f>
        <v>3604.14</v>
      </c>
      <c r="G120" s="54">
        <f>F120-E118</f>
        <v>0</v>
      </c>
    </row>
    <row r="121" spans="1:11" x14ac:dyDescent="0.25">
      <c r="E121" s="41">
        <v>3537.46</v>
      </c>
      <c r="F121" s="287">
        <f>ABS(E121-E120)/E121</f>
        <v>1.8849683105957336E-2</v>
      </c>
      <c r="G121" s="290">
        <f>E120*12</f>
        <v>43249.68</v>
      </c>
    </row>
  </sheetData>
  <mergeCells count="114">
    <mergeCell ref="A118:D118"/>
    <mergeCell ref="A119:D119"/>
    <mergeCell ref="A120:D120"/>
    <mergeCell ref="B112:D112"/>
    <mergeCell ref="B113:D113"/>
    <mergeCell ref="B114:D114"/>
    <mergeCell ref="B115:D115"/>
    <mergeCell ref="B116:D116"/>
    <mergeCell ref="B117:D117"/>
    <mergeCell ref="B103:C103"/>
    <mergeCell ref="B104:C104"/>
    <mergeCell ref="F104:G106"/>
    <mergeCell ref="H104:K113"/>
    <mergeCell ref="B105:C105"/>
    <mergeCell ref="B106:C106"/>
    <mergeCell ref="A107:C107"/>
    <mergeCell ref="A109:E109"/>
    <mergeCell ref="A110:D110"/>
    <mergeCell ref="B111:D111"/>
    <mergeCell ref="A97:C97"/>
    <mergeCell ref="A99:E99"/>
    <mergeCell ref="B100:C100"/>
    <mergeCell ref="B101:C101"/>
    <mergeCell ref="F101:G101"/>
    <mergeCell ref="B102:C102"/>
    <mergeCell ref="F102:G102"/>
    <mergeCell ref="A90:D90"/>
    <mergeCell ref="A92:E92"/>
    <mergeCell ref="B93:C93"/>
    <mergeCell ref="B94:C94"/>
    <mergeCell ref="B95:C95"/>
    <mergeCell ref="B96:C96"/>
    <mergeCell ref="B83:C83"/>
    <mergeCell ref="A84:C84"/>
    <mergeCell ref="A86:E86"/>
    <mergeCell ref="A87:D87"/>
    <mergeCell ref="B88:D88"/>
    <mergeCell ref="B89:D89"/>
    <mergeCell ref="B76:C76"/>
    <mergeCell ref="B77:C77"/>
    <mergeCell ref="B78:C78"/>
    <mergeCell ref="B79:C79"/>
    <mergeCell ref="A80:C80"/>
    <mergeCell ref="A82:C82"/>
    <mergeCell ref="B69:C69"/>
    <mergeCell ref="B70:C70"/>
    <mergeCell ref="A71:C71"/>
    <mergeCell ref="A73:E73"/>
    <mergeCell ref="B74:C74"/>
    <mergeCell ref="B75:C75"/>
    <mergeCell ref="A63:E63"/>
    <mergeCell ref="B64:C64"/>
    <mergeCell ref="B65:C65"/>
    <mergeCell ref="B66:C66"/>
    <mergeCell ref="B67:C67"/>
    <mergeCell ref="B68:C68"/>
    <mergeCell ref="A56:E56"/>
    <mergeCell ref="A57:D57"/>
    <mergeCell ref="B58:D58"/>
    <mergeCell ref="B59:D59"/>
    <mergeCell ref="B60:D60"/>
    <mergeCell ref="A61:D61"/>
    <mergeCell ref="B50:C50"/>
    <mergeCell ref="B51:C51"/>
    <mergeCell ref="B52:C52"/>
    <mergeCell ref="F52:T52"/>
    <mergeCell ref="B53:C53"/>
    <mergeCell ref="A54:C54"/>
    <mergeCell ref="B43:C43"/>
    <mergeCell ref="B44:C44"/>
    <mergeCell ref="B45:C45"/>
    <mergeCell ref="B46:C46"/>
    <mergeCell ref="A47:C47"/>
    <mergeCell ref="A49:C49"/>
    <mergeCell ref="A36:C36"/>
    <mergeCell ref="A38:C38"/>
    <mergeCell ref="B39:C39"/>
    <mergeCell ref="B40:C40"/>
    <mergeCell ref="B41:C41"/>
    <mergeCell ref="B42:C42"/>
    <mergeCell ref="A30:D30"/>
    <mergeCell ref="F30:P30"/>
    <mergeCell ref="A32:E32"/>
    <mergeCell ref="A33:C33"/>
    <mergeCell ref="B34:C34"/>
    <mergeCell ref="B35:C35"/>
    <mergeCell ref="B21:C21"/>
    <mergeCell ref="B22:C22"/>
    <mergeCell ref="B23:C23"/>
    <mergeCell ref="F23:P29"/>
    <mergeCell ref="B24:C24"/>
    <mergeCell ref="B25:C25"/>
    <mergeCell ref="B26:C26"/>
    <mergeCell ref="B27:C27"/>
    <mergeCell ref="B28:C28"/>
    <mergeCell ref="B29:C29"/>
    <mergeCell ref="B17:D17"/>
    <mergeCell ref="B18:D18"/>
    <mergeCell ref="A20:E20"/>
    <mergeCell ref="A9:E9"/>
    <mergeCell ref="A10:B10"/>
    <mergeCell ref="D10:E10"/>
    <mergeCell ref="A11:B11"/>
    <mergeCell ref="D11:E11"/>
    <mergeCell ref="A13:E13"/>
    <mergeCell ref="A1:E1"/>
    <mergeCell ref="A3:E3"/>
    <mergeCell ref="B4:D4"/>
    <mergeCell ref="B5:D5"/>
    <mergeCell ref="B6:D6"/>
    <mergeCell ref="B7:D7"/>
    <mergeCell ref="B14:D14"/>
    <mergeCell ref="B15:D15"/>
    <mergeCell ref="B16:D16"/>
  </mergeCells>
  <printOptions horizontalCentered="1" verticalCentered="1"/>
  <pageMargins left="0.39370078740157483" right="0.39370078740157483" top="0.98425196850393704" bottom="0.78740157480314965" header="0.19685039370078741" footer="0.19685039370078741"/>
  <pageSetup paperSize="9" scale="72" fitToHeight="0" orientation="portrait" r:id="rId1"/>
  <headerFooter>
    <oddHeader>&amp;L&amp;"Calibri"&amp;12&amp;K008000 Pública&amp;1#_x000D_</oddHeader>
    <oddFooter>&amp;R&amp;G</oddFooter>
  </headerFooter>
  <rowBreaks count="1" manualBreakCount="1">
    <brk id="61" max="4" man="1"/>
  </rowBreaks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5" tint="-0.499984740745262"/>
    <pageSetUpPr fitToPage="1"/>
  </sheetPr>
  <dimension ref="A1:U37"/>
  <sheetViews>
    <sheetView view="pageBreakPreview" topLeftCell="A4" zoomScaleNormal="100" zoomScaleSheetLayoutView="100" workbookViewId="0">
      <selection activeCell="E29" sqref="E29"/>
    </sheetView>
  </sheetViews>
  <sheetFormatPr defaultColWidth="9.1796875" defaultRowHeight="12.5" x14ac:dyDescent="0.25"/>
  <cols>
    <col min="1" max="1" width="9.1796875" style="213"/>
    <col min="2" max="2" width="22.453125" style="212" customWidth="1"/>
    <col min="3" max="3" width="19.453125" style="212" customWidth="1"/>
    <col min="4" max="4" width="19.26953125" style="212" customWidth="1"/>
    <col min="5" max="5" width="19.1796875" style="212" customWidth="1"/>
    <col min="6" max="6" width="15.453125" style="212" customWidth="1"/>
    <col min="7" max="7" width="17.81640625" style="126" customWidth="1"/>
    <col min="8" max="8" width="14.81640625" style="126" customWidth="1"/>
    <col min="9" max="16384" width="9.1796875" style="139"/>
  </cols>
  <sheetData>
    <row r="1" spans="1:21" s="212" customFormat="1" ht="10.5" customHeight="1" x14ac:dyDescent="0.2">
      <c r="A1" s="225"/>
      <c r="B1" s="224"/>
      <c r="C1" s="224"/>
      <c r="D1" s="224"/>
      <c r="E1" s="224"/>
      <c r="F1" s="223"/>
      <c r="G1" s="222"/>
      <c r="H1" s="222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</row>
    <row r="2" spans="1:21" s="220" customFormat="1" ht="21.75" customHeight="1" thickBot="1" x14ac:dyDescent="0.35">
      <c r="A2" s="430" t="s">
        <v>251</v>
      </c>
      <c r="B2" s="431"/>
      <c r="C2" s="431"/>
      <c r="D2" s="431"/>
      <c r="E2" s="431"/>
      <c r="F2" s="432"/>
      <c r="G2" s="140"/>
      <c r="H2" s="140"/>
    </row>
    <row r="3" spans="1:21" s="219" customFormat="1" ht="42" customHeight="1" x14ac:dyDescent="0.25">
      <c r="A3" s="267" t="s">
        <v>252</v>
      </c>
      <c r="B3" s="268" t="s">
        <v>253</v>
      </c>
      <c r="C3" s="268" t="s">
        <v>254</v>
      </c>
      <c r="D3" s="268" t="s">
        <v>255</v>
      </c>
      <c r="E3" s="268" t="s">
        <v>256</v>
      </c>
      <c r="F3" s="269" t="s">
        <v>257</v>
      </c>
    </row>
    <row r="4" spans="1:21" s="126" customFormat="1" ht="18" customHeight="1" x14ac:dyDescent="0.25">
      <c r="A4" s="181">
        <v>44470</v>
      </c>
      <c r="B4" s="270">
        <v>70605536.859999999</v>
      </c>
      <c r="C4" s="182">
        <v>1164966.1200000001</v>
      </c>
      <c r="D4" s="270">
        <v>252927.68</v>
      </c>
      <c r="E4" s="183">
        <f t="shared" ref="E4:E15" si="0">C4-D4</f>
        <v>912038.44000000018</v>
      </c>
      <c r="F4" s="271">
        <f>E4/B4</f>
        <v>1.2917378445948697E-2</v>
      </c>
    </row>
    <row r="5" spans="1:21" s="126" customFormat="1" ht="18" customHeight="1" x14ac:dyDescent="0.25">
      <c r="A5" s="176">
        <v>44501</v>
      </c>
      <c r="B5" s="58">
        <v>75157034.510000005</v>
      </c>
      <c r="C5" s="272">
        <v>1240028.44</v>
      </c>
      <c r="D5" s="58">
        <v>256842.16</v>
      </c>
      <c r="E5" s="58">
        <f t="shared" si="0"/>
        <v>983186.27999999991</v>
      </c>
      <c r="F5" s="273">
        <f>E5/B5</f>
        <v>1.3081759896596002E-2</v>
      </c>
    </row>
    <row r="6" spans="1:21" s="126" customFormat="1" ht="18" customHeight="1" x14ac:dyDescent="0.25">
      <c r="A6" s="176">
        <v>44531</v>
      </c>
      <c r="B6" s="58">
        <v>84489830.609999999</v>
      </c>
      <c r="C6" s="272">
        <v>1394053.49</v>
      </c>
      <c r="D6" s="58">
        <v>200847.43</v>
      </c>
      <c r="E6" s="58">
        <f t="shared" si="0"/>
        <v>1193206.06</v>
      </c>
      <c r="F6" s="273">
        <f t="shared" ref="F6:F11" si="1">E6/B6</f>
        <v>1.4122481384863555E-2</v>
      </c>
    </row>
    <row r="7" spans="1:21" s="126" customFormat="1" ht="18" customHeight="1" x14ac:dyDescent="0.25">
      <c r="A7" s="176">
        <v>44562</v>
      </c>
      <c r="B7" s="58">
        <v>61793401.939999998</v>
      </c>
      <c r="C7" s="272">
        <v>1019568.69</v>
      </c>
      <c r="D7" s="58">
        <v>280367.68</v>
      </c>
      <c r="E7" s="58">
        <f t="shared" si="0"/>
        <v>739201.01</v>
      </c>
      <c r="F7" s="273">
        <f t="shared" si="1"/>
        <v>1.1962458560183294E-2</v>
      </c>
    </row>
    <row r="8" spans="1:21" s="126" customFormat="1" ht="18" customHeight="1" x14ac:dyDescent="0.25">
      <c r="A8" s="176">
        <v>44593</v>
      </c>
      <c r="B8" s="58">
        <v>67011485.829999998</v>
      </c>
      <c r="C8" s="272">
        <v>1105667.43</v>
      </c>
      <c r="D8" s="58">
        <v>197693.87</v>
      </c>
      <c r="E8" s="58">
        <f t="shared" si="0"/>
        <v>907973.55999999994</v>
      </c>
      <c r="F8" s="273">
        <f t="shared" si="1"/>
        <v>1.3549521380609567E-2</v>
      </c>
    </row>
    <row r="9" spans="1:21" s="126" customFormat="1" ht="18" customHeight="1" x14ac:dyDescent="0.25">
      <c r="A9" s="176">
        <v>44621</v>
      </c>
      <c r="B9" s="58">
        <v>71563372.810000002</v>
      </c>
      <c r="C9" s="272">
        <v>1180773.04</v>
      </c>
      <c r="D9" s="58">
        <v>282799.61</v>
      </c>
      <c r="E9" s="58">
        <f t="shared" si="0"/>
        <v>897973.43</v>
      </c>
      <c r="F9" s="273">
        <f t="shared" si="1"/>
        <v>1.2547947291194756E-2</v>
      </c>
    </row>
    <row r="10" spans="1:21" s="126" customFormat="1" ht="18" customHeight="1" x14ac:dyDescent="0.25">
      <c r="A10" s="176">
        <v>44652</v>
      </c>
      <c r="B10" s="58">
        <v>66408168.659999996</v>
      </c>
      <c r="C10" s="58">
        <v>1095713.93</v>
      </c>
      <c r="D10" s="58">
        <v>236940.35</v>
      </c>
      <c r="E10" s="58">
        <f t="shared" si="0"/>
        <v>858773.58</v>
      </c>
      <c r="F10" s="273">
        <f t="shared" si="1"/>
        <v>1.2931746159072595E-2</v>
      </c>
    </row>
    <row r="11" spans="1:21" s="126" customFormat="1" ht="18" customHeight="1" x14ac:dyDescent="0.25">
      <c r="A11" s="176">
        <v>44682</v>
      </c>
      <c r="B11" s="58">
        <v>70436408.049999997</v>
      </c>
      <c r="C11" s="58">
        <v>1162176.72</v>
      </c>
      <c r="D11" s="58">
        <v>239544.09</v>
      </c>
      <c r="E11" s="58">
        <f t="shared" si="0"/>
        <v>922632.63</v>
      </c>
      <c r="F11" s="273">
        <f t="shared" si="1"/>
        <v>1.3098802956349789E-2</v>
      </c>
      <c r="G11" s="218"/>
    </row>
    <row r="12" spans="1:21" s="126" customFormat="1" ht="18" customHeight="1" x14ac:dyDescent="0.25">
      <c r="A12" s="176">
        <v>44713</v>
      </c>
      <c r="B12" s="58">
        <v>68558115.620000005</v>
      </c>
      <c r="C12" s="58">
        <f>1131185.07</f>
        <v>1131185.07</v>
      </c>
      <c r="D12" s="58">
        <v>234968.75</v>
      </c>
      <c r="E12" s="58">
        <f t="shared" si="0"/>
        <v>896216.32000000007</v>
      </c>
      <c r="F12" s="273">
        <f>E12/B12</f>
        <v>1.3072359295396865E-2</v>
      </c>
      <c r="G12" s="218"/>
    </row>
    <row r="13" spans="1:21" s="126" customFormat="1" ht="18" customHeight="1" x14ac:dyDescent="0.25">
      <c r="A13" s="176">
        <v>44743</v>
      </c>
      <c r="B13" s="58">
        <v>73607802.359999999</v>
      </c>
      <c r="C13" s="58">
        <v>1214507.1100000001</v>
      </c>
      <c r="D13" s="58">
        <v>223595.98</v>
      </c>
      <c r="E13" s="58">
        <f t="shared" si="0"/>
        <v>990911.13000000012</v>
      </c>
      <c r="F13" s="273">
        <f>E13/B13</f>
        <v>1.346203932503875E-2</v>
      </c>
      <c r="G13" s="218"/>
    </row>
    <row r="14" spans="1:21" s="126" customFormat="1" ht="18" customHeight="1" x14ac:dyDescent="0.25">
      <c r="A14" s="176">
        <v>44774</v>
      </c>
      <c r="B14" s="58">
        <v>72063062.739999995</v>
      </c>
      <c r="C14" s="58">
        <v>1189016.19</v>
      </c>
      <c r="D14" s="58">
        <v>246520.9</v>
      </c>
      <c r="E14" s="58">
        <f t="shared" si="0"/>
        <v>942495.28999999992</v>
      </c>
      <c r="F14" s="273">
        <f>E14/B14</f>
        <v>1.3078757052007029E-2</v>
      </c>
      <c r="G14" s="218"/>
    </row>
    <row r="15" spans="1:21" s="126" customFormat="1" ht="18" customHeight="1" x14ac:dyDescent="0.25">
      <c r="A15" s="176">
        <v>44805</v>
      </c>
      <c r="B15" s="58">
        <v>69250017.799999997</v>
      </c>
      <c r="C15" s="58">
        <v>1142605.05</v>
      </c>
      <c r="D15" s="58">
        <v>230592.43</v>
      </c>
      <c r="E15" s="58">
        <f t="shared" si="0"/>
        <v>912012.62000000011</v>
      </c>
      <c r="F15" s="273">
        <f>E15/B15</f>
        <v>1.3169853943344403E-2</v>
      </c>
      <c r="G15" s="218"/>
    </row>
    <row r="16" spans="1:21" ht="25.5" customHeight="1" thickBot="1" x14ac:dyDescent="0.3">
      <c r="A16" s="436" t="s">
        <v>258</v>
      </c>
      <c r="B16" s="437"/>
      <c r="C16" s="437"/>
      <c r="D16" s="437"/>
      <c r="E16" s="438"/>
      <c r="F16" s="274">
        <f>H16/G16</f>
        <v>1.3110871258703184E-2</v>
      </c>
      <c r="G16" s="59">
        <f>SUM(B4:B15)</f>
        <v>850944237.78999996</v>
      </c>
      <c r="H16" s="59">
        <f>SUM(E4:E15)</f>
        <v>11156620.349999998</v>
      </c>
    </row>
    <row r="17" spans="1:8" ht="18" customHeight="1" x14ac:dyDescent="0.25">
      <c r="A17" s="177"/>
      <c r="B17" s="275"/>
      <c r="C17" s="120"/>
      <c r="D17" s="120"/>
      <c r="E17" s="275"/>
      <c r="F17" s="276"/>
      <c r="G17" s="184"/>
    </row>
    <row r="18" spans="1:8" ht="18" customHeight="1" x14ac:dyDescent="0.25">
      <c r="A18" s="177"/>
      <c r="B18" s="178"/>
      <c r="C18" s="178"/>
      <c r="D18" s="178"/>
      <c r="E18" s="178"/>
      <c r="F18" s="276"/>
    </row>
    <row r="19" spans="1:8" ht="21.75" customHeight="1" thickBot="1" x14ac:dyDescent="0.3">
      <c r="A19" s="433" t="s">
        <v>259</v>
      </c>
      <c r="B19" s="434"/>
      <c r="C19" s="434"/>
      <c r="D19" s="434"/>
      <c r="E19" s="434"/>
      <c r="F19" s="435"/>
    </row>
    <row r="20" spans="1:8" ht="42" customHeight="1" x14ac:dyDescent="0.25">
      <c r="A20" s="267" t="s">
        <v>252</v>
      </c>
      <c r="B20" s="268" t="s">
        <v>253</v>
      </c>
      <c r="C20" s="268" t="s">
        <v>260</v>
      </c>
      <c r="D20" s="268" t="s">
        <v>261</v>
      </c>
      <c r="E20" s="268" t="s">
        <v>256</v>
      </c>
      <c r="F20" s="269" t="s">
        <v>262</v>
      </c>
    </row>
    <row r="21" spans="1:8" s="121" customFormat="1" ht="18" customHeight="1" x14ac:dyDescent="0.25">
      <c r="A21" s="176">
        <f t="shared" ref="A21:B32" si="2">A4</f>
        <v>44470</v>
      </c>
      <c r="B21" s="272">
        <f t="shared" si="2"/>
        <v>70605536.859999999</v>
      </c>
      <c r="C21" s="182">
        <v>5365996.2699999996</v>
      </c>
      <c r="D21" s="270">
        <v>1165000.21</v>
      </c>
      <c r="E21" s="183">
        <f t="shared" ref="E21:E32" si="3">C21-D21</f>
        <v>4200996.0599999996</v>
      </c>
      <c r="F21" s="271">
        <f>E21/B21</f>
        <v>5.9499527187647241E-2</v>
      </c>
      <c r="G21" s="185"/>
      <c r="H21" s="216"/>
    </row>
    <row r="22" spans="1:8" s="121" customFormat="1" ht="18" customHeight="1" x14ac:dyDescent="0.25">
      <c r="A22" s="176">
        <f t="shared" si="2"/>
        <v>44501</v>
      </c>
      <c r="B22" s="272">
        <f t="shared" si="2"/>
        <v>75157034.510000005</v>
      </c>
      <c r="C22" s="58">
        <v>5711742.8600000003</v>
      </c>
      <c r="D22" s="272">
        <v>1183030.56</v>
      </c>
      <c r="E22" s="58">
        <f t="shared" si="3"/>
        <v>4528712.3000000007</v>
      </c>
      <c r="F22" s="273">
        <f>E22/B22</f>
        <v>6.0256665653797635E-2</v>
      </c>
      <c r="G22" s="185"/>
      <c r="H22" s="216"/>
    </row>
    <row r="23" spans="1:8" s="121" customFormat="1" ht="18" customHeight="1" x14ac:dyDescent="0.25">
      <c r="A23" s="176">
        <f t="shared" si="2"/>
        <v>44531</v>
      </c>
      <c r="B23" s="272">
        <f t="shared" si="2"/>
        <v>84489830.609999999</v>
      </c>
      <c r="C23" s="58">
        <v>6421198</v>
      </c>
      <c r="D23" s="272">
        <v>925115.44</v>
      </c>
      <c r="E23" s="58">
        <f t="shared" si="3"/>
        <v>5496082.5600000005</v>
      </c>
      <c r="F23" s="273">
        <f>E23/B23</f>
        <v>6.5050225812022147E-2</v>
      </c>
      <c r="G23" s="185"/>
      <c r="H23" s="216"/>
    </row>
    <row r="24" spans="1:8" s="121" customFormat="1" ht="18" customHeight="1" x14ac:dyDescent="0.25">
      <c r="A24" s="176">
        <f t="shared" si="2"/>
        <v>44562</v>
      </c>
      <c r="B24" s="272">
        <f t="shared" si="2"/>
        <v>61793401.939999998</v>
      </c>
      <c r="C24" s="58">
        <v>4696277.0199999996</v>
      </c>
      <c r="D24" s="272">
        <v>1291390.52</v>
      </c>
      <c r="E24" s="58">
        <f t="shared" si="3"/>
        <v>3404886.4999999995</v>
      </c>
      <c r="F24" s="273">
        <f>E24/B24</f>
        <v>5.5101133666440108E-2</v>
      </c>
      <c r="G24" s="185"/>
      <c r="H24" s="216"/>
    </row>
    <row r="25" spans="1:8" s="121" customFormat="1" ht="18" customHeight="1" x14ac:dyDescent="0.25">
      <c r="A25" s="176">
        <f t="shared" si="2"/>
        <v>44593</v>
      </c>
      <c r="B25" s="272">
        <f t="shared" si="2"/>
        <v>67011485.829999998</v>
      </c>
      <c r="C25" s="58">
        <v>5092850.76</v>
      </c>
      <c r="D25" s="272">
        <v>915196.01</v>
      </c>
      <c r="E25" s="58">
        <f t="shared" si="3"/>
        <v>4177654.75</v>
      </c>
      <c r="F25" s="273">
        <f>E25/B25</f>
        <v>6.2342368599290619E-2</v>
      </c>
      <c r="G25" s="217"/>
      <c r="H25" s="216"/>
    </row>
    <row r="26" spans="1:8" s="121" customFormat="1" ht="18" customHeight="1" x14ac:dyDescent="0.25">
      <c r="A26" s="176">
        <f t="shared" si="2"/>
        <v>44621</v>
      </c>
      <c r="B26" s="272">
        <f t="shared" si="2"/>
        <v>71563372.810000002</v>
      </c>
      <c r="C26" s="58">
        <v>5438793.4900000002</v>
      </c>
      <c r="D26" s="272">
        <v>1302592.1200000001</v>
      </c>
      <c r="E26" s="58">
        <f t="shared" si="3"/>
        <v>4136201.37</v>
      </c>
      <c r="F26" s="273">
        <f t="shared" ref="F26:F31" si="4">E26/B26</f>
        <v>5.7797742163181308E-2</v>
      </c>
      <c r="G26" s="217"/>
      <c r="H26" s="216"/>
    </row>
    <row r="27" spans="1:8" s="121" customFormat="1" ht="18" customHeight="1" x14ac:dyDescent="0.25">
      <c r="A27" s="176">
        <f t="shared" si="2"/>
        <v>44652</v>
      </c>
      <c r="B27" s="58">
        <f t="shared" si="2"/>
        <v>66408168.659999996</v>
      </c>
      <c r="C27" s="58">
        <v>5046999.03</v>
      </c>
      <c r="D27" s="58">
        <v>1091361.6200000001</v>
      </c>
      <c r="E27" s="58">
        <f t="shared" si="3"/>
        <v>3955637.41</v>
      </c>
      <c r="F27" s="273">
        <f t="shared" si="4"/>
        <v>5.9565524690980094E-2</v>
      </c>
      <c r="G27" s="217"/>
      <c r="H27" s="216"/>
    </row>
    <row r="28" spans="1:8" s="121" customFormat="1" ht="18" customHeight="1" x14ac:dyDescent="0.25">
      <c r="A28" s="176">
        <f t="shared" si="2"/>
        <v>44682</v>
      </c>
      <c r="B28" s="58">
        <f t="shared" si="2"/>
        <v>70436408.049999997</v>
      </c>
      <c r="C28" s="58">
        <f>5353142.76</f>
        <v>5353142.76</v>
      </c>
      <c r="D28" s="58">
        <v>1103354.6200000001</v>
      </c>
      <c r="E28" s="58">
        <f t="shared" si="3"/>
        <v>4249788.1399999997</v>
      </c>
      <c r="F28" s="273">
        <f t="shared" si="4"/>
        <v>6.033510591544141E-2</v>
      </c>
      <c r="G28" s="217"/>
      <c r="H28" s="216"/>
    </row>
    <row r="29" spans="1:8" s="121" customFormat="1" ht="18" customHeight="1" x14ac:dyDescent="0.25">
      <c r="A29" s="176">
        <f t="shared" si="2"/>
        <v>44713</v>
      </c>
      <c r="B29" s="58">
        <f t="shared" si="2"/>
        <v>68558115.620000005</v>
      </c>
      <c r="C29" s="58">
        <f>5210394.1</f>
        <v>5210394.0999999996</v>
      </c>
      <c r="D29" s="58">
        <v>1082280.28</v>
      </c>
      <c r="E29" s="58">
        <f t="shared" si="3"/>
        <v>4128113.8199999994</v>
      </c>
      <c r="F29" s="273">
        <f t="shared" si="4"/>
        <v>6.0213350128831895E-2</v>
      </c>
      <c r="G29" s="217"/>
      <c r="H29" s="216"/>
    </row>
    <row r="30" spans="1:8" s="121" customFormat="1" ht="18" customHeight="1" x14ac:dyDescent="0.25">
      <c r="A30" s="176">
        <f t="shared" si="2"/>
        <v>44743</v>
      </c>
      <c r="B30" s="58">
        <f t="shared" si="2"/>
        <v>73607802.359999999</v>
      </c>
      <c r="C30" s="58">
        <v>5594170.8300000001</v>
      </c>
      <c r="D30" s="58">
        <v>1029896.63</v>
      </c>
      <c r="E30" s="58">
        <f t="shared" si="3"/>
        <v>4564274.2</v>
      </c>
      <c r="F30" s="273">
        <f t="shared" si="4"/>
        <v>6.2008021618103912E-2</v>
      </c>
      <c r="G30" s="217"/>
      <c r="H30" s="216"/>
    </row>
    <row r="31" spans="1:8" s="121" customFormat="1" ht="18" customHeight="1" x14ac:dyDescent="0.25">
      <c r="A31" s="176">
        <f t="shared" si="2"/>
        <v>44774</v>
      </c>
      <c r="B31" s="58">
        <f t="shared" si="2"/>
        <v>72063062.739999995</v>
      </c>
      <c r="C31" s="58">
        <v>5476767.29</v>
      </c>
      <c r="D31" s="58">
        <v>1135490.21</v>
      </c>
      <c r="E31" s="58">
        <f t="shared" si="3"/>
        <v>4341277.08</v>
      </c>
      <c r="F31" s="273">
        <f t="shared" si="4"/>
        <v>6.0242750098800486E-2</v>
      </c>
      <c r="G31" s="217"/>
      <c r="H31" s="216"/>
    </row>
    <row r="32" spans="1:8" s="121" customFormat="1" ht="18" customHeight="1" x14ac:dyDescent="0.25">
      <c r="A32" s="176">
        <f t="shared" si="2"/>
        <v>44805</v>
      </c>
      <c r="B32" s="58">
        <f t="shared" si="2"/>
        <v>69250017.799999997</v>
      </c>
      <c r="C32" s="58">
        <v>5262980.26</v>
      </c>
      <c r="D32" s="58">
        <v>1062122.73</v>
      </c>
      <c r="E32" s="58">
        <f t="shared" si="3"/>
        <v>4200857.5299999993</v>
      </c>
      <c r="F32" s="273">
        <f>E32/B32</f>
        <v>6.0662187006686942E-2</v>
      </c>
      <c r="G32" s="217"/>
      <c r="H32" s="216"/>
    </row>
    <row r="33" spans="1:8" ht="24" customHeight="1" thickBot="1" x14ac:dyDescent="0.3">
      <c r="A33" s="436" t="s">
        <v>258</v>
      </c>
      <c r="B33" s="437"/>
      <c r="C33" s="437"/>
      <c r="D33" s="437"/>
      <c r="E33" s="438"/>
      <c r="F33" s="274">
        <f>H33/G33</f>
        <v>6.0385251392560582E-2</v>
      </c>
      <c r="G33" s="59">
        <f>SUM(B21:B32)</f>
        <v>850944237.78999996</v>
      </c>
      <c r="H33" s="59">
        <f>SUM(E21:E32)</f>
        <v>51384481.719999999</v>
      </c>
    </row>
    <row r="34" spans="1:8" x14ac:dyDescent="0.25">
      <c r="A34" s="179"/>
      <c r="C34" s="180"/>
      <c r="D34" s="180"/>
      <c r="F34" s="179"/>
      <c r="G34" s="184"/>
    </row>
    <row r="35" spans="1:8" x14ac:dyDescent="0.25">
      <c r="G35" s="215"/>
    </row>
    <row r="37" spans="1:8" x14ac:dyDescent="0.25">
      <c r="F37" s="214"/>
    </row>
  </sheetData>
  <mergeCells count="4">
    <mergeCell ref="A2:F2"/>
    <mergeCell ref="A19:F19"/>
    <mergeCell ref="A16:E16"/>
    <mergeCell ref="A33:E33"/>
  </mergeCells>
  <printOptions horizontalCentered="1"/>
  <pageMargins left="0.78740157480314965" right="0.39370078740157483" top="1.9685039370078741" bottom="1.7716535433070868" header="0.39370078740157483" footer="0.59055118110236227"/>
  <pageSetup paperSize="9" scale="87" orientation="portrait" r:id="rId1"/>
  <headerFooter>
    <oddHeader>&amp;L&amp;"Calibri"&amp;12&amp;K008000 Pública&amp;1#_x000D_</oddHead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1"/>
  </sheetPr>
  <dimension ref="A1:Z119"/>
  <sheetViews>
    <sheetView view="pageBreakPreview" topLeftCell="A71" zoomScaleNormal="100" zoomScaleSheetLayoutView="100" workbookViewId="0">
      <selection activeCell="E29" sqref="E29"/>
    </sheetView>
  </sheetViews>
  <sheetFormatPr defaultRowHeight="13" x14ac:dyDescent="0.3"/>
  <cols>
    <col min="1" max="1" width="6.453125" style="30" customWidth="1"/>
    <col min="2" max="2" width="77.26953125" style="30" customWidth="1"/>
    <col min="3" max="3" width="13.7265625" style="30" customWidth="1"/>
    <col min="4" max="4" width="14.1796875" style="30" customWidth="1"/>
    <col min="5" max="5" width="7.7265625" style="30" customWidth="1"/>
    <col min="6" max="7" width="9.1796875" style="30"/>
    <col min="8" max="8" width="9.1796875" style="61" customWidth="1"/>
    <col min="9" max="13" width="9.1796875" style="30"/>
    <col min="14" max="17" width="9.1796875" style="62"/>
    <col min="18" max="256" width="9.1796875" style="63"/>
    <col min="257" max="257" width="6.453125" style="63" customWidth="1"/>
    <col min="258" max="258" width="77.26953125" style="63" customWidth="1"/>
    <col min="259" max="259" width="13.7265625" style="63" customWidth="1"/>
    <col min="260" max="260" width="14.1796875" style="63" customWidth="1"/>
    <col min="261" max="261" width="7.7265625" style="63" customWidth="1"/>
    <col min="262" max="512" width="9.1796875" style="63"/>
    <col min="513" max="513" width="6.453125" style="63" customWidth="1"/>
    <col min="514" max="514" width="77.26953125" style="63" customWidth="1"/>
    <col min="515" max="515" width="13.7265625" style="63" customWidth="1"/>
    <col min="516" max="516" width="14.1796875" style="63" customWidth="1"/>
    <col min="517" max="517" width="7.7265625" style="63" customWidth="1"/>
    <col min="518" max="768" width="9.1796875" style="63"/>
    <col min="769" max="769" width="6.453125" style="63" customWidth="1"/>
    <col min="770" max="770" width="77.26953125" style="63" customWidth="1"/>
    <col min="771" max="771" width="13.7265625" style="63" customWidth="1"/>
    <col min="772" max="772" width="14.1796875" style="63" customWidth="1"/>
    <col min="773" max="773" width="7.7265625" style="63" customWidth="1"/>
    <col min="774" max="1024" width="9.1796875" style="63"/>
    <col min="1025" max="1025" width="6.453125" style="63" customWidth="1"/>
    <col min="1026" max="1026" width="77.26953125" style="63" customWidth="1"/>
    <col min="1027" max="1027" width="13.7265625" style="63" customWidth="1"/>
    <col min="1028" max="1028" width="14.1796875" style="63" customWidth="1"/>
    <col min="1029" max="1029" width="7.7265625" style="63" customWidth="1"/>
    <col min="1030" max="1280" width="9.1796875" style="63"/>
    <col min="1281" max="1281" width="6.453125" style="63" customWidth="1"/>
    <col min="1282" max="1282" width="77.26953125" style="63" customWidth="1"/>
    <col min="1283" max="1283" width="13.7265625" style="63" customWidth="1"/>
    <col min="1284" max="1284" width="14.1796875" style="63" customWidth="1"/>
    <col min="1285" max="1285" width="7.7265625" style="63" customWidth="1"/>
    <col min="1286" max="1536" width="9.1796875" style="63"/>
    <col min="1537" max="1537" width="6.453125" style="63" customWidth="1"/>
    <col min="1538" max="1538" width="77.26953125" style="63" customWidth="1"/>
    <col min="1539" max="1539" width="13.7265625" style="63" customWidth="1"/>
    <col min="1540" max="1540" width="14.1796875" style="63" customWidth="1"/>
    <col min="1541" max="1541" width="7.7265625" style="63" customWidth="1"/>
    <col min="1542" max="1792" width="9.1796875" style="63"/>
    <col min="1793" max="1793" width="6.453125" style="63" customWidth="1"/>
    <col min="1794" max="1794" width="77.26953125" style="63" customWidth="1"/>
    <col min="1795" max="1795" width="13.7265625" style="63" customWidth="1"/>
    <col min="1796" max="1796" width="14.1796875" style="63" customWidth="1"/>
    <col min="1797" max="1797" width="7.7265625" style="63" customWidth="1"/>
    <col min="1798" max="2048" width="9.1796875" style="63"/>
    <col min="2049" max="2049" width="6.453125" style="63" customWidth="1"/>
    <col min="2050" max="2050" width="77.26953125" style="63" customWidth="1"/>
    <col min="2051" max="2051" width="13.7265625" style="63" customWidth="1"/>
    <col min="2052" max="2052" width="14.1796875" style="63" customWidth="1"/>
    <col min="2053" max="2053" width="7.7265625" style="63" customWidth="1"/>
    <col min="2054" max="2304" width="9.1796875" style="63"/>
    <col min="2305" max="2305" width="6.453125" style="63" customWidth="1"/>
    <col min="2306" max="2306" width="77.26953125" style="63" customWidth="1"/>
    <col min="2307" max="2307" width="13.7265625" style="63" customWidth="1"/>
    <col min="2308" max="2308" width="14.1796875" style="63" customWidth="1"/>
    <col min="2309" max="2309" width="7.7265625" style="63" customWidth="1"/>
    <col min="2310" max="2560" width="9.1796875" style="63"/>
    <col min="2561" max="2561" width="6.453125" style="63" customWidth="1"/>
    <col min="2562" max="2562" width="77.26953125" style="63" customWidth="1"/>
    <col min="2563" max="2563" width="13.7265625" style="63" customWidth="1"/>
    <col min="2564" max="2564" width="14.1796875" style="63" customWidth="1"/>
    <col min="2565" max="2565" width="7.7265625" style="63" customWidth="1"/>
    <col min="2566" max="2816" width="9.1796875" style="63"/>
    <col min="2817" max="2817" width="6.453125" style="63" customWidth="1"/>
    <col min="2818" max="2818" width="77.26953125" style="63" customWidth="1"/>
    <col min="2819" max="2819" width="13.7265625" style="63" customWidth="1"/>
    <col min="2820" max="2820" width="14.1796875" style="63" customWidth="1"/>
    <col min="2821" max="2821" width="7.7265625" style="63" customWidth="1"/>
    <col min="2822" max="3072" width="9.1796875" style="63"/>
    <col min="3073" max="3073" width="6.453125" style="63" customWidth="1"/>
    <col min="3074" max="3074" width="77.26953125" style="63" customWidth="1"/>
    <col min="3075" max="3075" width="13.7265625" style="63" customWidth="1"/>
    <col min="3076" max="3076" width="14.1796875" style="63" customWidth="1"/>
    <col min="3077" max="3077" width="7.7265625" style="63" customWidth="1"/>
    <col min="3078" max="3328" width="9.1796875" style="63"/>
    <col min="3329" max="3329" width="6.453125" style="63" customWidth="1"/>
    <col min="3330" max="3330" width="77.26953125" style="63" customWidth="1"/>
    <col min="3331" max="3331" width="13.7265625" style="63" customWidth="1"/>
    <col min="3332" max="3332" width="14.1796875" style="63" customWidth="1"/>
    <col min="3333" max="3333" width="7.7265625" style="63" customWidth="1"/>
    <col min="3334" max="3584" width="9.1796875" style="63"/>
    <col min="3585" max="3585" width="6.453125" style="63" customWidth="1"/>
    <col min="3586" max="3586" width="77.26953125" style="63" customWidth="1"/>
    <col min="3587" max="3587" width="13.7265625" style="63" customWidth="1"/>
    <col min="3588" max="3588" width="14.1796875" style="63" customWidth="1"/>
    <col min="3589" max="3589" width="7.7265625" style="63" customWidth="1"/>
    <col min="3590" max="3840" width="9.1796875" style="63"/>
    <col min="3841" max="3841" width="6.453125" style="63" customWidth="1"/>
    <col min="3842" max="3842" width="77.26953125" style="63" customWidth="1"/>
    <col min="3843" max="3843" width="13.7265625" style="63" customWidth="1"/>
    <col min="3844" max="3844" width="14.1796875" style="63" customWidth="1"/>
    <col min="3845" max="3845" width="7.7265625" style="63" customWidth="1"/>
    <col min="3846" max="4096" width="9.1796875" style="63"/>
    <col min="4097" max="4097" width="6.453125" style="63" customWidth="1"/>
    <col min="4098" max="4098" width="77.26953125" style="63" customWidth="1"/>
    <col min="4099" max="4099" width="13.7265625" style="63" customWidth="1"/>
    <col min="4100" max="4100" width="14.1796875" style="63" customWidth="1"/>
    <col min="4101" max="4101" width="7.7265625" style="63" customWidth="1"/>
    <col min="4102" max="4352" width="9.1796875" style="63"/>
    <col min="4353" max="4353" width="6.453125" style="63" customWidth="1"/>
    <col min="4354" max="4354" width="77.26953125" style="63" customWidth="1"/>
    <col min="4355" max="4355" width="13.7265625" style="63" customWidth="1"/>
    <col min="4356" max="4356" width="14.1796875" style="63" customWidth="1"/>
    <col min="4357" max="4357" width="7.7265625" style="63" customWidth="1"/>
    <col min="4358" max="4608" width="9.1796875" style="63"/>
    <col min="4609" max="4609" width="6.453125" style="63" customWidth="1"/>
    <col min="4610" max="4610" width="77.26953125" style="63" customWidth="1"/>
    <col min="4611" max="4611" width="13.7265625" style="63" customWidth="1"/>
    <col min="4612" max="4612" width="14.1796875" style="63" customWidth="1"/>
    <col min="4613" max="4613" width="7.7265625" style="63" customWidth="1"/>
    <col min="4614" max="4864" width="9.1796875" style="63"/>
    <col min="4865" max="4865" width="6.453125" style="63" customWidth="1"/>
    <col min="4866" max="4866" width="77.26953125" style="63" customWidth="1"/>
    <col min="4867" max="4867" width="13.7265625" style="63" customWidth="1"/>
    <col min="4868" max="4868" width="14.1796875" style="63" customWidth="1"/>
    <col min="4869" max="4869" width="7.7265625" style="63" customWidth="1"/>
    <col min="4870" max="5120" width="9.1796875" style="63"/>
    <col min="5121" max="5121" width="6.453125" style="63" customWidth="1"/>
    <col min="5122" max="5122" width="77.26953125" style="63" customWidth="1"/>
    <col min="5123" max="5123" width="13.7265625" style="63" customWidth="1"/>
    <col min="5124" max="5124" width="14.1796875" style="63" customWidth="1"/>
    <col min="5125" max="5125" width="7.7265625" style="63" customWidth="1"/>
    <col min="5126" max="5376" width="9.1796875" style="63"/>
    <col min="5377" max="5377" width="6.453125" style="63" customWidth="1"/>
    <col min="5378" max="5378" width="77.26953125" style="63" customWidth="1"/>
    <col min="5379" max="5379" width="13.7265625" style="63" customWidth="1"/>
    <col min="5380" max="5380" width="14.1796875" style="63" customWidth="1"/>
    <col min="5381" max="5381" width="7.7265625" style="63" customWidth="1"/>
    <col min="5382" max="5632" width="9.1796875" style="63"/>
    <col min="5633" max="5633" width="6.453125" style="63" customWidth="1"/>
    <col min="5634" max="5634" width="77.26953125" style="63" customWidth="1"/>
    <col min="5635" max="5635" width="13.7265625" style="63" customWidth="1"/>
    <col min="5636" max="5636" width="14.1796875" style="63" customWidth="1"/>
    <col min="5637" max="5637" width="7.7265625" style="63" customWidth="1"/>
    <col min="5638" max="5888" width="9.1796875" style="63"/>
    <col min="5889" max="5889" width="6.453125" style="63" customWidth="1"/>
    <col min="5890" max="5890" width="77.26953125" style="63" customWidth="1"/>
    <col min="5891" max="5891" width="13.7265625" style="63" customWidth="1"/>
    <col min="5892" max="5892" width="14.1796875" style="63" customWidth="1"/>
    <col min="5893" max="5893" width="7.7265625" style="63" customWidth="1"/>
    <col min="5894" max="6144" width="9.1796875" style="63"/>
    <col min="6145" max="6145" width="6.453125" style="63" customWidth="1"/>
    <col min="6146" max="6146" width="77.26953125" style="63" customWidth="1"/>
    <col min="6147" max="6147" width="13.7265625" style="63" customWidth="1"/>
    <col min="6148" max="6148" width="14.1796875" style="63" customWidth="1"/>
    <col min="6149" max="6149" width="7.7265625" style="63" customWidth="1"/>
    <col min="6150" max="6400" width="9.1796875" style="63"/>
    <col min="6401" max="6401" width="6.453125" style="63" customWidth="1"/>
    <col min="6402" max="6402" width="77.26953125" style="63" customWidth="1"/>
    <col min="6403" max="6403" width="13.7265625" style="63" customWidth="1"/>
    <col min="6404" max="6404" width="14.1796875" style="63" customWidth="1"/>
    <col min="6405" max="6405" width="7.7265625" style="63" customWidth="1"/>
    <col min="6406" max="6656" width="9.1796875" style="63"/>
    <col min="6657" max="6657" width="6.453125" style="63" customWidth="1"/>
    <col min="6658" max="6658" width="77.26953125" style="63" customWidth="1"/>
    <col min="6659" max="6659" width="13.7265625" style="63" customWidth="1"/>
    <col min="6660" max="6660" width="14.1796875" style="63" customWidth="1"/>
    <col min="6661" max="6661" width="7.7265625" style="63" customWidth="1"/>
    <col min="6662" max="6912" width="9.1796875" style="63"/>
    <col min="6913" max="6913" width="6.453125" style="63" customWidth="1"/>
    <col min="6914" max="6914" width="77.26953125" style="63" customWidth="1"/>
    <col min="6915" max="6915" width="13.7265625" style="63" customWidth="1"/>
    <col min="6916" max="6916" width="14.1796875" style="63" customWidth="1"/>
    <col min="6917" max="6917" width="7.7265625" style="63" customWidth="1"/>
    <col min="6918" max="7168" width="9.1796875" style="63"/>
    <col min="7169" max="7169" width="6.453125" style="63" customWidth="1"/>
    <col min="7170" max="7170" width="77.26953125" style="63" customWidth="1"/>
    <col min="7171" max="7171" width="13.7265625" style="63" customWidth="1"/>
    <col min="7172" max="7172" width="14.1796875" style="63" customWidth="1"/>
    <col min="7173" max="7173" width="7.7265625" style="63" customWidth="1"/>
    <col min="7174" max="7424" width="9.1796875" style="63"/>
    <col min="7425" max="7425" width="6.453125" style="63" customWidth="1"/>
    <col min="7426" max="7426" width="77.26953125" style="63" customWidth="1"/>
    <col min="7427" max="7427" width="13.7265625" style="63" customWidth="1"/>
    <col min="7428" max="7428" width="14.1796875" style="63" customWidth="1"/>
    <col min="7429" max="7429" width="7.7265625" style="63" customWidth="1"/>
    <col min="7430" max="7680" width="9.1796875" style="63"/>
    <col min="7681" max="7681" width="6.453125" style="63" customWidth="1"/>
    <col min="7682" max="7682" width="77.26953125" style="63" customWidth="1"/>
    <col min="7683" max="7683" width="13.7265625" style="63" customWidth="1"/>
    <col min="7684" max="7684" width="14.1796875" style="63" customWidth="1"/>
    <col min="7685" max="7685" width="7.7265625" style="63" customWidth="1"/>
    <col min="7686" max="7936" width="9.1796875" style="63"/>
    <col min="7937" max="7937" width="6.453125" style="63" customWidth="1"/>
    <col min="7938" max="7938" width="77.26953125" style="63" customWidth="1"/>
    <col min="7939" max="7939" width="13.7265625" style="63" customWidth="1"/>
    <col min="7940" max="7940" width="14.1796875" style="63" customWidth="1"/>
    <col min="7941" max="7941" width="7.7265625" style="63" customWidth="1"/>
    <col min="7942" max="8192" width="9.1796875" style="63"/>
    <col min="8193" max="8193" width="6.453125" style="63" customWidth="1"/>
    <col min="8194" max="8194" width="77.26953125" style="63" customWidth="1"/>
    <col min="8195" max="8195" width="13.7265625" style="63" customWidth="1"/>
    <col min="8196" max="8196" width="14.1796875" style="63" customWidth="1"/>
    <col min="8197" max="8197" width="7.7265625" style="63" customWidth="1"/>
    <col min="8198" max="8448" width="9.1796875" style="63"/>
    <col min="8449" max="8449" width="6.453125" style="63" customWidth="1"/>
    <col min="8450" max="8450" width="77.26953125" style="63" customWidth="1"/>
    <col min="8451" max="8451" width="13.7265625" style="63" customWidth="1"/>
    <col min="8452" max="8452" width="14.1796875" style="63" customWidth="1"/>
    <col min="8453" max="8453" width="7.7265625" style="63" customWidth="1"/>
    <col min="8454" max="8704" width="9.1796875" style="63"/>
    <col min="8705" max="8705" width="6.453125" style="63" customWidth="1"/>
    <col min="8706" max="8706" width="77.26953125" style="63" customWidth="1"/>
    <col min="8707" max="8707" width="13.7265625" style="63" customWidth="1"/>
    <col min="8708" max="8708" width="14.1796875" style="63" customWidth="1"/>
    <col min="8709" max="8709" width="7.7265625" style="63" customWidth="1"/>
    <col min="8710" max="8960" width="9.1796875" style="63"/>
    <col min="8961" max="8961" width="6.453125" style="63" customWidth="1"/>
    <col min="8962" max="8962" width="77.26953125" style="63" customWidth="1"/>
    <col min="8963" max="8963" width="13.7265625" style="63" customWidth="1"/>
    <col min="8964" max="8964" width="14.1796875" style="63" customWidth="1"/>
    <col min="8965" max="8965" width="7.7265625" style="63" customWidth="1"/>
    <col min="8966" max="9216" width="9.1796875" style="63"/>
    <col min="9217" max="9217" width="6.453125" style="63" customWidth="1"/>
    <col min="9218" max="9218" width="77.26953125" style="63" customWidth="1"/>
    <col min="9219" max="9219" width="13.7265625" style="63" customWidth="1"/>
    <col min="9220" max="9220" width="14.1796875" style="63" customWidth="1"/>
    <col min="9221" max="9221" width="7.7265625" style="63" customWidth="1"/>
    <col min="9222" max="9472" width="9.1796875" style="63"/>
    <col min="9473" max="9473" width="6.453125" style="63" customWidth="1"/>
    <col min="9474" max="9474" width="77.26953125" style="63" customWidth="1"/>
    <col min="9475" max="9475" width="13.7265625" style="63" customWidth="1"/>
    <col min="9476" max="9476" width="14.1796875" style="63" customWidth="1"/>
    <col min="9477" max="9477" width="7.7265625" style="63" customWidth="1"/>
    <col min="9478" max="9728" width="9.1796875" style="63"/>
    <col min="9729" max="9729" width="6.453125" style="63" customWidth="1"/>
    <col min="9730" max="9730" width="77.26953125" style="63" customWidth="1"/>
    <col min="9731" max="9731" width="13.7265625" style="63" customWidth="1"/>
    <col min="9732" max="9732" width="14.1796875" style="63" customWidth="1"/>
    <col min="9733" max="9733" width="7.7265625" style="63" customWidth="1"/>
    <col min="9734" max="9984" width="9.1796875" style="63"/>
    <col min="9985" max="9985" width="6.453125" style="63" customWidth="1"/>
    <col min="9986" max="9986" width="77.26953125" style="63" customWidth="1"/>
    <col min="9987" max="9987" width="13.7265625" style="63" customWidth="1"/>
    <col min="9988" max="9988" width="14.1796875" style="63" customWidth="1"/>
    <col min="9989" max="9989" width="7.7265625" style="63" customWidth="1"/>
    <col min="9990" max="10240" width="9.1796875" style="63"/>
    <col min="10241" max="10241" width="6.453125" style="63" customWidth="1"/>
    <col min="10242" max="10242" width="77.26953125" style="63" customWidth="1"/>
    <col min="10243" max="10243" width="13.7265625" style="63" customWidth="1"/>
    <col min="10244" max="10244" width="14.1796875" style="63" customWidth="1"/>
    <col min="10245" max="10245" width="7.7265625" style="63" customWidth="1"/>
    <col min="10246" max="10496" width="9.1796875" style="63"/>
    <col min="10497" max="10497" width="6.453125" style="63" customWidth="1"/>
    <col min="10498" max="10498" width="77.26953125" style="63" customWidth="1"/>
    <col min="10499" max="10499" width="13.7265625" style="63" customWidth="1"/>
    <col min="10500" max="10500" width="14.1796875" style="63" customWidth="1"/>
    <col min="10501" max="10501" width="7.7265625" style="63" customWidth="1"/>
    <col min="10502" max="10752" width="9.1796875" style="63"/>
    <col min="10753" max="10753" width="6.453125" style="63" customWidth="1"/>
    <col min="10754" max="10754" width="77.26953125" style="63" customWidth="1"/>
    <col min="10755" max="10755" width="13.7265625" style="63" customWidth="1"/>
    <col min="10756" max="10756" width="14.1796875" style="63" customWidth="1"/>
    <col min="10757" max="10757" width="7.7265625" style="63" customWidth="1"/>
    <col min="10758" max="11008" width="9.1796875" style="63"/>
    <col min="11009" max="11009" width="6.453125" style="63" customWidth="1"/>
    <col min="11010" max="11010" width="77.26953125" style="63" customWidth="1"/>
    <col min="11011" max="11011" width="13.7265625" style="63" customWidth="1"/>
    <col min="11012" max="11012" width="14.1796875" style="63" customWidth="1"/>
    <col min="11013" max="11013" width="7.7265625" style="63" customWidth="1"/>
    <col min="11014" max="11264" width="9.1796875" style="63"/>
    <col min="11265" max="11265" width="6.453125" style="63" customWidth="1"/>
    <col min="11266" max="11266" width="77.26953125" style="63" customWidth="1"/>
    <col min="11267" max="11267" width="13.7265625" style="63" customWidth="1"/>
    <col min="11268" max="11268" width="14.1796875" style="63" customWidth="1"/>
    <col min="11269" max="11269" width="7.7265625" style="63" customWidth="1"/>
    <col min="11270" max="11520" width="9.1796875" style="63"/>
    <col min="11521" max="11521" width="6.453125" style="63" customWidth="1"/>
    <col min="11522" max="11522" width="77.26953125" style="63" customWidth="1"/>
    <col min="11523" max="11523" width="13.7265625" style="63" customWidth="1"/>
    <col min="11524" max="11524" width="14.1796875" style="63" customWidth="1"/>
    <col min="11525" max="11525" width="7.7265625" style="63" customWidth="1"/>
    <col min="11526" max="11776" width="9.1796875" style="63"/>
    <col min="11777" max="11777" width="6.453125" style="63" customWidth="1"/>
    <col min="11778" max="11778" width="77.26953125" style="63" customWidth="1"/>
    <col min="11779" max="11779" width="13.7265625" style="63" customWidth="1"/>
    <col min="11780" max="11780" width="14.1796875" style="63" customWidth="1"/>
    <col min="11781" max="11781" width="7.7265625" style="63" customWidth="1"/>
    <col min="11782" max="12032" width="9.1796875" style="63"/>
    <col min="12033" max="12033" width="6.453125" style="63" customWidth="1"/>
    <col min="12034" max="12034" width="77.26953125" style="63" customWidth="1"/>
    <col min="12035" max="12035" width="13.7265625" style="63" customWidth="1"/>
    <col min="12036" max="12036" width="14.1796875" style="63" customWidth="1"/>
    <col min="12037" max="12037" width="7.7265625" style="63" customWidth="1"/>
    <col min="12038" max="12288" width="9.1796875" style="63"/>
    <col min="12289" max="12289" width="6.453125" style="63" customWidth="1"/>
    <col min="12290" max="12290" width="77.26953125" style="63" customWidth="1"/>
    <col min="12291" max="12291" width="13.7265625" style="63" customWidth="1"/>
    <col min="12292" max="12292" width="14.1796875" style="63" customWidth="1"/>
    <col min="12293" max="12293" width="7.7265625" style="63" customWidth="1"/>
    <col min="12294" max="12544" width="9.1796875" style="63"/>
    <col min="12545" max="12545" width="6.453125" style="63" customWidth="1"/>
    <col min="12546" max="12546" width="77.26953125" style="63" customWidth="1"/>
    <col min="12547" max="12547" width="13.7265625" style="63" customWidth="1"/>
    <col min="12548" max="12548" width="14.1796875" style="63" customWidth="1"/>
    <col min="12549" max="12549" width="7.7265625" style="63" customWidth="1"/>
    <col min="12550" max="12800" width="9.1796875" style="63"/>
    <col min="12801" max="12801" width="6.453125" style="63" customWidth="1"/>
    <col min="12802" max="12802" width="77.26953125" style="63" customWidth="1"/>
    <col min="12803" max="12803" width="13.7265625" style="63" customWidth="1"/>
    <col min="12804" max="12804" width="14.1796875" style="63" customWidth="1"/>
    <col min="12805" max="12805" width="7.7265625" style="63" customWidth="1"/>
    <col min="12806" max="13056" width="9.1796875" style="63"/>
    <col min="13057" max="13057" width="6.453125" style="63" customWidth="1"/>
    <col min="13058" max="13058" width="77.26953125" style="63" customWidth="1"/>
    <col min="13059" max="13059" width="13.7265625" style="63" customWidth="1"/>
    <col min="13060" max="13060" width="14.1796875" style="63" customWidth="1"/>
    <col min="13061" max="13061" width="7.7265625" style="63" customWidth="1"/>
    <col min="13062" max="13312" width="9.1796875" style="63"/>
    <col min="13313" max="13313" width="6.453125" style="63" customWidth="1"/>
    <col min="13314" max="13314" width="77.26953125" style="63" customWidth="1"/>
    <col min="13315" max="13315" width="13.7265625" style="63" customWidth="1"/>
    <col min="13316" max="13316" width="14.1796875" style="63" customWidth="1"/>
    <col min="13317" max="13317" width="7.7265625" style="63" customWidth="1"/>
    <col min="13318" max="13568" width="9.1796875" style="63"/>
    <col min="13569" max="13569" width="6.453125" style="63" customWidth="1"/>
    <col min="13570" max="13570" width="77.26953125" style="63" customWidth="1"/>
    <col min="13571" max="13571" width="13.7265625" style="63" customWidth="1"/>
    <col min="13572" max="13572" width="14.1796875" style="63" customWidth="1"/>
    <col min="13573" max="13573" width="7.7265625" style="63" customWidth="1"/>
    <col min="13574" max="13824" width="9.1796875" style="63"/>
    <col min="13825" max="13825" width="6.453125" style="63" customWidth="1"/>
    <col min="13826" max="13826" width="77.26953125" style="63" customWidth="1"/>
    <col min="13827" max="13827" width="13.7265625" style="63" customWidth="1"/>
    <col min="13828" max="13828" width="14.1796875" style="63" customWidth="1"/>
    <col min="13829" max="13829" width="7.7265625" style="63" customWidth="1"/>
    <col min="13830" max="14080" width="9.1796875" style="63"/>
    <col min="14081" max="14081" width="6.453125" style="63" customWidth="1"/>
    <col min="14082" max="14082" width="77.26953125" style="63" customWidth="1"/>
    <col min="14083" max="14083" width="13.7265625" style="63" customWidth="1"/>
    <col min="14084" max="14084" width="14.1796875" style="63" customWidth="1"/>
    <col min="14085" max="14085" width="7.7265625" style="63" customWidth="1"/>
    <col min="14086" max="14336" width="9.1796875" style="63"/>
    <col min="14337" max="14337" width="6.453125" style="63" customWidth="1"/>
    <col min="14338" max="14338" width="77.26953125" style="63" customWidth="1"/>
    <col min="14339" max="14339" width="13.7265625" style="63" customWidth="1"/>
    <col min="14340" max="14340" width="14.1796875" style="63" customWidth="1"/>
    <col min="14341" max="14341" width="7.7265625" style="63" customWidth="1"/>
    <col min="14342" max="14592" width="9.1796875" style="63"/>
    <col min="14593" max="14593" width="6.453125" style="63" customWidth="1"/>
    <col min="14594" max="14594" width="77.26953125" style="63" customWidth="1"/>
    <col min="14595" max="14595" width="13.7265625" style="63" customWidth="1"/>
    <col min="14596" max="14596" width="14.1796875" style="63" customWidth="1"/>
    <col min="14597" max="14597" width="7.7265625" style="63" customWidth="1"/>
    <col min="14598" max="14848" width="9.1796875" style="63"/>
    <col min="14849" max="14849" width="6.453125" style="63" customWidth="1"/>
    <col min="14850" max="14850" width="77.26953125" style="63" customWidth="1"/>
    <col min="14851" max="14851" width="13.7265625" style="63" customWidth="1"/>
    <col min="14852" max="14852" width="14.1796875" style="63" customWidth="1"/>
    <col min="14853" max="14853" width="7.7265625" style="63" customWidth="1"/>
    <col min="14854" max="15104" width="9.1796875" style="63"/>
    <col min="15105" max="15105" width="6.453125" style="63" customWidth="1"/>
    <col min="15106" max="15106" width="77.26953125" style="63" customWidth="1"/>
    <col min="15107" max="15107" width="13.7265625" style="63" customWidth="1"/>
    <col min="15108" max="15108" width="14.1796875" style="63" customWidth="1"/>
    <col min="15109" max="15109" width="7.7265625" style="63" customWidth="1"/>
    <col min="15110" max="15360" width="9.1796875" style="63"/>
    <col min="15361" max="15361" width="6.453125" style="63" customWidth="1"/>
    <col min="15362" max="15362" width="77.26953125" style="63" customWidth="1"/>
    <col min="15363" max="15363" width="13.7265625" style="63" customWidth="1"/>
    <col min="15364" max="15364" width="14.1796875" style="63" customWidth="1"/>
    <col min="15365" max="15365" width="7.7265625" style="63" customWidth="1"/>
    <col min="15366" max="15616" width="9.1796875" style="63"/>
    <col min="15617" max="15617" width="6.453125" style="63" customWidth="1"/>
    <col min="15618" max="15618" width="77.26953125" style="63" customWidth="1"/>
    <col min="15619" max="15619" width="13.7265625" style="63" customWidth="1"/>
    <col min="15620" max="15620" width="14.1796875" style="63" customWidth="1"/>
    <col min="15621" max="15621" width="7.7265625" style="63" customWidth="1"/>
    <col min="15622" max="15872" width="9.1796875" style="63"/>
    <col min="15873" max="15873" width="6.453125" style="63" customWidth="1"/>
    <col min="15874" max="15874" width="77.26953125" style="63" customWidth="1"/>
    <col min="15875" max="15875" width="13.7265625" style="63" customWidth="1"/>
    <col min="15876" max="15876" width="14.1796875" style="63" customWidth="1"/>
    <col min="15877" max="15877" width="7.7265625" style="63" customWidth="1"/>
    <col min="15878" max="16128" width="9.1796875" style="63"/>
    <col min="16129" max="16129" width="6.453125" style="63" customWidth="1"/>
    <col min="16130" max="16130" width="77.26953125" style="63" customWidth="1"/>
    <col min="16131" max="16131" width="13.7265625" style="63" customWidth="1"/>
    <col min="16132" max="16132" width="14.1796875" style="63" customWidth="1"/>
    <col min="16133" max="16133" width="7.7265625" style="63" customWidth="1"/>
    <col min="16134" max="16384" width="9.1796875" style="63"/>
  </cols>
  <sheetData>
    <row r="1" spans="1:17" x14ac:dyDescent="0.3">
      <c r="A1" s="443" t="s">
        <v>263</v>
      </c>
      <c r="B1" s="443"/>
      <c r="C1" s="443"/>
      <c r="D1" s="443"/>
      <c r="E1" s="443"/>
      <c r="F1" s="443"/>
    </row>
    <row r="2" spans="1:17" x14ac:dyDescent="0.3">
      <c r="A2" s="64"/>
      <c r="B2" s="64"/>
      <c r="C2" s="64"/>
      <c r="D2" s="64"/>
      <c r="E2" s="64"/>
      <c r="F2" s="64"/>
    </row>
    <row r="3" spans="1:17" x14ac:dyDescent="0.3">
      <c r="A3" s="65" t="s">
        <v>264</v>
      </c>
      <c r="B3" s="66"/>
      <c r="C3" s="67">
        <f>ROUND(SUM(C5:C15),4)</f>
        <v>0.19439999999999999</v>
      </c>
      <c r="D3" s="66"/>
      <c r="E3" s="66"/>
      <c r="F3" s="68"/>
      <c r="K3" s="62"/>
      <c r="L3" s="62"/>
      <c r="M3" s="62"/>
      <c r="O3" s="63"/>
      <c r="P3" s="63"/>
      <c r="Q3" s="63"/>
    </row>
    <row r="4" spans="1:17" x14ac:dyDescent="0.3">
      <c r="A4" s="69"/>
      <c r="B4" s="64"/>
      <c r="C4" s="64"/>
      <c r="D4" s="64"/>
      <c r="E4" s="64"/>
      <c r="F4" s="70"/>
      <c r="K4" s="62"/>
      <c r="L4" s="62"/>
      <c r="M4" s="62"/>
      <c r="O4" s="63"/>
      <c r="P4" s="63"/>
      <c r="Q4" s="63"/>
    </row>
    <row r="5" spans="1:17" x14ac:dyDescent="0.3">
      <c r="A5" s="71" t="s">
        <v>88</v>
      </c>
      <c r="B5" s="72" t="s">
        <v>265</v>
      </c>
      <c r="C5" s="73">
        <f>H5</f>
        <v>8.3299999999999999E-2</v>
      </c>
      <c r="D5" s="64"/>
      <c r="E5" s="64"/>
      <c r="F5" s="70"/>
      <c r="H5" s="74">
        <f>ROUND(((1/12)),4)</f>
        <v>8.3299999999999999E-2</v>
      </c>
      <c r="K5" s="62"/>
      <c r="L5" s="62"/>
      <c r="M5" s="62"/>
      <c r="O5" s="63"/>
      <c r="P5" s="63"/>
      <c r="Q5" s="63"/>
    </row>
    <row r="6" spans="1:17" x14ac:dyDescent="0.3">
      <c r="A6" s="71"/>
      <c r="B6" s="75" t="s">
        <v>266</v>
      </c>
      <c r="C6" s="73"/>
      <c r="D6" s="64"/>
      <c r="E6" s="64"/>
      <c r="F6" s="70"/>
      <c r="K6" s="62"/>
      <c r="L6" s="62"/>
      <c r="M6" s="62"/>
      <c r="O6" s="63"/>
      <c r="P6" s="63"/>
      <c r="Q6" s="63"/>
    </row>
    <row r="7" spans="1:17" x14ac:dyDescent="0.3">
      <c r="A7" s="71"/>
      <c r="B7" s="76" t="s">
        <v>267</v>
      </c>
      <c r="C7" s="73"/>
      <c r="D7" s="64"/>
      <c r="E7" s="64"/>
      <c r="F7" s="70"/>
      <c r="K7" s="62"/>
      <c r="L7" s="62"/>
      <c r="M7" s="62"/>
      <c r="O7" s="63"/>
      <c r="P7" s="63"/>
      <c r="Q7" s="63"/>
    </row>
    <row r="8" spans="1:17" x14ac:dyDescent="0.3">
      <c r="A8" s="71"/>
      <c r="B8" s="76" t="s">
        <v>268</v>
      </c>
      <c r="C8" s="73"/>
      <c r="D8" s="64"/>
      <c r="E8" s="64"/>
      <c r="F8" s="70"/>
      <c r="K8" s="62"/>
      <c r="L8" s="62"/>
      <c r="M8" s="62"/>
      <c r="O8" s="63"/>
      <c r="P8" s="63"/>
      <c r="Q8" s="63"/>
    </row>
    <row r="9" spans="1:17" x14ac:dyDescent="0.3">
      <c r="A9" s="71"/>
      <c r="B9" s="76" t="s">
        <v>269</v>
      </c>
      <c r="C9" s="73"/>
      <c r="D9" s="64"/>
      <c r="E9" s="64"/>
      <c r="F9" s="70"/>
      <c r="K9" s="62"/>
      <c r="L9" s="62"/>
      <c r="M9" s="62"/>
      <c r="O9" s="63"/>
      <c r="P9" s="63"/>
      <c r="Q9" s="63"/>
    </row>
    <row r="10" spans="1:17" x14ac:dyDescent="0.3">
      <c r="A10" s="71"/>
      <c r="B10" s="76"/>
      <c r="C10" s="73"/>
      <c r="D10" s="64"/>
      <c r="E10" s="64"/>
      <c r="F10" s="70"/>
      <c r="K10" s="62"/>
      <c r="L10" s="62"/>
      <c r="M10" s="62"/>
      <c r="O10" s="63"/>
      <c r="P10" s="63"/>
      <c r="Q10" s="63"/>
    </row>
    <row r="11" spans="1:17" x14ac:dyDescent="0.3">
      <c r="A11" s="71" t="s">
        <v>90</v>
      </c>
      <c r="B11" s="72" t="s">
        <v>270</v>
      </c>
      <c r="C11" s="73">
        <f>H11</f>
        <v>0.1111</v>
      </c>
      <c r="D11" s="64"/>
      <c r="E11" s="64"/>
      <c r="F11" s="70"/>
      <c r="H11" s="74">
        <f>ROUND((1/12)+(1/12/3),4)</f>
        <v>0.1111</v>
      </c>
      <c r="K11" s="62"/>
      <c r="L11" s="62"/>
      <c r="M11" s="62"/>
      <c r="O11" s="63"/>
      <c r="P11" s="63"/>
      <c r="Q11" s="63"/>
    </row>
    <row r="12" spans="1:17" x14ac:dyDescent="0.3">
      <c r="A12" s="71"/>
      <c r="B12" s="75" t="s">
        <v>266</v>
      </c>
      <c r="C12" s="73"/>
      <c r="D12" s="64"/>
      <c r="E12" s="64"/>
      <c r="F12" s="70"/>
      <c r="K12" s="62"/>
      <c r="L12" s="62"/>
      <c r="M12" s="62"/>
      <c r="O12" s="63"/>
      <c r="P12" s="63"/>
      <c r="Q12" s="63"/>
    </row>
    <row r="13" spans="1:17" x14ac:dyDescent="0.3">
      <c r="A13" s="71"/>
      <c r="B13" s="76" t="s">
        <v>271</v>
      </c>
      <c r="C13" s="73"/>
      <c r="D13" s="64"/>
      <c r="E13" s="64"/>
      <c r="F13" s="70"/>
      <c r="K13" s="62"/>
      <c r="L13" s="62"/>
      <c r="M13" s="62"/>
      <c r="O13" s="63"/>
      <c r="P13" s="63"/>
      <c r="Q13" s="63"/>
    </row>
    <row r="14" spans="1:17" x14ac:dyDescent="0.3">
      <c r="A14" s="71"/>
      <c r="B14" s="76" t="s">
        <v>272</v>
      </c>
      <c r="C14" s="73"/>
      <c r="D14" s="64"/>
      <c r="E14" s="64"/>
      <c r="F14" s="70"/>
      <c r="K14" s="62"/>
      <c r="L14" s="62"/>
      <c r="M14" s="62"/>
      <c r="O14" s="63"/>
      <c r="P14" s="63"/>
      <c r="Q14" s="63"/>
    </row>
    <row r="15" spans="1:17" x14ac:dyDescent="0.3">
      <c r="A15" s="71"/>
      <c r="B15" s="76" t="s">
        <v>273</v>
      </c>
      <c r="C15" s="73"/>
      <c r="D15" s="64"/>
      <c r="E15" s="64"/>
      <c r="F15" s="70"/>
      <c r="K15" s="62"/>
      <c r="L15" s="62"/>
      <c r="M15" s="62"/>
      <c r="O15" s="63"/>
      <c r="P15" s="63"/>
      <c r="Q15" s="63"/>
    </row>
    <row r="16" spans="1:17" x14ac:dyDescent="0.3">
      <c r="A16" s="77"/>
      <c r="B16" s="78"/>
      <c r="C16" s="78"/>
      <c r="D16" s="78"/>
      <c r="E16" s="78"/>
      <c r="F16" s="79"/>
      <c r="K16" s="62"/>
      <c r="L16" s="62"/>
      <c r="M16" s="62"/>
      <c r="O16" s="63"/>
      <c r="P16" s="63"/>
      <c r="Q16" s="63"/>
    </row>
    <row r="17" spans="1:26" x14ac:dyDescent="0.3">
      <c r="A17" s="65" t="s">
        <v>130</v>
      </c>
      <c r="B17" s="66"/>
      <c r="C17" s="67">
        <f>ROUND(SUM(C19:C26),4)</f>
        <v>0.37130000000000002</v>
      </c>
      <c r="D17" s="66"/>
      <c r="E17" s="66"/>
      <c r="F17" s="68"/>
    </row>
    <row r="18" spans="1:26" x14ac:dyDescent="0.3">
      <c r="A18" s="69"/>
      <c r="B18" s="64"/>
      <c r="C18" s="64"/>
      <c r="D18" s="64"/>
      <c r="E18" s="64"/>
      <c r="F18" s="70"/>
    </row>
    <row r="19" spans="1:26" x14ac:dyDescent="0.3">
      <c r="A19" s="71" t="s">
        <v>88</v>
      </c>
      <c r="B19" s="72" t="s">
        <v>274</v>
      </c>
      <c r="C19" s="73">
        <v>0.2</v>
      </c>
      <c r="D19" s="444" t="s">
        <v>275</v>
      </c>
      <c r="E19" s="64"/>
      <c r="F19" s="70"/>
    </row>
    <row r="20" spans="1:26" x14ac:dyDescent="0.3">
      <c r="A20" s="71" t="s">
        <v>90</v>
      </c>
      <c r="B20" s="72" t="s">
        <v>132</v>
      </c>
      <c r="C20" s="73">
        <v>2.5000000000000001E-2</v>
      </c>
      <c r="D20" s="444"/>
      <c r="E20" s="64"/>
      <c r="F20" s="70"/>
    </row>
    <row r="21" spans="1:26" x14ac:dyDescent="0.3">
      <c r="A21" s="71" t="s">
        <v>93</v>
      </c>
      <c r="B21" s="72" t="s">
        <v>276</v>
      </c>
      <c r="C21" s="80">
        <v>3.3300000000000003E-2</v>
      </c>
      <c r="D21" s="444"/>
      <c r="E21" s="64"/>
      <c r="F21" s="70"/>
      <c r="H21" s="74"/>
      <c r="K21" s="62"/>
      <c r="L21" s="62"/>
      <c r="M21" s="62"/>
      <c r="O21" s="63"/>
      <c r="P21" s="63"/>
      <c r="Q21" s="63"/>
    </row>
    <row r="22" spans="1:26" x14ac:dyDescent="0.3">
      <c r="A22" s="71" t="s">
        <v>95</v>
      </c>
      <c r="B22" s="72" t="s">
        <v>277</v>
      </c>
      <c r="C22" s="73">
        <v>1.4999999999999999E-2</v>
      </c>
      <c r="D22" s="444"/>
      <c r="E22" s="64"/>
      <c r="F22" s="70"/>
      <c r="H22" s="81"/>
      <c r="I22" s="98"/>
    </row>
    <row r="23" spans="1:26" x14ac:dyDescent="0.3">
      <c r="A23" s="71" t="s">
        <v>120</v>
      </c>
      <c r="B23" s="72" t="s">
        <v>278</v>
      </c>
      <c r="C23" s="73">
        <v>0.01</v>
      </c>
      <c r="D23" s="444"/>
      <c r="E23" s="64"/>
      <c r="F23" s="70"/>
    </row>
    <row r="24" spans="1:26" x14ac:dyDescent="0.3">
      <c r="A24" s="71" t="s">
        <v>122</v>
      </c>
      <c r="B24" s="72" t="s">
        <v>279</v>
      </c>
      <c r="C24" s="73">
        <v>6.0000000000000001E-3</v>
      </c>
      <c r="D24" s="444"/>
      <c r="E24" s="64"/>
      <c r="F24" s="70"/>
      <c r="H24" s="63"/>
      <c r="I24" s="63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</row>
    <row r="25" spans="1:26" x14ac:dyDescent="0.3">
      <c r="A25" s="71" t="s">
        <v>137</v>
      </c>
      <c r="B25" s="72" t="s">
        <v>280</v>
      </c>
      <c r="C25" s="73">
        <v>2E-3</v>
      </c>
      <c r="D25" s="444"/>
      <c r="E25" s="64"/>
      <c r="F25" s="70"/>
    </row>
    <row r="26" spans="1:26" x14ac:dyDescent="0.3">
      <c r="A26" s="83" t="s">
        <v>139</v>
      </c>
      <c r="B26" s="84" t="s">
        <v>281</v>
      </c>
      <c r="C26" s="85">
        <v>0.08</v>
      </c>
      <c r="D26" s="445"/>
      <c r="E26" s="78"/>
      <c r="F26" s="79"/>
    </row>
    <row r="27" spans="1:26" x14ac:dyDescent="0.3">
      <c r="A27" s="64"/>
      <c r="B27" s="64"/>
      <c r="C27" s="64"/>
      <c r="D27" s="64"/>
      <c r="E27" s="64"/>
      <c r="F27" s="64"/>
      <c r="K27" s="62"/>
      <c r="L27" s="62"/>
      <c r="M27" s="62"/>
      <c r="O27" s="63"/>
      <c r="P27" s="63"/>
      <c r="Q27" s="63"/>
    </row>
    <row r="28" spans="1:26" x14ac:dyDescent="0.3">
      <c r="A28" s="65" t="s">
        <v>155</v>
      </c>
      <c r="B28" s="66"/>
      <c r="C28" s="67">
        <f>ROUND(SUM(C31:C65),4)</f>
        <v>4.7100000000000003E-2</v>
      </c>
      <c r="D28" s="66"/>
      <c r="E28" s="66"/>
      <c r="F28" s="68"/>
      <c r="K28" s="62"/>
      <c r="L28" s="62"/>
      <c r="M28" s="62"/>
      <c r="O28" s="63"/>
      <c r="P28" s="63"/>
      <c r="Q28" s="63"/>
    </row>
    <row r="29" spans="1:26" x14ac:dyDescent="0.3">
      <c r="A29" s="86" t="s">
        <v>156</v>
      </c>
      <c r="B29" s="64"/>
      <c r="C29" s="87"/>
      <c r="D29" s="64"/>
      <c r="E29" s="64"/>
      <c r="F29" s="70"/>
      <c r="K29" s="62"/>
      <c r="L29" s="62"/>
      <c r="M29" s="62"/>
      <c r="O29" s="63"/>
      <c r="P29" s="63"/>
      <c r="Q29" s="63"/>
    </row>
    <row r="30" spans="1:26" x14ac:dyDescent="0.3">
      <c r="A30" s="69"/>
      <c r="B30" s="64"/>
      <c r="C30" s="64"/>
      <c r="D30" s="64"/>
      <c r="E30" s="64"/>
      <c r="F30" s="70"/>
      <c r="K30" s="62"/>
      <c r="L30" s="62"/>
      <c r="M30" s="62"/>
      <c r="O30" s="63"/>
      <c r="P30" s="63"/>
      <c r="Q30" s="63"/>
    </row>
    <row r="31" spans="1:26" x14ac:dyDescent="0.3">
      <c r="A31" s="71" t="s">
        <v>88</v>
      </c>
      <c r="B31" s="72" t="s">
        <v>282</v>
      </c>
      <c r="C31" s="73">
        <f>H31</f>
        <v>4.1999999999999997E-3</v>
      </c>
      <c r="D31" s="64"/>
      <c r="E31" s="64"/>
      <c r="F31" s="70"/>
      <c r="H31" s="88">
        <f>ROUND(H32*(1/12),4)</f>
        <v>4.1999999999999997E-3</v>
      </c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</row>
    <row r="32" spans="1:26" x14ac:dyDescent="0.3">
      <c r="A32" s="71"/>
      <c r="B32" s="64" t="s">
        <v>283</v>
      </c>
      <c r="C32" s="89"/>
      <c r="D32" s="64"/>
      <c r="E32" s="64"/>
      <c r="F32" s="70"/>
      <c r="H32" s="90">
        <v>0.05</v>
      </c>
      <c r="I32" s="98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</row>
    <row r="33" spans="1:26" x14ac:dyDescent="0.3">
      <c r="A33" s="71"/>
      <c r="B33" s="64" t="s">
        <v>266</v>
      </c>
      <c r="C33" s="89"/>
      <c r="D33" s="64"/>
      <c r="E33" s="64"/>
      <c r="F33" s="70"/>
      <c r="K33" s="62"/>
      <c r="L33" s="62"/>
      <c r="M33" s="62"/>
      <c r="O33" s="63"/>
      <c r="P33" s="63"/>
      <c r="Q33" s="63"/>
    </row>
    <row r="34" spans="1:26" x14ac:dyDescent="0.3">
      <c r="A34" s="71"/>
      <c r="B34" s="91" t="s">
        <v>284</v>
      </c>
      <c r="C34" s="89"/>
      <c r="D34" s="64"/>
      <c r="E34" s="64"/>
      <c r="F34" s="70"/>
      <c r="K34" s="62"/>
      <c r="L34" s="62"/>
      <c r="M34" s="62"/>
      <c r="O34" s="63"/>
      <c r="P34" s="63"/>
      <c r="Q34" s="63"/>
    </row>
    <row r="35" spans="1:26" x14ac:dyDescent="0.3">
      <c r="A35" s="71"/>
      <c r="B35" s="91" t="s">
        <v>285</v>
      </c>
      <c r="C35" s="89"/>
      <c r="D35" s="64"/>
      <c r="E35" s="64"/>
      <c r="F35" s="70"/>
      <c r="K35" s="62"/>
      <c r="L35" s="62"/>
      <c r="M35" s="62"/>
      <c r="O35" s="63"/>
      <c r="P35" s="63"/>
      <c r="Q35" s="63"/>
    </row>
    <row r="36" spans="1:26" x14ac:dyDescent="0.3">
      <c r="A36" s="71"/>
      <c r="B36" s="91" t="s">
        <v>286</v>
      </c>
      <c r="C36" s="89"/>
      <c r="D36" s="64"/>
      <c r="E36" s="64"/>
      <c r="F36" s="70"/>
      <c r="K36" s="62"/>
      <c r="L36" s="62"/>
      <c r="M36" s="62"/>
      <c r="O36" s="63"/>
      <c r="P36" s="63"/>
      <c r="Q36" s="63"/>
    </row>
    <row r="37" spans="1:26" x14ac:dyDescent="0.3">
      <c r="A37" s="71"/>
      <c r="B37" s="91" t="s">
        <v>287</v>
      </c>
      <c r="C37" s="89"/>
      <c r="D37" s="64"/>
      <c r="E37" s="64"/>
      <c r="F37" s="70"/>
      <c r="H37" s="92"/>
      <c r="K37" s="62"/>
      <c r="L37" s="62"/>
      <c r="M37" s="62"/>
      <c r="O37" s="63"/>
      <c r="P37" s="63"/>
      <c r="Q37" s="63"/>
    </row>
    <row r="38" spans="1:26" x14ac:dyDescent="0.3">
      <c r="A38" s="71"/>
      <c r="B38" s="76"/>
      <c r="C38" s="73"/>
      <c r="D38" s="64"/>
      <c r="E38" s="64"/>
      <c r="F38" s="70"/>
      <c r="K38" s="62"/>
      <c r="L38" s="62"/>
      <c r="M38" s="62"/>
      <c r="O38" s="63"/>
      <c r="P38" s="63"/>
      <c r="Q38" s="63"/>
    </row>
    <row r="39" spans="1:26" x14ac:dyDescent="0.3">
      <c r="A39" s="71" t="s">
        <v>90</v>
      </c>
      <c r="B39" s="72" t="s">
        <v>288</v>
      </c>
      <c r="C39" s="93">
        <f>C31*C26</f>
        <v>3.3599999999999998E-4</v>
      </c>
      <c r="D39" s="94" t="s">
        <v>289</v>
      </c>
      <c r="E39" s="64"/>
      <c r="F39" s="70"/>
      <c r="H39" s="95"/>
      <c r="I39" s="96"/>
      <c r="K39" s="62"/>
      <c r="L39" s="62"/>
      <c r="M39" s="62"/>
      <c r="O39" s="63"/>
      <c r="P39" s="63"/>
      <c r="Q39" s="63"/>
    </row>
    <row r="40" spans="1:26" x14ac:dyDescent="0.3">
      <c r="A40" s="71"/>
      <c r="B40" s="64" t="s">
        <v>266</v>
      </c>
      <c r="C40" s="89"/>
      <c r="D40" s="64"/>
      <c r="E40" s="64"/>
      <c r="F40" s="70"/>
      <c r="K40" s="62"/>
      <c r="L40" s="62"/>
      <c r="M40" s="62"/>
      <c r="O40" s="63"/>
      <c r="P40" s="63"/>
      <c r="Q40" s="63"/>
    </row>
    <row r="41" spans="1:26" x14ac:dyDescent="0.3">
      <c r="A41" s="71"/>
      <c r="B41" s="91" t="s">
        <v>290</v>
      </c>
      <c r="C41" s="89"/>
      <c r="D41" s="64"/>
      <c r="E41" s="64"/>
      <c r="F41" s="70"/>
      <c r="K41" s="62"/>
      <c r="L41" s="62"/>
      <c r="M41" s="62"/>
      <c r="O41" s="63"/>
      <c r="P41" s="63"/>
      <c r="Q41" s="63"/>
    </row>
    <row r="42" spans="1:26" x14ac:dyDescent="0.3">
      <c r="A42" s="71"/>
      <c r="B42" s="91" t="s">
        <v>291</v>
      </c>
      <c r="C42" s="89"/>
      <c r="D42" s="64"/>
      <c r="E42" s="64"/>
      <c r="F42" s="70"/>
      <c r="K42" s="62"/>
      <c r="L42" s="62"/>
      <c r="M42" s="62"/>
      <c r="O42" s="63"/>
      <c r="P42" s="63"/>
      <c r="Q42" s="63"/>
    </row>
    <row r="43" spans="1:26" x14ac:dyDescent="0.3">
      <c r="A43" s="71"/>
      <c r="B43" s="76"/>
      <c r="C43" s="73"/>
      <c r="D43" s="64"/>
      <c r="E43" s="64"/>
      <c r="F43" s="70"/>
      <c r="K43" s="62"/>
      <c r="L43" s="62"/>
      <c r="M43" s="62"/>
      <c r="O43" s="63"/>
      <c r="P43" s="63"/>
      <c r="Q43" s="63"/>
    </row>
    <row r="44" spans="1:26" x14ac:dyDescent="0.3">
      <c r="A44" s="71" t="s">
        <v>93</v>
      </c>
      <c r="B44" s="72" t="s">
        <v>292</v>
      </c>
      <c r="C44" s="73">
        <f>H44</f>
        <v>3.49E-2</v>
      </c>
      <c r="D44" s="94"/>
      <c r="E44" s="64"/>
      <c r="F44" s="70"/>
      <c r="H44" s="97">
        <f>ROUND((0.08*0.4*0.9)*(1+1/11+1/11+1/3*1/11),4)</f>
        <v>3.49E-2</v>
      </c>
      <c r="K44" s="62"/>
      <c r="L44" s="62"/>
      <c r="M44" s="62"/>
      <c r="O44" s="63"/>
      <c r="P44" s="63"/>
      <c r="Q44" s="63"/>
    </row>
    <row r="45" spans="1:26" ht="12.75" customHeight="1" x14ac:dyDescent="0.3">
      <c r="A45" s="71"/>
      <c r="B45" s="446" t="s">
        <v>293</v>
      </c>
      <c r="C45" s="446"/>
      <c r="D45" s="446"/>
      <c r="E45" s="446"/>
      <c r="F45" s="447"/>
      <c r="H45" s="90"/>
      <c r="I45" s="98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</row>
    <row r="46" spans="1:26" ht="39" customHeight="1" x14ac:dyDescent="0.3">
      <c r="A46" s="71"/>
      <c r="B46" s="439" t="s">
        <v>294</v>
      </c>
      <c r="C46" s="439"/>
      <c r="D46" s="439"/>
      <c r="E46" s="439"/>
      <c r="F46" s="440"/>
      <c r="K46" s="62"/>
      <c r="L46" s="62"/>
      <c r="M46" s="62"/>
      <c r="O46" s="63"/>
      <c r="P46" s="63"/>
      <c r="Q46" s="63"/>
    </row>
    <row r="47" spans="1:26" x14ac:dyDescent="0.3">
      <c r="A47" s="71"/>
      <c r="B47" s="441" t="s">
        <v>295</v>
      </c>
      <c r="C47" s="441"/>
      <c r="D47" s="64"/>
      <c r="E47" s="64"/>
      <c r="F47" s="70"/>
      <c r="K47" s="62"/>
      <c r="L47" s="62"/>
      <c r="M47" s="62"/>
      <c r="O47" s="63"/>
      <c r="P47" s="63"/>
      <c r="Q47" s="63"/>
    </row>
    <row r="48" spans="1:26" x14ac:dyDescent="0.3">
      <c r="A48" s="71"/>
      <c r="B48" s="91" t="s">
        <v>296</v>
      </c>
      <c r="C48" s="64"/>
      <c r="D48" s="64"/>
      <c r="E48" s="64"/>
      <c r="F48" s="70"/>
      <c r="K48" s="62"/>
      <c r="L48" s="62"/>
      <c r="M48" s="62"/>
      <c r="O48" s="63"/>
      <c r="P48" s="63"/>
      <c r="Q48" s="63"/>
    </row>
    <row r="49" spans="1:26" x14ac:dyDescent="0.3">
      <c r="A49" s="71"/>
      <c r="B49" s="76"/>
      <c r="C49" s="73"/>
      <c r="D49" s="64"/>
      <c r="E49" s="64"/>
      <c r="F49" s="70"/>
      <c r="K49" s="62"/>
      <c r="L49" s="62"/>
      <c r="M49" s="62"/>
      <c r="O49" s="63"/>
      <c r="P49" s="63"/>
      <c r="Q49" s="63"/>
    </row>
    <row r="50" spans="1:26" x14ac:dyDescent="0.3">
      <c r="A50" s="71" t="s">
        <v>95</v>
      </c>
      <c r="B50" s="72" t="s">
        <v>160</v>
      </c>
      <c r="C50" s="73">
        <f>H50</f>
        <v>1.9E-3</v>
      </c>
      <c r="D50" s="64"/>
      <c r="E50" s="64"/>
      <c r="F50" s="70"/>
      <c r="H50" s="88">
        <f>ROUND(((7/30)/12)*H51,4)</f>
        <v>1.9E-3</v>
      </c>
      <c r="K50" s="62"/>
      <c r="L50" s="62"/>
      <c r="M50" s="62"/>
      <c r="O50" s="63"/>
      <c r="P50" s="63"/>
      <c r="Q50" s="63"/>
    </row>
    <row r="51" spans="1:26" x14ac:dyDescent="0.3">
      <c r="A51" s="99"/>
      <c r="B51" s="75" t="s">
        <v>297</v>
      </c>
      <c r="C51" s="73"/>
      <c r="D51" s="64"/>
      <c r="E51" s="64"/>
      <c r="F51" s="70"/>
      <c r="H51" s="100">
        <v>0.1</v>
      </c>
      <c r="K51" s="62"/>
      <c r="L51" s="62"/>
      <c r="M51" s="62"/>
      <c r="O51" s="63"/>
      <c r="P51" s="63"/>
      <c r="Q51" s="63"/>
    </row>
    <row r="52" spans="1:26" x14ac:dyDescent="0.3">
      <c r="A52" s="71"/>
      <c r="B52" s="75" t="s">
        <v>298</v>
      </c>
      <c r="C52" s="73"/>
      <c r="D52" s="64"/>
      <c r="E52" s="64"/>
      <c r="F52" s="70"/>
      <c r="I52" s="98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</row>
    <row r="53" spans="1:26" x14ac:dyDescent="0.3">
      <c r="A53" s="71"/>
      <c r="B53" s="75" t="s">
        <v>299</v>
      </c>
      <c r="C53" s="73"/>
      <c r="D53" s="64"/>
      <c r="E53" s="64"/>
      <c r="F53" s="70"/>
      <c r="K53" s="62"/>
      <c r="L53" s="62"/>
      <c r="M53" s="62"/>
      <c r="O53" s="63"/>
      <c r="P53" s="63"/>
      <c r="Q53" s="63"/>
    </row>
    <row r="54" spans="1:26" x14ac:dyDescent="0.3">
      <c r="A54" s="71"/>
      <c r="B54" s="75" t="s">
        <v>266</v>
      </c>
      <c r="C54" s="73"/>
      <c r="D54" s="64"/>
      <c r="E54" s="64"/>
      <c r="F54" s="70"/>
      <c r="K54" s="62"/>
      <c r="L54" s="62"/>
      <c r="M54" s="62"/>
      <c r="O54" s="63"/>
      <c r="P54" s="63"/>
      <c r="Q54" s="63"/>
    </row>
    <row r="55" spans="1:26" x14ac:dyDescent="0.3">
      <c r="A55" s="71"/>
      <c r="B55" s="76" t="s">
        <v>300</v>
      </c>
      <c r="C55" s="73"/>
      <c r="D55" s="64"/>
      <c r="E55" s="64"/>
      <c r="F55" s="70"/>
      <c r="K55" s="62"/>
      <c r="L55" s="62"/>
      <c r="M55" s="62"/>
      <c r="O55" s="63"/>
      <c r="P55" s="63"/>
      <c r="Q55" s="63"/>
    </row>
    <row r="56" spans="1:26" x14ac:dyDescent="0.3">
      <c r="A56" s="71"/>
      <c r="B56" s="76" t="s">
        <v>301</v>
      </c>
      <c r="C56" s="73"/>
      <c r="D56" s="64"/>
      <c r="E56" s="64"/>
      <c r="F56" s="70"/>
      <c r="K56" s="62"/>
      <c r="L56" s="62"/>
      <c r="M56" s="62"/>
      <c r="O56" s="63"/>
      <c r="P56" s="63"/>
      <c r="Q56" s="63"/>
    </row>
    <row r="57" spans="1:26" x14ac:dyDescent="0.3">
      <c r="A57" s="71"/>
      <c r="B57" s="76" t="s">
        <v>302</v>
      </c>
      <c r="C57" s="73"/>
      <c r="D57" s="64"/>
      <c r="E57" s="64"/>
      <c r="F57" s="70"/>
      <c r="K57" s="62"/>
      <c r="L57" s="62"/>
      <c r="M57" s="62"/>
      <c r="O57" s="63"/>
      <c r="P57" s="63"/>
      <c r="Q57" s="63"/>
    </row>
    <row r="58" spans="1:26" x14ac:dyDescent="0.3">
      <c r="A58" s="71"/>
      <c r="B58" s="76" t="s">
        <v>303</v>
      </c>
      <c r="C58" s="73"/>
      <c r="D58" s="64"/>
      <c r="E58" s="64"/>
      <c r="F58" s="70"/>
      <c r="K58" s="62"/>
      <c r="L58" s="62"/>
      <c r="M58" s="62"/>
      <c r="O58" s="63"/>
      <c r="P58" s="63"/>
      <c r="Q58" s="63"/>
    </row>
    <row r="59" spans="1:26" x14ac:dyDescent="0.3">
      <c r="A59" s="71"/>
      <c r="B59" s="76"/>
      <c r="C59" s="73"/>
      <c r="D59" s="64"/>
      <c r="E59" s="64"/>
      <c r="F59" s="70"/>
      <c r="K59" s="62"/>
      <c r="L59" s="62"/>
      <c r="M59" s="62"/>
      <c r="O59" s="63"/>
      <c r="P59" s="63"/>
      <c r="Q59" s="63"/>
    </row>
    <row r="60" spans="1:26" x14ac:dyDescent="0.3">
      <c r="A60" s="71" t="s">
        <v>120</v>
      </c>
      <c r="B60" s="72" t="s">
        <v>304</v>
      </c>
      <c r="C60" s="93">
        <f>C50*C17</f>
        <v>7.0547000000000003E-4</v>
      </c>
      <c r="D60" s="94" t="s">
        <v>289</v>
      </c>
      <c r="E60" s="64"/>
      <c r="F60" s="70"/>
      <c r="K60" s="62"/>
      <c r="L60" s="62"/>
      <c r="M60" s="62"/>
      <c r="O60" s="63"/>
      <c r="P60" s="63"/>
      <c r="Q60" s="63"/>
    </row>
    <row r="61" spans="1:26" x14ac:dyDescent="0.3">
      <c r="A61" s="71"/>
      <c r="B61" s="76"/>
      <c r="C61" s="73"/>
      <c r="D61" s="64"/>
      <c r="E61" s="64"/>
      <c r="F61" s="70"/>
      <c r="K61" s="62"/>
      <c r="L61" s="62"/>
      <c r="M61" s="62"/>
      <c r="O61" s="63"/>
      <c r="P61" s="63"/>
      <c r="Q61" s="63"/>
    </row>
    <row r="62" spans="1:26" x14ac:dyDescent="0.3">
      <c r="A62" s="71" t="s">
        <v>122</v>
      </c>
      <c r="B62" s="72" t="s">
        <v>305</v>
      </c>
      <c r="C62" s="73">
        <v>5.1000000000000004E-3</v>
      </c>
      <c r="D62" s="94"/>
      <c r="E62" s="64"/>
      <c r="F62" s="70"/>
      <c r="H62" s="88"/>
      <c r="K62" s="62"/>
      <c r="L62" s="62"/>
      <c r="M62" s="62"/>
      <c r="O62" s="63"/>
      <c r="P62" s="63"/>
      <c r="Q62" s="63"/>
    </row>
    <row r="63" spans="1:26" ht="17.25" customHeight="1" x14ac:dyDescent="0.3">
      <c r="A63" s="69"/>
      <c r="B63" s="446" t="s">
        <v>306</v>
      </c>
      <c r="C63" s="446"/>
      <c r="D63" s="446"/>
      <c r="E63" s="446"/>
      <c r="F63" s="447"/>
      <c r="H63" s="90"/>
      <c r="I63" s="98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</row>
    <row r="64" spans="1:26" ht="77.25" customHeight="1" x14ac:dyDescent="0.3">
      <c r="A64" s="69"/>
      <c r="B64" s="439" t="s">
        <v>307</v>
      </c>
      <c r="C64" s="439"/>
      <c r="D64" s="439"/>
      <c r="E64" s="439"/>
      <c r="F64" s="440"/>
      <c r="H64" s="90"/>
      <c r="I64" s="98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</row>
    <row r="65" spans="1:26" x14ac:dyDescent="0.3">
      <c r="A65" s="69"/>
      <c r="B65" s="441" t="s">
        <v>308</v>
      </c>
      <c r="C65" s="442"/>
      <c r="D65" s="64"/>
      <c r="E65" s="64"/>
      <c r="F65" s="70"/>
      <c r="K65" s="62"/>
      <c r="L65" s="62"/>
      <c r="M65" s="62"/>
      <c r="O65" s="63"/>
      <c r="P65" s="63"/>
      <c r="Q65" s="63"/>
    </row>
    <row r="66" spans="1:26" x14ac:dyDescent="0.3">
      <c r="A66" s="77"/>
      <c r="B66" s="101" t="s">
        <v>309</v>
      </c>
      <c r="C66" s="78"/>
      <c r="D66" s="78"/>
      <c r="E66" s="78"/>
      <c r="F66" s="79"/>
      <c r="K66" s="62"/>
      <c r="L66" s="62"/>
      <c r="M66" s="62"/>
      <c r="O66" s="63"/>
      <c r="P66" s="63"/>
      <c r="Q66" s="63"/>
    </row>
    <row r="67" spans="1:26" x14ac:dyDescent="0.3">
      <c r="A67" s="64"/>
      <c r="B67" s="64"/>
      <c r="C67" s="64"/>
      <c r="D67" s="64"/>
      <c r="E67" s="64"/>
      <c r="F67" s="64"/>
      <c r="K67" s="62"/>
      <c r="L67" s="62"/>
      <c r="M67" s="62"/>
      <c r="O67" s="63"/>
      <c r="P67" s="63"/>
      <c r="Q67" s="63"/>
    </row>
    <row r="68" spans="1:26" x14ac:dyDescent="0.3">
      <c r="A68" s="65" t="s">
        <v>164</v>
      </c>
      <c r="B68" s="66"/>
      <c r="C68" s="67">
        <f>ROUND(SUM(C71:C117),4)</f>
        <v>1.9199999999999998E-2</v>
      </c>
      <c r="D68" s="66"/>
      <c r="E68" s="66"/>
      <c r="F68" s="68"/>
      <c r="K68" s="62"/>
      <c r="L68" s="62"/>
      <c r="M68" s="62"/>
      <c r="O68" s="63"/>
      <c r="P68" s="63"/>
      <c r="Q68" s="63"/>
    </row>
    <row r="69" spans="1:26" x14ac:dyDescent="0.3">
      <c r="A69" s="86" t="s">
        <v>310</v>
      </c>
      <c r="B69" s="64"/>
      <c r="C69" s="87"/>
      <c r="D69" s="64"/>
      <c r="E69" s="64"/>
      <c r="F69" s="70"/>
      <c r="K69" s="62"/>
      <c r="L69" s="62"/>
      <c r="M69" s="62"/>
      <c r="O69" s="63"/>
      <c r="P69" s="63"/>
      <c r="Q69" s="63"/>
    </row>
    <row r="70" spans="1:26" x14ac:dyDescent="0.3">
      <c r="A70" s="69"/>
      <c r="B70" s="64"/>
      <c r="C70" s="64"/>
      <c r="D70" s="64"/>
      <c r="E70" s="64"/>
      <c r="F70" s="70"/>
      <c r="K70" s="62"/>
      <c r="L70" s="62"/>
      <c r="M70" s="62"/>
      <c r="O70" s="63"/>
      <c r="P70" s="63"/>
      <c r="Q70" s="63"/>
    </row>
    <row r="71" spans="1:26" x14ac:dyDescent="0.3">
      <c r="A71" s="71" t="s">
        <v>88</v>
      </c>
      <c r="B71" s="72" t="s">
        <v>166</v>
      </c>
      <c r="C71" s="73">
        <f>H71</f>
        <v>9.2999999999999992E-3</v>
      </c>
      <c r="D71" s="64"/>
      <c r="E71" s="64"/>
      <c r="F71" s="70"/>
      <c r="H71" s="74">
        <f>ROUND(((1/12)+(1/12/3))/12,4)</f>
        <v>9.2999999999999992E-3</v>
      </c>
      <c r="K71" s="62"/>
      <c r="L71" s="62"/>
      <c r="M71" s="62"/>
      <c r="O71" s="63"/>
      <c r="P71" s="63"/>
      <c r="Q71" s="63"/>
    </row>
    <row r="72" spans="1:26" x14ac:dyDescent="0.3">
      <c r="A72" s="71"/>
      <c r="B72" s="75" t="s">
        <v>266</v>
      </c>
      <c r="C72" s="89"/>
      <c r="D72" s="64"/>
      <c r="E72" s="64"/>
      <c r="F72" s="70"/>
      <c r="K72" s="62"/>
      <c r="L72" s="62"/>
      <c r="M72" s="62"/>
      <c r="O72" s="63"/>
      <c r="P72" s="63"/>
      <c r="Q72" s="63"/>
    </row>
    <row r="73" spans="1:26" x14ac:dyDescent="0.3">
      <c r="A73" s="71"/>
      <c r="B73" s="76" t="s">
        <v>311</v>
      </c>
      <c r="C73" s="89"/>
      <c r="D73" s="64"/>
      <c r="E73" s="64"/>
      <c r="F73" s="70"/>
      <c r="K73" s="62"/>
      <c r="L73" s="62"/>
      <c r="M73" s="62"/>
      <c r="O73" s="63"/>
      <c r="P73" s="63"/>
      <c r="Q73" s="63"/>
    </row>
    <row r="74" spans="1:26" x14ac:dyDescent="0.3">
      <c r="A74" s="71"/>
      <c r="B74" s="76" t="s">
        <v>312</v>
      </c>
      <c r="C74" s="89"/>
      <c r="D74" s="64"/>
      <c r="E74" s="64"/>
      <c r="F74" s="70"/>
      <c r="K74" s="62"/>
      <c r="L74" s="62"/>
      <c r="M74" s="62"/>
      <c r="O74" s="63"/>
      <c r="P74" s="63"/>
      <c r="Q74" s="63"/>
    </row>
    <row r="75" spans="1:26" x14ac:dyDescent="0.3">
      <c r="A75" s="71"/>
      <c r="B75" s="76" t="s">
        <v>273</v>
      </c>
      <c r="C75" s="89"/>
      <c r="D75" s="64"/>
      <c r="E75" s="64"/>
      <c r="F75" s="70"/>
      <c r="H75" s="92"/>
      <c r="K75" s="62"/>
      <c r="L75" s="62"/>
      <c r="M75" s="62"/>
      <c r="O75" s="63"/>
      <c r="P75" s="63"/>
      <c r="Q75" s="63"/>
    </row>
    <row r="76" spans="1:26" x14ac:dyDescent="0.3">
      <c r="A76" s="71"/>
      <c r="B76" s="76"/>
      <c r="C76" s="73"/>
      <c r="D76" s="64"/>
      <c r="E76" s="64"/>
      <c r="F76" s="70"/>
      <c r="K76" s="62"/>
      <c r="L76" s="62"/>
      <c r="M76" s="62"/>
      <c r="O76" s="63"/>
      <c r="P76" s="63"/>
      <c r="Q76" s="63"/>
    </row>
    <row r="77" spans="1:26" x14ac:dyDescent="0.3">
      <c r="A77" s="71" t="s">
        <v>90</v>
      </c>
      <c r="B77" s="72" t="s">
        <v>167</v>
      </c>
      <c r="C77" s="73">
        <f>H77</f>
        <v>5.5999999999999999E-3</v>
      </c>
      <c r="D77" s="64"/>
      <c r="E77" s="64"/>
      <c r="F77" s="70"/>
      <c r="H77" s="74">
        <f>ROUND((H78/30)/12,4)</f>
        <v>5.5999999999999999E-3</v>
      </c>
      <c r="K77" s="62"/>
      <c r="L77" s="62"/>
      <c r="M77" s="62"/>
      <c r="O77" s="63"/>
      <c r="P77" s="63"/>
      <c r="Q77" s="63"/>
    </row>
    <row r="78" spans="1:26" x14ac:dyDescent="0.3">
      <c r="A78" s="71"/>
      <c r="B78" s="75" t="s">
        <v>297</v>
      </c>
      <c r="C78" s="73"/>
      <c r="D78" s="64"/>
      <c r="E78" s="64"/>
      <c r="F78" s="70"/>
      <c r="H78" s="100">
        <v>2</v>
      </c>
      <c r="I78" s="98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</row>
    <row r="79" spans="1:26" x14ac:dyDescent="0.3">
      <c r="A79" s="71"/>
      <c r="B79" s="75" t="s">
        <v>313</v>
      </c>
      <c r="C79" s="73"/>
      <c r="D79" s="64"/>
      <c r="E79" s="64"/>
      <c r="F79" s="70"/>
      <c r="K79" s="62"/>
      <c r="L79" s="62"/>
      <c r="M79" s="62"/>
      <c r="O79" s="63"/>
      <c r="P79" s="63"/>
      <c r="Q79" s="63"/>
    </row>
    <row r="80" spans="1:26" x14ac:dyDescent="0.3">
      <c r="A80" s="71"/>
      <c r="B80" s="75" t="s">
        <v>266</v>
      </c>
      <c r="C80" s="73"/>
      <c r="D80" s="64"/>
      <c r="E80" s="64"/>
      <c r="F80" s="70"/>
      <c r="K80" s="62"/>
      <c r="L80" s="62"/>
      <c r="M80" s="62"/>
      <c r="O80" s="63"/>
      <c r="P80" s="63"/>
      <c r="Q80" s="63"/>
    </row>
    <row r="81" spans="1:26" x14ac:dyDescent="0.3">
      <c r="A81" s="71"/>
      <c r="B81" s="75" t="s">
        <v>314</v>
      </c>
      <c r="C81" s="73"/>
      <c r="D81" s="64"/>
      <c r="E81" s="64"/>
      <c r="F81" s="70"/>
      <c r="H81" s="92"/>
      <c r="K81" s="62"/>
      <c r="L81" s="62"/>
      <c r="M81" s="62"/>
      <c r="O81" s="63"/>
      <c r="P81" s="63"/>
      <c r="Q81" s="63"/>
    </row>
    <row r="82" spans="1:26" x14ac:dyDescent="0.3">
      <c r="A82" s="71"/>
      <c r="B82" s="76" t="s">
        <v>315</v>
      </c>
      <c r="C82" s="73"/>
      <c r="D82" s="64"/>
      <c r="E82" s="64"/>
      <c r="F82" s="70"/>
      <c r="K82" s="62"/>
      <c r="L82" s="62"/>
      <c r="M82" s="62"/>
      <c r="O82" s="63"/>
      <c r="P82" s="63"/>
      <c r="Q82" s="63"/>
    </row>
    <row r="83" spans="1:26" x14ac:dyDescent="0.3">
      <c r="A83" s="71"/>
      <c r="B83" s="76" t="s">
        <v>316</v>
      </c>
      <c r="C83" s="73"/>
      <c r="D83" s="64"/>
      <c r="E83" s="64"/>
      <c r="F83" s="70"/>
      <c r="K83" s="62"/>
      <c r="L83" s="62"/>
      <c r="M83" s="62"/>
      <c r="O83" s="63"/>
      <c r="P83" s="63"/>
      <c r="Q83" s="63"/>
    </row>
    <row r="84" spans="1:26" x14ac:dyDescent="0.3">
      <c r="A84" s="71"/>
      <c r="B84" s="76" t="s">
        <v>317</v>
      </c>
      <c r="C84" s="73"/>
      <c r="D84" s="64"/>
      <c r="E84" s="64"/>
      <c r="F84" s="70"/>
      <c r="K84" s="62"/>
      <c r="L84" s="62"/>
      <c r="M84" s="62"/>
      <c r="O84" s="63"/>
      <c r="P84" s="63"/>
      <c r="Q84" s="63"/>
    </row>
    <row r="85" spans="1:26" x14ac:dyDescent="0.3">
      <c r="A85" s="71"/>
      <c r="B85" s="76"/>
      <c r="C85" s="73"/>
      <c r="D85" s="64"/>
      <c r="E85" s="64"/>
      <c r="F85" s="70"/>
      <c r="K85" s="62"/>
      <c r="L85" s="62"/>
      <c r="M85" s="62"/>
      <c r="O85" s="63"/>
      <c r="P85" s="63"/>
      <c r="Q85" s="63"/>
    </row>
    <row r="86" spans="1:26" x14ac:dyDescent="0.3">
      <c r="A86" s="71" t="s">
        <v>93</v>
      </c>
      <c r="B86" s="72" t="s">
        <v>168</v>
      </c>
      <c r="C86" s="73">
        <f>H86</f>
        <v>5.9999999999999995E-4</v>
      </c>
      <c r="D86" s="94"/>
      <c r="E86" s="64"/>
      <c r="F86" s="70"/>
      <c r="H86" s="74">
        <f>ROUND(((5/30)/12)*H87,4)</f>
        <v>5.9999999999999995E-4</v>
      </c>
      <c r="K86" s="62"/>
      <c r="L86" s="62"/>
      <c r="M86" s="62"/>
      <c r="O86" s="63"/>
      <c r="P86" s="63"/>
      <c r="Q86" s="63"/>
    </row>
    <row r="87" spans="1:26" x14ac:dyDescent="0.3">
      <c r="A87" s="71"/>
      <c r="B87" s="75" t="s">
        <v>297</v>
      </c>
      <c r="C87" s="75"/>
      <c r="D87" s="64"/>
      <c r="E87" s="64"/>
      <c r="F87" s="70"/>
      <c r="H87" s="100">
        <v>0.04</v>
      </c>
      <c r="I87" s="98"/>
      <c r="K87" s="62"/>
      <c r="L87" s="62"/>
      <c r="M87" s="62"/>
      <c r="O87" s="63"/>
      <c r="P87" s="63"/>
      <c r="Q87" s="63"/>
    </row>
    <row r="88" spans="1:26" x14ac:dyDescent="0.3">
      <c r="A88" s="71"/>
      <c r="B88" s="75" t="s">
        <v>318</v>
      </c>
      <c r="C88" s="75"/>
      <c r="D88" s="64"/>
      <c r="E88" s="64"/>
      <c r="F88" s="70"/>
      <c r="K88" s="62"/>
      <c r="L88" s="62"/>
      <c r="M88" s="62"/>
      <c r="O88" s="63"/>
      <c r="P88" s="63"/>
      <c r="Q88" s="63"/>
    </row>
    <row r="89" spans="1:26" x14ac:dyDescent="0.3">
      <c r="A89" s="71"/>
      <c r="B89" s="75" t="s">
        <v>319</v>
      </c>
      <c r="C89" s="75"/>
      <c r="D89" s="64"/>
      <c r="E89" s="64"/>
      <c r="F89" s="70"/>
      <c r="K89" s="62"/>
      <c r="L89" s="62"/>
      <c r="M89" s="62"/>
      <c r="O89" s="63"/>
      <c r="P89" s="63"/>
      <c r="Q89" s="63"/>
    </row>
    <row r="90" spans="1:26" x14ac:dyDescent="0.3">
      <c r="A90" s="71"/>
      <c r="B90" s="76" t="s">
        <v>320</v>
      </c>
      <c r="C90" s="76"/>
      <c r="D90" s="64"/>
      <c r="E90" s="64"/>
      <c r="F90" s="70"/>
      <c r="K90" s="62"/>
      <c r="L90" s="62"/>
      <c r="M90" s="62"/>
      <c r="O90" s="63"/>
      <c r="P90" s="63"/>
      <c r="Q90" s="63"/>
    </row>
    <row r="91" spans="1:26" x14ac:dyDescent="0.3">
      <c r="A91" s="71"/>
      <c r="B91" s="75" t="s">
        <v>266</v>
      </c>
      <c r="C91" s="75"/>
      <c r="D91" s="64"/>
      <c r="E91" s="64"/>
      <c r="F91" s="70"/>
      <c r="K91" s="62"/>
      <c r="L91" s="62"/>
      <c r="M91" s="62"/>
      <c r="O91" s="63"/>
      <c r="P91" s="63"/>
      <c r="Q91" s="63"/>
    </row>
    <row r="92" spans="1:26" x14ac:dyDescent="0.3">
      <c r="A92" s="71"/>
      <c r="B92" s="75" t="s">
        <v>321</v>
      </c>
      <c r="C92" s="75"/>
      <c r="D92" s="64"/>
      <c r="E92" s="64"/>
      <c r="F92" s="70"/>
      <c r="H92" s="63"/>
      <c r="I92" s="63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</row>
    <row r="93" spans="1:26" x14ac:dyDescent="0.3">
      <c r="A93" s="71"/>
      <c r="B93" s="76" t="s">
        <v>322</v>
      </c>
      <c r="C93" s="76"/>
      <c r="D93" s="64"/>
      <c r="E93" s="64"/>
      <c r="F93" s="70"/>
      <c r="K93" s="62"/>
      <c r="L93" s="62"/>
      <c r="M93" s="62"/>
      <c r="O93" s="63"/>
      <c r="P93" s="63"/>
      <c r="Q93" s="63"/>
    </row>
    <row r="94" spans="1:26" x14ac:dyDescent="0.3">
      <c r="A94" s="71"/>
      <c r="B94" s="76" t="s">
        <v>323</v>
      </c>
      <c r="C94" s="76"/>
      <c r="D94" s="64"/>
      <c r="E94" s="64"/>
      <c r="F94" s="70"/>
      <c r="K94" s="62"/>
      <c r="L94" s="62"/>
      <c r="M94" s="62"/>
      <c r="O94" s="63"/>
      <c r="P94" s="63"/>
      <c r="Q94" s="63"/>
    </row>
    <row r="95" spans="1:26" x14ac:dyDescent="0.3">
      <c r="A95" s="71"/>
      <c r="B95" s="76" t="s">
        <v>324</v>
      </c>
      <c r="C95" s="76"/>
      <c r="D95" s="64"/>
      <c r="E95" s="64"/>
      <c r="F95" s="70"/>
      <c r="K95" s="62"/>
      <c r="L95" s="62"/>
      <c r="M95" s="62"/>
      <c r="O95" s="63"/>
      <c r="P95" s="63"/>
      <c r="Q95" s="63"/>
    </row>
    <row r="96" spans="1:26" x14ac:dyDescent="0.3">
      <c r="A96" s="71"/>
      <c r="B96" s="76" t="s">
        <v>325</v>
      </c>
      <c r="C96" s="76"/>
      <c r="D96" s="64"/>
      <c r="E96" s="64"/>
      <c r="F96" s="70"/>
      <c r="K96" s="62"/>
      <c r="L96" s="62"/>
      <c r="M96" s="62"/>
      <c r="O96" s="63"/>
      <c r="P96" s="63"/>
      <c r="Q96" s="63"/>
    </row>
    <row r="97" spans="1:26" x14ac:dyDescent="0.3">
      <c r="A97" s="71"/>
      <c r="B97" s="76" t="s">
        <v>326</v>
      </c>
      <c r="C97" s="76"/>
      <c r="D97" s="64"/>
      <c r="E97" s="64"/>
      <c r="F97" s="70"/>
      <c r="K97" s="62"/>
      <c r="L97" s="62"/>
      <c r="M97" s="62"/>
      <c r="O97" s="63"/>
      <c r="P97" s="63"/>
      <c r="Q97" s="63"/>
    </row>
    <row r="98" spans="1:26" x14ac:dyDescent="0.3">
      <c r="A98" s="71"/>
      <c r="B98" s="76"/>
      <c r="C98" s="73"/>
      <c r="D98" s="64"/>
      <c r="E98" s="64"/>
      <c r="F98" s="70"/>
      <c r="K98" s="62"/>
      <c r="L98" s="62"/>
      <c r="M98" s="62"/>
      <c r="O98" s="63"/>
      <c r="P98" s="63"/>
      <c r="Q98" s="63"/>
    </row>
    <row r="99" spans="1:26" x14ac:dyDescent="0.3">
      <c r="A99" s="71" t="s">
        <v>95</v>
      </c>
      <c r="B99" s="72" t="s">
        <v>169</v>
      </c>
      <c r="C99" s="73">
        <f>H99</f>
        <v>3.3E-3</v>
      </c>
      <c r="D99" s="94"/>
      <c r="E99" s="64"/>
      <c r="F99" s="70"/>
      <c r="H99" s="74">
        <f>ROUND(((15/30)/12)*H100,4)</f>
        <v>3.3E-3</v>
      </c>
      <c r="K99" s="62"/>
      <c r="L99" s="62"/>
      <c r="M99" s="62"/>
      <c r="O99" s="63"/>
      <c r="P99" s="63"/>
      <c r="Q99" s="63"/>
    </row>
    <row r="100" spans="1:26" x14ac:dyDescent="0.3">
      <c r="A100" s="71"/>
      <c r="B100" s="75" t="s">
        <v>297</v>
      </c>
      <c r="C100" s="73"/>
      <c r="D100" s="64"/>
      <c r="E100" s="64"/>
      <c r="F100" s="70"/>
      <c r="H100" s="100">
        <v>0.08</v>
      </c>
      <c r="I100" s="98"/>
      <c r="K100" s="62"/>
      <c r="L100" s="62"/>
      <c r="M100" s="62"/>
      <c r="O100" s="63"/>
      <c r="P100" s="63"/>
      <c r="Q100" s="63"/>
    </row>
    <row r="101" spans="1:26" x14ac:dyDescent="0.3">
      <c r="A101" s="71"/>
      <c r="B101" s="75" t="s">
        <v>327</v>
      </c>
      <c r="C101" s="73"/>
      <c r="D101" s="64"/>
      <c r="E101" s="64"/>
      <c r="F101" s="70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</row>
    <row r="102" spans="1:26" x14ac:dyDescent="0.3">
      <c r="A102" s="71"/>
      <c r="B102" s="75" t="s">
        <v>266</v>
      </c>
      <c r="C102" s="73"/>
      <c r="D102" s="64"/>
      <c r="E102" s="64"/>
      <c r="F102" s="70"/>
      <c r="K102" s="62"/>
      <c r="L102" s="62"/>
      <c r="M102" s="62"/>
      <c r="O102" s="63"/>
      <c r="P102" s="63"/>
      <c r="Q102" s="63"/>
    </row>
    <row r="103" spans="1:26" x14ac:dyDescent="0.3">
      <c r="A103" s="71"/>
      <c r="B103" s="76" t="s">
        <v>328</v>
      </c>
      <c r="C103" s="73"/>
      <c r="D103" s="64"/>
      <c r="E103" s="64"/>
      <c r="F103" s="70"/>
      <c r="K103" s="62"/>
      <c r="L103" s="62"/>
      <c r="M103" s="62"/>
      <c r="O103" s="63"/>
      <c r="P103" s="63"/>
      <c r="Q103" s="63"/>
    </row>
    <row r="104" spans="1:26" x14ac:dyDescent="0.3">
      <c r="A104" s="71"/>
      <c r="B104" s="76" t="s">
        <v>329</v>
      </c>
      <c r="C104" s="73"/>
      <c r="D104" s="64"/>
      <c r="E104" s="64"/>
      <c r="F104" s="70"/>
      <c r="K104" s="62"/>
      <c r="L104" s="62"/>
      <c r="M104" s="62"/>
      <c r="O104" s="63"/>
      <c r="P104" s="63"/>
      <c r="Q104" s="63"/>
    </row>
    <row r="105" spans="1:26" x14ac:dyDescent="0.3">
      <c r="A105" s="71"/>
      <c r="B105" s="76" t="s">
        <v>330</v>
      </c>
      <c r="C105" s="73"/>
      <c r="D105" s="64"/>
      <c r="E105" s="64"/>
      <c r="F105" s="70"/>
      <c r="K105" s="62"/>
      <c r="L105" s="62"/>
      <c r="M105" s="62"/>
      <c r="O105" s="63"/>
      <c r="P105" s="63"/>
      <c r="Q105" s="63"/>
    </row>
    <row r="106" spans="1:26" x14ac:dyDescent="0.3">
      <c r="A106" s="71"/>
      <c r="B106" s="76" t="s">
        <v>331</v>
      </c>
      <c r="C106" s="73"/>
      <c r="D106" s="64"/>
      <c r="E106" s="64"/>
      <c r="F106" s="70"/>
      <c r="K106" s="62"/>
      <c r="L106" s="62"/>
      <c r="M106" s="62"/>
      <c r="O106" s="63"/>
      <c r="P106" s="63"/>
      <c r="Q106" s="63"/>
    </row>
    <row r="107" spans="1:26" x14ac:dyDescent="0.3">
      <c r="A107" s="71"/>
      <c r="B107" s="76" t="s">
        <v>332</v>
      </c>
      <c r="C107" s="73"/>
      <c r="D107" s="64"/>
      <c r="E107" s="64"/>
      <c r="F107" s="70"/>
      <c r="K107" s="62"/>
      <c r="L107" s="62"/>
      <c r="M107" s="62"/>
      <c r="O107" s="63"/>
      <c r="P107" s="63"/>
      <c r="Q107" s="63"/>
    </row>
    <row r="108" spans="1:26" x14ac:dyDescent="0.3">
      <c r="A108" s="69"/>
      <c r="B108" s="64"/>
      <c r="C108" s="64"/>
      <c r="D108" s="64"/>
      <c r="E108" s="64"/>
      <c r="F108" s="70"/>
      <c r="K108" s="62"/>
      <c r="L108" s="62"/>
      <c r="M108" s="62"/>
      <c r="O108" s="63"/>
      <c r="P108" s="63"/>
      <c r="Q108" s="63"/>
    </row>
    <row r="109" spans="1:26" x14ac:dyDescent="0.3">
      <c r="A109" s="71" t="s">
        <v>120</v>
      </c>
      <c r="B109" s="72" t="s">
        <v>170</v>
      </c>
      <c r="C109" s="73">
        <f>H109</f>
        <v>4.0000000000000002E-4</v>
      </c>
      <c r="D109" s="64"/>
      <c r="E109" s="64"/>
      <c r="F109" s="70"/>
      <c r="H109" s="74">
        <f>ROUND((0.1111*H112*0.3333),4)</f>
        <v>4.0000000000000002E-4</v>
      </c>
      <c r="K109" s="62"/>
      <c r="L109" s="62"/>
      <c r="M109" s="62"/>
      <c r="O109" s="63"/>
      <c r="P109" s="63"/>
      <c r="Q109" s="63"/>
    </row>
    <row r="110" spans="1:26" x14ac:dyDescent="0.3">
      <c r="A110" s="71"/>
      <c r="B110" s="75" t="s">
        <v>297</v>
      </c>
      <c r="C110" s="73"/>
      <c r="D110" s="64"/>
      <c r="E110" s="64"/>
      <c r="F110" s="70"/>
      <c r="K110" s="62"/>
      <c r="L110" s="62"/>
      <c r="M110" s="62"/>
      <c r="O110" s="63"/>
      <c r="P110" s="63"/>
      <c r="Q110" s="63"/>
    </row>
    <row r="111" spans="1:26" x14ac:dyDescent="0.3">
      <c r="A111" s="71"/>
      <c r="B111" s="75" t="s">
        <v>333</v>
      </c>
      <c r="C111" s="73"/>
      <c r="D111" s="64"/>
      <c r="E111" s="64"/>
      <c r="F111" s="70"/>
      <c r="K111" s="62"/>
      <c r="L111" s="62"/>
      <c r="M111" s="62"/>
      <c r="O111" s="63"/>
      <c r="P111" s="63"/>
      <c r="Q111" s="63"/>
    </row>
    <row r="112" spans="1:26" x14ac:dyDescent="0.3">
      <c r="A112" s="71"/>
      <c r="B112" s="75" t="s">
        <v>334</v>
      </c>
      <c r="C112" s="73"/>
      <c r="D112" s="64"/>
      <c r="E112" s="64"/>
      <c r="F112" s="70"/>
      <c r="H112" s="100">
        <v>0.01</v>
      </c>
      <c r="I112" s="98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</row>
    <row r="113" spans="1:17" x14ac:dyDescent="0.3">
      <c r="A113" s="71"/>
      <c r="B113" s="75" t="s">
        <v>335</v>
      </c>
      <c r="C113" s="73"/>
      <c r="D113" s="64"/>
      <c r="E113" s="64"/>
      <c r="F113" s="70"/>
      <c r="K113" s="62"/>
      <c r="L113" s="62"/>
      <c r="M113" s="62"/>
      <c r="O113" s="63"/>
      <c r="P113" s="63"/>
      <c r="Q113" s="63"/>
    </row>
    <row r="114" spans="1:17" x14ac:dyDescent="0.3">
      <c r="A114" s="71"/>
      <c r="B114" s="75" t="s">
        <v>266</v>
      </c>
      <c r="C114" s="73"/>
      <c r="D114" s="64"/>
      <c r="E114" s="64"/>
      <c r="F114" s="70"/>
      <c r="K114" s="62"/>
      <c r="L114" s="62"/>
      <c r="M114" s="62"/>
      <c r="O114" s="63"/>
      <c r="P114" s="63"/>
      <c r="Q114" s="63"/>
    </row>
    <row r="115" spans="1:17" x14ac:dyDescent="0.3">
      <c r="A115" s="71"/>
      <c r="B115" s="76" t="s">
        <v>336</v>
      </c>
      <c r="C115" s="73"/>
      <c r="D115" s="64"/>
      <c r="E115" s="64"/>
      <c r="F115" s="70"/>
      <c r="K115" s="62"/>
      <c r="L115" s="62"/>
      <c r="M115" s="62"/>
      <c r="O115" s="63"/>
      <c r="P115" s="63"/>
      <c r="Q115" s="63"/>
    </row>
    <row r="116" spans="1:17" x14ac:dyDescent="0.3">
      <c r="A116" s="69"/>
      <c r="B116" s="76" t="s">
        <v>337</v>
      </c>
      <c r="C116" s="64"/>
      <c r="D116" s="64"/>
      <c r="E116" s="64"/>
      <c r="F116" s="70"/>
      <c r="K116" s="62"/>
      <c r="L116" s="62"/>
      <c r="M116" s="62"/>
      <c r="O116" s="63"/>
      <c r="P116" s="63"/>
      <c r="Q116" s="63"/>
    </row>
    <row r="117" spans="1:17" x14ac:dyDescent="0.3">
      <c r="A117" s="69"/>
      <c r="B117" s="76" t="s">
        <v>338</v>
      </c>
      <c r="C117" s="64"/>
      <c r="D117" s="64"/>
      <c r="E117" s="64"/>
      <c r="F117" s="70"/>
      <c r="K117" s="62"/>
      <c r="L117" s="62"/>
      <c r="M117" s="62"/>
      <c r="O117" s="63"/>
      <c r="P117" s="63"/>
      <c r="Q117" s="63"/>
    </row>
    <row r="118" spans="1:17" x14ac:dyDescent="0.3">
      <c r="A118" s="77"/>
      <c r="B118" s="78"/>
      <c r="C118" s="78"/>
      <c r="D118" s="78"/>
      <c r="E118" s="78"/>
      <c r="F118" s="79"/>
    </row>
    <row r="119" spans="1:17" x14ac:dyDescent="0.3">
      <c r="C119" s="92"/>
    </row>
  </sheetData>
  <mergeCells count="8">
    <mergeCell ref="B64:F64"/>
    <mergeCell ref="B65:C65"/>
    <mergeCell ref="A1:F1"/>
    <mergeCell ref="D19:D26"/>
    <mergeCell ref="B45:F45"/>
    <mergeCell ref="B46:F46"/>
    <mergeCell ref="B47:C47"/>
    <mergeCell ref="B63:F63"/>
  </mergeCells>
  <printOptions horizontalCentered="1" verticalCentered="1"/>
  <pageMargins left="0.39370078740157483" right="0.39370078740157483" top="0.98425196850393704" bottom="0.78740157480314965" header="0.31496062992125984" footer="0.31496062992125984"/>
  <pageSetup paperSize="9" scale="60" orientation="portrait" r:id="rId1"/>
  <headerFooter>
    <oddHeader>&amp;L&amp;"Calibri"&amp;12&amp;K008000 Pública&amp;1#_x000D_</oddHeader>
    <oddFooter>&amp;R&amp;G</oddFooter>
  </headerFooter>
  <rowBreaks count="1" manualBreakCount="1">
    <brk id="67" max="5" man="1"/>
  </rowBreaks>
  <colBreaks count="1" manualBreakCount="1">
    <brk id="6" max="1048575" man="1"/>
  </colBreaks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1"/>
  </sheetPr>
  <dimension ref="A2:Q159"/>
  <sheetViews>
    <sheetView showGridLines="0" view="pageBreakPreview" topLeftCell="A118" zoomScaleNormal="70" zoomScaleSheetLayoutView="100" workbookViewId="0">
      <selection activeCell="C121" sqref="C121"/>
    </sheetView>
  </sheetViews>
  <sheetFormatPr defaultColWidth="9.1796875" defaultRowHeight="13" x14ac:dyDescent="0.25"/>
  <cols>
    <col min="1" max="1" width="21.54296875" style="126" customWidth="1"/>
    <col min="2" max="2" width="18.453125" style="121" customWidth="1"/>
    <col min="3" max="3" width="62.26953125" style="121" customWidth="1"/>
    <col min="4" max="8" width="21.81640625" style="121" customWidth="1"/>
    <col min="9" max="9" width="6.81640625" style="121" bestFit="1" customWidth="1"/>
    <col min="10" max="10" width="15.26953125" style="126" customWidth="1"/>
    <col min="11" max="11" width="19.81640625" style="126" customWidth="1"/>
    <col min="12" max="12" width="17.1796875" style="121" bestFit="1" customWidth="1"/>
    <col min="13" max="13" width="17.1796875" style="121" customWidth="1"/>
    <col min="14" max="14" width="20.1796875" style="140" bestFit="1" customWidth="1"/>
    <col min="15" max="15" width="18.26953125" style="121" bestFit="1" customWidth="1"/>
    <col min="16" max="16" width="16.26953125" style="126" bestFit="1" customWidth="1"/>
    <col min="17" max="16384" width="9.1796875" style="121"/>
  </cols>
  <sheetData>
    <row r="2" spans="1:14" x14ac:dyDescent="0.25">
      <c r="B2" s="450"/>
      <c r="C2" s="451"/>
      <c r="D2" s="451"/>
      <c r="E2" s="451"/>
      <c r="F2" s="451"/>
      <c r="G2" s="451"/>
      <c r="H2" s="451"/>
      <c r="I2" s="155"/>
    </row>
    <row r="3" spans="1:14" x14ac:dyDescent="0.25">
      <c r="B3" s="452" t="s">
        <v>339</v>
      </c>
      <c r="C3" s="452"/>
      <c r="D3" s="452"/>
      <c r="E3" s="452"/>
      <c r="F3" s="452"/>
      <c r="G3" s="452"/>
      <c r="H3" s="452"/>
      <c r="I3" s="154"/>
    </row>
    <row r="4" spans="1:14" x14ac:dyDescent="0.25">
      <c r="B4" s="171"/>
      <c r="C4" s="141"/>
      <c r="D4" s="141"/>
      <c r="E4" s="141"/>
      <c r="F4" s="141"/>
      <c r="G4" s="141"/>
      <c r="H4" s="141"/>
    </row>
    <row r="5" spans="1:14" x14ac:dyDescent="0.25">
      <c r="B5" s="142" t="s">
        <v>340</v>
      </c>
      <c r="C5" s="141"/>
      <c r="D5" s="141"/>
      <c r="E5" s="141"/>
      <c r="F5" s="141"/>
      <c r="G5" s="141"/>
      <c r="H5" s="141"/>
    </row>
    <row r="6" spans="1:14" x14ac:dyDescent="0.25">
      <c r="B6" s="142"/>
      <c r="C6" s="141"/>
      <c r="D6" s="141"/>
      <c r="E6" s="141"/>
      <c r="F6" s="141"/>
      <c r="G6" s="141"/>
      <c r="H6" s="141"/>
    </row>
    <row r="7" spans="1:14" s="126" customFormat="1" x14ac:dyDescent="0.25">
      <c r="A7" s="126">
        <v>1</v>
      </c>
      <c r="B7" s="142" t="str">
        <f>C118</f>
        <v>Pisos acarpetados</v>
      </c>
      <c r="C7" s="141"/>
      <c r="D7" s="141"/>
      <c r="E7" s="168"/>
      <c r="F7" s="141"/>
      <c r="G7" s="141"/>
      <c r="H7" s="141"/>
      <c r="I7" s="121"/>
      <c r="L7" s="121"/>
      <c r="M7" s="121"/>
      <c r="N7" s="140"/>
    </row>
    <row r="8" spans="1:14" s="126" customFormat="1" ht="39" x14ac:dyDescent="0.25">
      <c r="B8" s="162" t="s">
        <v>341</v>
      </c>
      <c r="C8" s="162" t="s">
        <v>342</v>
      </c>
      <c r="D8" s="162" t="s">
        <v>343</v>
      </c>
      <c r="E8" s="162" t="s">
        <v>344</v>
      </c>
      <c r="F8" s="168"/>
      <c r="G8" s="141"/>
      <c r="H8" s="141"/>
      <c r="I8" s="121"/>
      <c r="K8" s="143"/>
      <c r="L8" s="121"/>
      <c r="M8" s="121"/>
      <c r="N8" s="140"/>
    </row>
    <row r="9" spans="1:14" s="126" customFormat="1" x14ac:dyDescent="0.25">
      <c r="B9" s="163" t="s">
        <v>345</v>
      </c>
      <c r="C9" s="164" t="str">
        <f>"1/("&amp;$J$136&amp;"x "&amp;J9&amp;")"</f>
        <v>1/(0x 800)</v>
      </c>
      <c r="D9" s="165">
        <v>0</v>
      </c>
      <c r="E9" s="166" t="e">
        <f>ROUND((1/($J$136*J9))*D9,2)</f>
        <v>#DIV/0!</v>
      </c>
      <c r="F9" s="141"/>
      <c r="G9" s="141"/>
      <c r="H9" s="141"/>
      <c r="I9" s="121"/>
      <c r="J9" s="135">
        <f>$D$118</f>
        <v>800</v>
      </c>
      <c r="K9" s="143"/>
      <c r="L9" s="121"/>
      <c r="M9" s="121"/>
      <c r="N9" s="140"/>
    </row>
    <row r="10" spans="1:14" s="126" customFormat="1" x14ac:dyDescent="0.25">
      <c r="B10" s="163" t="s">
        <v>346</v>
      </c>
      <c r="C10" s="164" t="str">
        <f>"1/"&amp;J9</f>
        <v>1/800</v>
      </c>
      <c r="D10" s="165">
        <f>Canoas!E118</f>
        <v>3620.59</v>
      </c>
      <c r="E10" s="166">
        <f>ROUND(D10*(1/J9),2)</f>
        <v>4.53</v>
      </c>
      <c r="F10" s="141"/>
      <c r="G10" s="141"/>
      <c r="H10" s="141"/>
      <c r="I10" s="121"/>
      <c r="J10" s="140"/>
      <c r="K10" s="143"/>
      <c r="L10" s="121"/>
      <c r="M10" s="121"/>
      <c r="N10" s="140"/>
    </row>
    <row r="11" spans="1:14" s="126" customFormat="1" x14ac:dyDescent="0.25">
      <c r="B11" s="448" t="s">
        <v>347</v>
      </c>
      <c r="C11" s="449"/>
      <c r="D11" s="449"/>
      <c r="E11" s="167" t="e">
        <f>ROUND(SUM(E9:E10),2)</f>
        <v>#DIV/0!</v>
      </c>
      <c r="F11" s="141"/>
      <c r="G11" s="141"/>
      <c r="H11" s="141"/>
      <c r="I11" s="121"/>
      <c r="J11" s="140"/>
      <c r="K11" s="143"/>
      <c r="L11" s="121"/>
      <c r="M11" s="121"/>
      <c r="N11" s="140"/>
    </row>
    <row r="12" spans="1:14" s="126" customFormat="1" x14ac:dyDescent="0.25">
      <c r="B12" s="153"/>
      <c r="C12" s="152"/>
      <c r="D12" s="152"/>
      <c r="E12" s="145"/>
      <c r="F12" s="141"/>
      <c r="G12" s="141"/>
      <c r="H12" s="141"/>
      <c r="I12" s="121"/>
      <c r="J12" s="140"/>
      <c r="K12" s="143"/>
      <c r="L12" s="121"/>
      <c r="M12" s="121"/>
      <c r="N12" s="140"/>
    </row>
    <row r="13" spans="1:14" s="126" customFormat="1" x14ac:dyDescent="0.25">
      <c r="A13" s="126">
        <f>A7+1</f>
        <v>2</v>
      </c>
      <c r="B13" s="142" t="str">
        <f>C119</f>
        <v>Pisos frios</v>
      </c>
      <c r="C13" s="141"/>
      <c r="D13" s="141"/>
      <c r="E13" s="168"/>
      <c r="F13" s="141"/>
      <c r="G13" s="141"/>
      <c r="H13" s="141"/>
      <c r="I13" s="121"/>
      <c r="J13" s="140"/>
      <c r="K13" s="148"/>
      <c r="L13" s="121"/>
      <c r="M13" s="121"/>
      <c r="N13" s="140"/>
    </row>
    <row r="14" spans="1:14" s="126" customFormat="1" ht="39" x14ac:dyDescent="0.25">
      <c r="B14" s="162" t="s">
        <v>341</v>
      </c>
      <c r="C14" s="162" t="s">
        <v>342</v>
      </c>
      <c r="D14" s="162" t="s">
        <v>343</v>
      </c>
      <c r="E14" s="162" t="s">
        <v>344</v>
      </c>
      <c r="F14" s="168"/>
      <c r="G14" s="141"/>
      <c r="H14" s="141"/>
      <c r="I14" s="121"/>
      <c r="J14" s="140"/>
      <c r="K14" s="148"/>
      <c r="L14" s="121"/>
      <c r="M14" s="121"/>
      <c r="N14" s="140"/>
    </row>
    <row r="15" spans="1:14" s="126" customFormat="1" x14ac:dyDescent="0.25">
      <c r="B15" s="163" t="s">
        <v>345</v>
      </c>
      <c r="C15" s="164" t="str">
        <f>"1/("&amp;$J$136&amp;"x "&amp;J15&amp;")"</f>
        <v>1/(0x 800)</v>
      </c>
      <c r="D15" s="165">
        <v>0</v>
      </c>
      <c r="E15" s="166" t="e">
        <f>ROUND((1/($J$136*J15))*D15,2)</f>
        <v>#DIV/0!</v>
      </c>
      <c r="F15" s="141"/>
      <c r="G15" s="141"/>
      <c r="H15" s="141"/>
      <c r="I15" s="121"/>
      <c r="J15" s="135">
        <f>$D$119</f>
        <v>800</v>
      </c>
      <c r="K15" s="150"/>
      <c r="L15" s="121"/>
      <c r="M15" s="121"/>
      <c r="N15" s="140"/>
    </row>
    <row r="16" spans="1:14" s="126" customFormat="1" x14ac:dyDescent="0.25">
      <c r="B16" s="163" t="s">
        <v>346</v>
      </c>
      <c r="C16" s="164" t="str">
        <f>"1/"&amp;J15</f>
        <v>1/800</v>
      </c>
      <c r="D16" s="165">
        <f>Canoas!E118</f>
        <v>3620.59</v>
      </c>
      <c r="E16" s="166">
        <f>ROUND(D16*(1/J15),2)</f>
        <v>4.53</v>
      </c>
      <c r="F16" s="141"/>
      <c r="G16" s="141"/>
      <c r="H16" s="141"/>
      <c r="I16" s="121"/>
      <c r="K16" s="143"/>
      <c r="L16" s="121"/>
      <c r="M16" s="121"/>
      <c r="N16" s="140"/>
    </row>
    <row r="17" spans="1:14" s="126" customFormat="1" x14ac:dyDescent="0.25">
      <c r="B17" s="448" t="s">
        <v>347</v>
      </c>
      <c r="C17" s="449"/>
      <c r="D17" s="449"/>
      <c r="E17" s="167" t="e">
        <f>ROUND(SUM(E15:E16),2)</f>
        <v>#DIV/0!</v>
      </c>
      <c r="F17" s="141"/>
      <c r="G17" s="141"/>
      <c r="H17" s="141"/>
      <c r="I17" s="121"/>
      <c r="J17" s="140"/>
      <c r="K17" s="148"/>
      <c r="L17" s="121"/>
      <c r="M17" s="121"/>
      <c r="N17" s="140"/>
    </row>
    <row r="18" spans="1:14" x14ac:dyDescent="0.25">
      <c r="B18" s="142"/>
      <c r="C18" s="141"/>
      <c r="D18" s="141"/>
      <c r="E18" s="141"/>
      <c r="F18" s="141"/>
      <c r="G18" s="141"/>
      <c r="H18" s="141"/>
    </row>
    <row r="19" spans="1:14" s="126" customFormat="1" x14ac:dyDescent="0.25">
      <c r="A19" s="126">
        <f>A13+1</f>
        <v>3</v>
      </c>
      <c r="B19" s="142" t="str">
        <f>C120</f>
        <v>Laboratórios</v>
      </c>
      <c r="C19" s="141"/>
      <c r="D19" s="141"/>
      <c r="E19" s="168"/>
      <c r="F19" s="141"/>
      <c r="G19" s="141"/>
      <c r="H19" s="141"/>
      <c r="I19" s="121"/>
      <c r="L19" s="121"/>
      <c r="M19" s="121"/>
      <c r="N19" s="140"/>
    </row>
    <row r="20" spans="1:14" s="126" customFormat="1" ht="39" x14ac:dyDescent="0.25">
      <c r="B20" s="162" t="s">
        <v>341</v>
      </c>
      <c r="C20" s="162" t="s">
        <v>342</v>
      </c>
      <c r="D20" s="162" t="s">
        <v>343</v>
      </c>
      <c r="E20" s="162" t="s">
        <v>344</v>
      </c>
      <c r="F20" s="168"/>
      <c r="G20" s="141"/>
      <c r="H20" s="141"/>
      <c r="I20" s="121"/>
      <c r="K20" s="143"/>
      <c r="L20" s="121"/>
      <c r="M20" s="121"/>
      <c r="N20" s="140"/>
    </row>
    <row r="21" spans="1:14" s="126" customFormat="1" x14ac:dyDescent="0.25">
      <c r="B21" s="163" t="s">
        <v>345</v>
      </c>
      <c r="C21" s="164" t="str">
        <f>"1/("&amp;$J$136&amp;"x "&amp;J21&amp;")"</f>
        <v>1/(0x 360)</v>
      </c>
      <c r="D21" s="165">
        <v>0</v>
      </c>
      <c r="E21" s="166" t="e">
        <f>ROUND((1/($J$136*J21))*D21,2)</f>
        <v>#DIV/0!</v>
      </c>
      <c r="F21" s="141"/>
      <c r="G21" s="141"/>
      <c r="H21" s="141"/>
      <c r="I21" s="121"/>
      <c r="J21" s="135">
        <f>$D$120</f>
        <v>360</v>
      </c>
      <c r="K21" s="143"/>
      <c r="L21" s="121"/>
      <c r="M21" s="121"/>
      <c r="N21" s="140"/>
    </row>
    <row r="22" spans="1:14" s="126" customFormat="1" x14ac:dyDescent="0.25">
      <c r="B22" s="163" t="s">
        <v>346</v>
      </c>
      <c r="C22" s="164" t="str">
        <f>"1/"&amp;J21</f>
        <v>1/360</v>
      </c>
      <c r="D22" s="165">
        <f>Canoas!E118</f>
        <v>3620.59</v>
      </c>
      <c r="E22" s="166">
        <f>ROUND(D22*(1/J21),2)</f>
        <v>10.06</v>
      </c>
      <c r="F22" s="141"/>
      <c r="G22" s="141"/>
      <c r="H22" s="141"/>
      <c r="I22" s="121"/>
      <c r="J22" s="140"/>
      <c r="K22" s="143"/>
      <c r="L22" s="121"/>
      <c r="M22" s="121"/>
      <c r="N22" s="140"/>
    </row>
    <row r="23" spans="1:14" s="126" customFormat="1" x14ac:dyDescent="0.25">
      <c r="B23" s="448" t="s">
        <v>347</v>
      </c>
      <c r="C23" s="449"/>
      <c r="D23" s="449"/>
      <c r="E23" s="167" t="e">
        <f>ROUND(SUM(E21:E22),2)</f>
        <v>#DIV/0!</v>
      </c>
      <c r="F23" s="141"/>
      <c r="G23" s="141"/>
      <c r="H23" s="141"/>
      <c r="I23" s="121"/>
      <c r="J23" s="140"/>
      <c r="K23" s="143"/>
      <c r="L23" s="121"/>
      <c r="M23" s="121"/>
      <c r="N23" s="140"/>
    </row>
    <row r="24" spans="1:14" s="126" customFormat="1" x14ac:dyDescent="0.25">
      <c r="B24" s="153"/>
      <c r="C24" s="152"/>
      <c r="D24" s="152"/>
      <c r="E24" s="145"/>
      <c r="F24" s="141"/>
      <c r="G24" s="141"/>
      <c r="H24" s="141"/>
      <c r="I24" s="121"/>
      <c r="J24" s="140"/>
      <c r="K24" s="143"/>
      <c r="L24" s="121"/>
      <c r="M24" s="121"/>
      <c r="N24" s="140"/>
    </row>
    <row r="25" spans="1:14" s="126" customFormat="1" x14ac:dyDescent="0.25">
      <c r="A25" s="126">
        <f>A19+1</f>
        <v>4</v>
      </c>
      <c r="B25" s="142" t="str">
        <f>C121</f>
        <v>Almoxarifados/galpões</v>
      </c>
      <c r="C25" s="141"/>
      <c r="D25" s="141"/>
      <c r="E25" s="168"/>
      <c r="F25" s="141"/>
      <c r="G25" s="141"/>
      <c r="H25" s="141"/>
      <c r="I25" s="121"/>
      <c r="J25" s="140"/>
      <c r="K25" s="148"/>
      <c r="L25" s="121"/>
      <c r="M25" s="121"/>
      <c r="N25" s="140"/>
    </row>
    <row r="26" spans="1:14" s="126" customFormat="1" ht="39" x14ac:dyDescent="0.25">
      <c r="B26" s="162" t="s">
        <v>341</v>
      </c>
      <c r="C26" s="162" t="s">
        <v>342</v>
      </c>
      <c r="D26" s="162" t="s">
        <v>343</v>
      </c>
      <c r="E26" s="162" t="s">
        <v>344</v>
      </c>
      <c r="F26" s="168"/>
      <c r="G26" s="141"/>
      <c r="H26" s="141"/>
      <c r="I26" s="121"/>
      <c r="J26" s="140"/>
      <c r="K26" s="148"/>
      <c r="L26" s="121"/>
      <c r="M26" s="121"/>
      <c r="N26" s="140"/>
    </row>
    <row r="27" spans="1:14" s="126" customFormat="1" x14ac:dyDescent="0.25">
      <c r="B27" s="163" t="s">
        <v>345</v>
      </c>
      <c r="C27" s="164" t="str">
        <f>"1/("&amp;$J$136&amp;"x "&amp;J27&amp;")"</f>
        <v>1/(0x 1500)</v>
      </c>
      <c r="D27" s="165">
        <v>0</v>
      </c>
      <c r="E27" s="166" t="e">
        <f>ROUND((1/($J$136*J27))*D27,2)</f>
        <v>#DIV/0!</v>
      </c>
      <c r="F27" s="141"/>
      <c r="G27" s="141"/>
      <c r="H27" s="141"/>
      <c r="I27" s="121"/>
      <c r="J27" s="135">
        <f>$D$121</f>
        <v>1500</v>
      </c>
      <c r="K27" s="150"/>
      <c r="L27" s="121"/>
      <c r="M27" s="121"/>
      <c r="N27" s="140"/>
    </row>
    <row r="28" spans="1:14" s="126" customFormat="1" x14ac:dyDescent="0.25">
      <c r="B28" s="163" t="s">
        <v>346</v>
      </c>
      <c r="C28" s="164" t="str">
        <f>"1/"&amp;J27</f>
        <v>1/1500</v>
      </c>
      <c r="D28" s="165">
        <f>Canoas!E118</f>
        <v>3620.59</v>
      </c>
      <c r="E28" s="166">
        <f>ROUND(D28*(1/J27),2)</f>
        <v>2.41</v>
      </c>
      <c r="F28" s="141"/>
      <c r="G28" s="141"/>
      <c r="H28" s="141"/>
      <c r="I28" s="121"/>
      <c r="K28" s="143"/>
      <c r="L28" s="121"/>
      <c r="M28" s="121"/>
      <c r="N28" s="140"/>
    </row>
    <row r="29" spans="1:14" s="126" customFormat="1" x14ac:dyDescent="0.25">
      <c r="B29" s="448" t="s">
        <v>347</v>
      </c>
      <c r="C29" s="449"/>
      <c r="D29" s="449"/>
      <c r="E29" s="167" t="e">
        <f>ROUND(SUM(E27:E28),2)</f>
        <v>#DIV/0!</v>
      </c>
      <c r="F29" s="141"/>
      <c r="G29" s="141"/>
      <c r="H29" s="141"/>
      <c r="I29" s="121"/>
      <c r="J29" s="140"/>
      <c r="K29" s="148"/>
      <c r="L29" s="121"/>
      <c r="M29" s="121"/>
      <c r="N29" s="140"/>
    </row>
    <row r="30" spans="1:14" x14ac:dyDescent="0.25">
      <c r="B30" s="142"/>
      <c r="C30" s="141"/>
      <c r="D30" s="141"/>
      <c r="E30" s="141"/>
      <c r="F30" s="141"/>
      <c r="G30" s="141"/>
      <c r="H30" s="141"/>
    </row>
    <row r="31" spans="1:14" s="126" customFormat="1" x14ac:dyDescent="0.25">
      <c r="A31" s="126">
        <f>A25+1</f>
        <v>5</v>
      </c>
      <c r="B31" s="142" t="str">
        <f>C122</f>
        <v>Oficinas</v>
      </c>
      <c r="C31" s="141"/>
      <c r="D31" s="141"/>
      <c r="E31" s="168"/>
      <c r="F31" s="141"/>
      <c r="G31" s="141"/>
      <c r="H31" s="141"/>
      <c r="I31" s="121"/>
      <c r="L31" s="121"/>
      <c r="M31" s="121"/>
      <c r="N31" s="140"/>
    </row>
    <row r="32" spans="1:14" s="126" customFormat="1" ht="39" x14ac:dyDescent="0.25">
      <c r="B32" s="162" t="s">
        <v>341</v>
      </c>
      <c r="C32" s="162" t="s">
        <v>342</v>
      </c>
      <c r="D32" s="162" t="s">
        <v>343</v>
      </c>
      <c r="E32" s="162" t="s">
        <v>344</v>
      </c>
      <c r="F32" s="168"/>
      <c r="G32" s="141"/>
      <c r="H32" s="141"/>
      <c r="I32" s="121"/>
      <c r="K32" s="143"/>
      <c r="L32" s="121"/>
      <c r="M32" s="121"/>
      <c r="N32" s="140"/>
    </row>
    <row r="33" spans="1:14" s="126" customFormat="1" x14ac:dyDescent="0.25">
      <c r="B33" s="163" t="s">
        <v>345</v>
      </c>
      <c r="C33" s="164" t="str">
        <f>"1/("&amp;$J$136&amp;"x "&amp;J33&amp;")"</f>
        <v>1/(0x 1200)</v>
      </c>
      <c r="D33" s="165">
        <v>0</v>
      </c>
      <c r="E33" s="166" t="e">
        <f>ROUND((1/($J$136*J33))*D33,2)</f>
        <v>#DIV/0!</v>
      </c>
      <c r="F33" s="141"/>
      <c r="G33" s="141"/>
      <c r="H33" s="141"/>
      <c r="I33" s="121"/>
      <c r="J33" s="135">
        <f>$D$122</f>
        <v>1200</v>
      </c>
      <c r="K33" s="143"/>
      <c r="L33" s="121"/>
      <c r="M33" s="121"/>
      <c r="N33" s="140"/>
    </row>
    <row r="34" spans="1:14" s="126" customFormat="1" x14ac:dyDescent="0.25">
      <c r="B34" s="163" t="s">
        <v>346</v>
      </c>
      <c r="C34" s="164" t="str">
        <f>"1/"&amp;J33</f>
        <v>1/1200</v>
      </c>
      <c r="D34" s="165">
        <f>Canoas!E118</f>
        <v>3620.59</v>
      </c>
      <c r="E34" s="166">
        <f>ROUND(D34*(1/J33),2)</f>
        <v>3.02</v>
      </c>
      <c r="F34" s="141"/>
      <c r="G34" s="141"/>
      <c r="H34" s="141"/>
      <c r="I34" s="121"/>
      <c r="J34" s="140"/>
      <c r="K34" s="143"/>
      <c r="L34" s="121"/>
      <c r="M34" s="121"/>
      <c r="N34" s="140"/>
    </row>
    <row r="35" spans="1:14" s="126" customFormat="1" x14ac:dyDescent="0.25">
      <c r="B35" s="448" t="s">
        <v>347</v>
      </c>
      <c r="C35" s="449"/>
      <c r="D35" s="449"/>
      <c r="E35" s="167" t="e">
        <f>ROUND(SUM(E33:E34),2)</f>
        <v>#DIV/0!</v>
      </c>
      <c r="F35" s="141"/>
      <c r="G35" s="141"/>
      <c r="H35" s="141"/>
      <c r="I35" s="121"/>
      <c r="J35" s="140"/>
      <c r="K35" s="143"/>
      <c r="L35" s="121"/>
      <c r="M35" s="121"/>
      <c r="N35" s="140"/>
    </row>
    <row r="36" spans="1:14" s="126" customFormat="1" x14ac:dyDescent="0.25">
      <c r="B36" s="153"/>
      <c r="C36" s="152"/>
      <c r="D36" s="152"/>
      <c r="E36" s="145"/>
      <c r="F36" s="141"/>
      <c r="G36" s="141"/>
      <c r="H36" s="141"/>
      <c r="I36" s="121"/>
      <c r="J36" s="140"/>
      <c r="K36" s="143"/>
      <c r="L36" s="121"/>
      <c r="M36" s="121"/>
      <c r="N36" s="140"/>
    </row>
    <row r="37" spans="1:14" s="126" customFormat="1" x14ac:dyDescent="0.25">
      <c r="A37" s="126">
        <f>A31+1</f>
        <v>6</v>
      </c>
      <c r="B37" s="142" t="str">
        <f>C123</f>
        <v>Áreas com espaços livres - saguão, hall e salão</v>
      </c>
      <c r="C37" s="141"/>
      <c r="D37" s="141"/>
      <c r="E37" s="168"/>
      <c r="F37" s="141"/>
      <c r="G37" s="141"/>
      <c r="H37" s="141"/>
      <c r="I37" s="121"/>
      <c r="J37" s="140"/>
      <c r="K37" s="148"/>
      <c r="L37" s="121"/>
      <c r="M37" s="121"/>
      <c r="N37" s="140"/>
    </row>
    <row r="38" spans="1:14" s="126" customFormat="1" ht="39" x14ac:dyDescent="0.25">
      <c r="B38" s="162" t="s">
        <v>341</v>
      </c>
      <c r="C38" s="162" t="s">
        <v>342</v>
      </c>
      <c r="D38" s="162" t="s">
        <v>343</v>
      </c>
      <c r="E38" s="162" t="s">
        <v>344</v>
      </c>
      <c r="F38" s="168"/>
      <c r="G38" s="141"/>
      <c r="H38" s="141"/>
      <c r="I38" s="121"/>
      <c r="J38" s="140"/>
      <c r="K38" s="148"/>
      <c r="L38" s="121"/>
      <c r="M38" s="121"/>
      <c r="N38" s="140"/>
    </row>
    <row r="39" spans="1:14" s="126" customFormat="1" x14ac:dyDescent="0.25">
      <c r="B39" s="163" t="s">
        <v>345</v>
      </c>
      <c r="C39" s="164" t="str">
        <f>"1/("&amp;$J$136&amp;"x "&amp;J39&amp;")"</f>
        <v>1/(0x 1000)</v>
      </c>
      <c r="D39" s="165">
        <v>0</v>
      </c>
      <c r="E39" s="166" t="e">
        <f>ROUND((1/($J$136*J39))*D39,2)</f>
        <v>#DIV/0!</v>
      </c>
      <c r="F39" s="141"/>
      <c r="G39" s="141"/>
      <c r="H39" s="141"/>
      <c r="I39" s="121"/>
      <c r="J39" s="135">
        <f>$D$123</f>
        <v>1000</v>
      </c>
      <c r="K39" s="150"/>
      <c r="L39" s="121"/>
      <c r="M39" s="121"/>
      <c r="N39" s="140"/>
    </row>
    <row r="40" spans="1:14" s="126" customFormat="1" x14ac:dyDescent="0.25">
      <c r="B40" s="163" t="s">
        <v>346</v>
      </c>
      <c r="C40" s="164" t="str">
        <f>"1/"&amp;J39</f>
        <v>1/1000</v>
      </c>
      <c r="D40" s="165">
        <f>Canoas!E118</f>
        <v>3620.59</v>
      </c>
      <c r="E40" s="166">
        <f>ROUND(D40*(1/J39),2)</f>
        <v>3.62</v>
      </c>
      <c r="F40" s="141"/>
      <c r="G40" s="141"/>
      <c r="H40" s="141"/>
      <c r="I40" s="121"/>
      <c r="K40" s="143"/>
      <c r="L40" s="121"/>
      <c r="M40" s="121"/>
      <c r="N40" s="140"/>
    </row>
    <row r="41" spans="1:14" s="126" customFormat="1" x14ac:dyDescent="0.25">
      <c r="B41" s="448" t="s">
        <v>347</v>
      </c>
      <c r="C41" s="449"/>
      <c r="D41" s="449"/>
      <c r="E41" s="167" t="e">
        <f>ROUND(SUM(E39:E40),2)</f>
        <v>#DIV/0!</v>
      </c>
      <c r="F41" s="141"/>
      <c r="G41" s="141"/>
      <c r="H41" s="141"/>
      <c r="I41" s="121"/>
      <c r="J41" s="140"/>
      <c r="K41" s="148"/>
      <c r="L41" s="121"/>
      <c r="M41" s="121"/>
      <c r="N41" s="140"/>
    </row>
    <row r="42" spans="1:14" x14ac:dyDescent="0.25">
      <c r="B42" s="142"/>
      <c r="C42" s="141"/>
      <c r="D42" s="141"/>
      <c r="E42" s="141"/>
      <c r="F42" s="141"/>
      <c r="G42" s="141"/>
      <c r="H42" s="141"/>
    </row>
    <row r="43" spans="1:14" s="126" customFormat="1" x14ac:dyDescent="0.25">
      <c r="A43" s="126">
        <f>A37+1</f>
        <v>7</v>
      </c>
      <c r="B43" s="142" t="str">
        <f>C124</f>
        <v>Banheiros</v>
      </c>
      <c r="C43" s="141"/>
      <c r="D43" s="141"/>
      <c r="E43" s="168"/>
      <c r="F43" s="141"/>
      <c r="G43" s="141"/>
      <c r="H43" s="141"/>
      <c r="I43" s="121"/>
      <c r="L43" s="121"/>
      <c r="M43" s="121"/>
      <c r="N43" s="140"/>
    </row>
    <row r="44" spans="1:14" s="126" customFormat="1" ht="39" x14ac:dyDescent="0.25">
      <c r="B44" s="162" t="s">
        <v>341</v>
      </c>
      <c r="C44" s="162" t="s">
        <v>342</v>
      </c>
      <c r="D44" s="162" t="s">
        <v>343</v>
      </c>
      <c r="E44" s="162" t="s">
        <v>344</v>
      </c>
      <c r="F44" s="168"/>
      <c r="G44" s="141"/>
      <c r="H44" s="141"/>
      <c r="I44" s="121"/>
      <c r="K44" s="143"/>
      <c r="L44" s="121"/>
      <c r="M44" s="121"/>
      <c r="N44" s="140"/>
    </row>
    <row r="45" spans="1:14" s="126" customFormat="1" x14ac:dyDescent="0.25">
      <c r="B45" s="163" t="s">
        <v>345</v>
      </c>
      <c r="C45" s="164" t="str">
        <f>"1/("&amp;$J$136&amp;"x "&amp;J45&amp;")"</f>
        <v>1/(0x 200)</v>
      </c>
      <c r="D45" s="165">
        <v>0</v>
      </c>
      <c r="E45" s="166" t="e">
        <f>ROUND((1/($J$136*J45))*D45,2)</f>
        <v>#DIV/0!</v>
      </c>
      <c r="F45" s="141"/>
      <c r="G45" s="141"/>
      <c r="H45" s="141"/>
      <c r="I45" s="121"/>
      <c r="J45" s="135">
        <f>$D$124</f>
        <v>200</v>
      </c>
      <c r="K45" s="143"/>
      <c r="L45" s="121"/>
      <c r="M45" s="121"/>
      <c r="N45" s="140"/>
    </row>
    <row r="46" spans="1:14" s="126" customFormat="1" x14ac:dyDescent="0.25">
      <c r="B46" s="163" t="s">
        <v>346</v>
      </c>
      <c r="C46" s="164" t="str">
        <f>"1/"&amp;J45</f>
        <v>1/200</v>
      </c>
      <c r="D46" s="165">
        <f>Canoas!E118</f>
        <v>3620.59</v>
      </c>
      <c r="E46" s="166">
        <f>ROUND(D46*(1/J45),2)</f>
        <v>18.100000000000001</v>
      </c>
      <c r="F46" s="141"/>
      <c r="G46" s="141"/>
      <c r="H46" s="141"/>
      <c r="I46" s="121"/>
      <c r="J46" s="140"/>
      <c r="K46" s="143"/>
      <c r="L46" s="121"/>
      <c r="M46" s="121"/>
      <c r="N46" s="140"/>
    </row>
    <row r="47" spans="1:14" s="126" customFormat="1" x14ac:dyDescent="0.25">
      <c r="B47" s="448" t="s">
        <v>347</v>
      </c>
      <c r="C47" s="449"/>
      <c r="D47" s="449"/>
      <c r="E47" s="167" t="e">
        <f>ROUND(SUM(E45:E46),2)</f>
        <v>#DIV/0!</v>
      </c>
      <c r="F47" s="141"/>
      <c r="G47" s="141"/>
      <c r="H47" s="141"/>
      <c r="I47" s="121"/>
      <c r="J47" s="140"/>
      <c r="K47" s="143"/>
      <c r="L47" s="121"/>
      <c r="M47" s="121"/>
      <c r="N47" s="140"/>
    </row>
    <row r="48" spans="1:14" s="126" customFormat="1" x14ac:dyDescent="0.25">
      <c r="B48" s="153"/>
      <c r="C48" s="152"/>
      <c r="D48" s="152"/>
      <c r="E48" s="145"/>
      <c r="F48" s="141"/>
      <c r="G48" s="141"/>
      <c r="H48" s="141"/>
      <c r="I48" s="121"/>
      <c r="J48" s="140"/>
      <c r="K48" s="143"/>
      <c r="L48" s="121"/>
      <c r="M48" s="121"/>
      <c r="N48" s="140"/>
    </row>
    <row r="49" spans="1:14" s="126" customFormat="1" x14ac:dyDescent="0.25">
      <c r="A49" s="126">
        <f>A43+1</f>
        <v>8</v>
      </c>
      <c r="B49" s="142" t="str">
        <f>C125</f>
        <v>Pisos pavimentados adjacentes/contíguos às edificações</v>
      </c>
      <c r="C49" s="141"/>
      <c r="D49" s="141"/>
      <c r="E49" s="168"/>
      <c r="F49" s="141"/>
      <c r="G49" s="141"/>
      <c r="H49" s="141"/>
      <c r="I49" s="121"/>
      <c r="J49" s="140"/>
      <c r="K49" s="148"/>
      <c r="L49" s="121"/>
      <c r="M49" s="121"/>
      <c r="N49" s="140"/>
    </row>
    <row r="50" spans="1:14" s="126" customFormat="1" ht="39" x14ac:dyDescent="0.25">
      <c r="B50" s="162" t="s">
        <v>341</v>
      </c>
      <c r="C50" s="162" t="s">
        <v>342</v>
      </c>
      <c r="D50" s="162" t="s">
        <v>343</v>
      </c>
      <c r="E50" s="162" t="s">
        <v>344</v>
      </c>
      <c r="F50" s="168"/>
      <c r="G50" s="141"/>
      <c r="H50" s="141"/>
      <c r="I50" s="121"/>
      <c r="J50" s="140"/>
      <c r="K50" s="148"/>
      <c r="L50" s="121"/>
      <c r="M50" s="121"/>
      <c r="N50" s="140"/>
    </row>
    <row r="51" spans="1:14" s="126" customFormat="1" x14ac:dyDescent="0.25">
      <c r="B51" s="163" t="s">
        <v>345</v>
      </c>
      <c r="C51" s="164" t="str">
        <f>"1/("&amp;$J$136&amp;"x "&amp;J51&amp;")"</f>
        <v>1/(0x 1800)</v>
      </c>
      <c r="D51" s="165">
        <v>0</v>
      </c>
      <c r="E51" s="166" t="e">
        <f>ROUND((1/($J$136*J51))*D51,2)</f>
        <v>#DIV/0!</v>
      </c>
      <c r="F51" s="141"/>
      <c r="G51" s="141"/>
      <c r="H51" s="141"/>
      <c r="I51" s="121"/>
      <c r="J51" s="135">
        <f>$D$125</f>
        <v>1800</v>
      </c>
      <c r="K51" s="150"/>
      <c r="L51" s="121"/>
      <c r="M51" s="121"/>
      <c r="N51" s="140"/>
    </row>
    <row r="52" spans="1:14" s="126" customFormat="1" x14ac:dyDescent="0.25">
      <c r="B52" s="163" t="s">
        <v>346</v>
      </c>
      <c r="C52" s="164" t="str">
        <f>"1/"&amp;J51</f>
        <v>1/1800</v>
      </c>
      <c r="D52" s="165">
        <f>Canoas!E118</f>
        <v>3620.59</v>
      </c>
      <c r="E52" s="166">
        <f>ROUND(D52*(1/J51),2)</f>
        <v>2.0099999999999998</v>
      </c>
      <c r="F52" s="141"/>
      <c r="G52" s="141"/>
      <c r="H52" s="141"/>
      <c r="I52" s="121"/>
      <c r="K52" s="143"/>
      <c r="L52" s="121"/>
      <c r="M52" s="121"/>
      <c r="N52" s="140"/>
    </row>
    <row r="53" spans="1:14" s="126" customFormat="1" x14ac:dyDescent="0.25">
      <c r="B53" s="448" t="s">
        <v>347</v>
      </c>
      <c r="C53" s="449"/>
      <c r="D53" s="449"/>
      <c r="E53" s="167" t="e">
        <f>ROUND(SUM(E51:E52),2)</f>
        <v>#DIV/0!</v>
      </c>
      <c r="F53" s="141"/>
      <c r="G53" s="141"/>
      <c r="H53" s="141"/>
      <c r="I53" s="121"/>
      <c r="J53" s="140"/>
      <c r="K53" s="148"/>
      <c r="L53" s="121"/>
      <c r="M53" s="121"/>
      <c r="N53" s="140"/>
    </row>
    <row r="54" spans="1:14" x14ac:dyDescent="0.25">
      <c r="B54" s="142"/>
      <c r="C54" s="141"/>
      <c r="D54" s="141"/>
      <c r="E54" s="141"/>
      <c r="F54" s="141"/>
      <c r="G54" s="141"/>
      <c r="H54" s="141"/>
    </row>
    <row r="55" spans="1:14" s="126" customFormat="1" x14ac:dyDescent="0.25">
      <c r="A55" s="126">
        <f>A49+1</f>
        <v>9</v>
      </c>
      <c r="B55" s="142" t="str">
        <f>C126</f>
        <v>Varrição de passeios e arruamentos</v>
      </c>
      <c r="C55" s="141"/>
      <c r="D55" s="141"/>
      <c r="E55" s="168"/>
      <c r="F55" s="141"/>
      <c r="G55" s="141"/>
      <c r="H55" s="141"/>
      <c r="I55" s="121"/>
      <c r="L55" s="121"/>
      <c r="M55" s="121"/>
      <c r="N55" s="140"/>
    </row>
    <row r="56" spans="1:14" s="126" customFormat="1" ht="39" x14ac:dyDescent="0.25">
      <c r="B56" s="162" t="s">
        <v>341</v>
      </c>
      <c r="C56" s="162" t="s">
        <v>342</v>
      </c>
      <c r="D56" s="162" t="s">
        <v>343</v>
      </c>
      <c r="E56" s="162" t="s">
        <v>344</v>
      </c>
      <c r="F56" s="168"/>
      <c r="G56" s="141"/>
      <c r="H56" s="141"/>
      <c r="I56" s="121"/>
      <c r="K56" s="143"/>
      <c r="L56" s="121"/>
      <c r="M56" s="121"/>
      <c r="N56" s="140"/>
    </row>
    <row r="57" spans="1:14" s="126" customFormat="1" x14ac:dyDescent="0.25">
      <c r="B57" s="163" t="s">
        <v>345</v>
      </c>
      <c r="C57" s="164" t="str">
        <f>"1/("&amp;$J$136&amp;"x "&amp;J57&amp;")"</f>
        <v>1/(0x 6000)</v>
      </c>
      <c r="D57" s="165">
        <v>0</v>
      </c>
      <c r="E57" s="166" t="e">
        <f>ROUND((1/($J$136*J57))*D57,2)</f>
        <v>#DIV/0!</v>
      </c>
      <c r="F57" s="141"/>
      <c r="G57" s="141"/>
      <c r="H57" s="141"/>
      <c r="I57" s="121"/>
      <c r="J57" s="135">
        <f>$D$126</f>
        <v>6000</v>
      </c>
      <c r="K57" s="143"/>
      <c r="L57" s="121"/>
      <c r="M57" s="121"/>
      <c r="N57" s="140"/>
    </row>
    <row r="58" spans="1:14" s="126" customFormat="1" x14ac:dyDescent="0.25">
      <c r="B58" s="163" t="s">
        <v>346</v>
      </c>
      <c r="C58" s="164" t="str">
        <f>"1/"&amp;J57</f>
        <v>1/6000</v>
      </c>
      <c r="D58" s="165">
        <f>Canoas!E118</f>
        <v>3620.59</v>
      </c>
      <c r="E58" s="166">
        <f>ROUND(D58*(1/J57),2)</f>
        <v>0.6</v>
      </c>
      <c r="F58" s="141"/>
      <c r="G58" s="141"/>
      <c r="H58" s="141"/>
      <c r="I58" s="121"/>
      <c r="J58" s="140"/>
      <c r="K58" s="143"/>
      <c r="L58" s="121"/>
      <c r="M58" s="121"/>
      <c r="N58" s="140"/>
    </row>
    <row r="59" spans="1:14" s="126" customFormat="1" x14ac:dyDescent="0.25">
      <c r="B59" s="448" t="s">
        <v>347</v>
      </c>
      <c r="C59" s="449"/>
      <c r="D59" s="449"/>
      <c r="E59" s="167" t="e">
        <f>ROUND(SUM(E57:E58),2)</f>
        <v>#DIV/0!</v>
      </c>
      <c r="F59" s="141"/>
      <c r="G59" s="141"/>
      <c r="H59" s="141"/>
      <c r="I59" s="121"/>
      <c r="J59" s="140"/>
      <c r="K59" s="143"/>
      <c r="L59" s="121"/>
      <c r="M59" s="121"/>
      <c r="N59" s="140"/>
    </row>
    <row r="60" spans="1:14" s="126" customFormat="1" x14ac:dyDescent="0.25">
      <c r="B60" s="153"/>
      <c r="C60" s="152"/>
      <c r="D60" s="152"/>
      <c r="E60" s="145"/>
      <c r="F60" s="141"/>
      <c r="G60" s="141"/>
      <c r="H60" s="141"/>
      <c r="I60" s="121"/>
      <c r="J60" s="140"/>
      <c r="K60" s="143"/>
      <c r="L60" s="121"/>
      <c r="M60" s="121"/>
      <c r="N60" s="140"/>
    </row>
    <row r="61" spans="1:14" s="126" customFormat="1" x14ac:dyDescent="0.25">
      <c r="A61" s="126">
        <f>A55+1</f>
        <v>10</v>
      </c>
      <c r="B61" s="142" t="str">
        <f>C127</f>
        <v>Pátios e áreas verdes com alta frequência</v>
      </c>
      <c r="C61" s="141"/>
      <c r="D61" s="141"/>
      <c r="E61" s="168"/>
      <c r="F61" s="141"/>
      <c r="G61" s="141"/>
      <c r="H61" s="141"/>
      <c r="I61" s="121"/>
      <c r="J61" s="140"/>
      <c r="K61" s="148"/>
      <c r="L61" s="121"/>
      <c r="M61" s="121"/>
      <c r="N61" s="140"/>
    </row>
    <row r="62" spans="1:14" s="126" customFormat="1" ht="39" x14ac:dyDescent="0.25">
      <c r="B62" s="162" t="s">
        <v>341</v>
      </c>
      <c r="C62" s="162" t="s">
        <v>342</v>
      </c>
      <c r="D62" s="162" t="s">
        <v>343</v>
      </c>
      <c r="E62" s="162" t="s">
        <v>344</v>
      </c>
      <c r="F62" s="168"/>
      <c r="G62" s="141"/>
      <c r="H62" s="141"/>
      <c r="I62" s="121"/>
      <c r="J62" s="140"/>
      <c r="K62" s="148"/>
      <c r="L62" s="121"/>
      <c r="M62" s="121"/>
      <c r="N62" s="140"/>
    </row>
    <row r="63" spans="1:14" s="126" customFormat="1" x14ac:dyDescent="0.25">
      <c r="B63" s="163" t="s">
        <v>345</v>
      </c>
      <c r="C63" s="164" t="str">
        <f>"1/("&amp;$J$136&amp;"x "&amp;J63&amp;")"</f>
        <v>1/(0x 1800)</v>
      </c>
      <c r="D63" s="165">
        <v>0</v>
      </c>
      <c r="E63" s="166" t="e">
        <f>ROUND((1/($J$136*J63))*D63,2)</f>
        <v>#DIV/0!</v>
      </c>
      <c r="F63" s="141"/>
      <c r="G63" s="141"/>
      <c r="H63" s="141"/>
      <c r="I63" s="121"/>
      <c r="J63" s="135">
        <f>$D$127</f>
        <v>1800</v>
      </c>
      <c r="K63" s="150"/>
      <c r="L63" s="121"/>
      <c r="M63" s="121"/>
      <c r="N63" s="140"/>
    </row>
    <row r="64" spans="1:14" s="126" customFormat="1" x14ac:dyDescent="0.25">
      <c r="B64" s="163" t="s">
        <v>346</v>
      </c>
      <c r="C64" s="164" t="str">
        <f>"1/"&amp;J63</f>
        <v>1/1800</v>
      </c>
      <c r="D64" s="165">
        <f>Canoas!E118</f>
        <v>3620.59</v>
      </c>
      <c r="E64" s="166">
        <f>ROUND(D64*(1/J63),2)</f>
        <v>2.0099999999999998</v>
      </c>
      <c r="F64" s="141"/>
      <c r="G64" s="141"/>
      <c r="H64" s="141"/>
      <c r="I64" s="121"/>
      <c r="K64" s="143"/>
      <c r="L64" s="121"/>
      <c r="M64" s="121"/>
      <c r="N64" s="140"/>
    </row>
    <row r="65" spans="1:14" s="126" customFormat="1" x14ac:dyDescent="0.25">
      <c r="B65" s="448" t="s">
        <v>347</v>
      </c>
      <c r="C65" s="449"/>
      <c r="D65" s="449"/>
      <c r="E65" s="167" t="e">
        <f>ROUND(SUM(E63:E64),2)</f>
        <v>#DIV/0!</v>
      </c>
      <c r="F65" s="141"/>
      <c r="G65" s="141"/>
      <c r="H65" s="141"/>
      <c r="I65" s="121"/>
      <c r="J65" s="140"/>
      <c r="K65" s="148"/>
      <c r="L65" s="121"/>
      <c r="M65" s="121"/>
      <c r="N65" s="140"/>
    </row>
    <row r="66" spans="1:14" x14ac:dyDescent="0.25">
      <c r="B66" s="142"/>
      <c r="C66" s="141"/>
      <c r="D66" s="141"/>
      <c r="E66" s="141"/>
      <c r="F66" s="141"/>
      <c r="G66" s="141"/>
      <c r="H66" s="141"/>
    </row>
    <row r="67" spans="1:14" s="126" customFormat="1" x14ac:dyDescent="0.25">
      <c r="A67" s="126">
        <f>A61+1</f>
        <v>11</v>
      </c>
      <c r="B67" s="142" t="str">
        <f>C128</f>
        <v>Pátios e áreas verdes com média frequência</v>
      </c>
      <c r="C67" s="141"/>
      <c r="D67" s="141"/>
      <c r="E67" s="168"/>
      <c r="F67" s="141"/>
      <c r="G67" s="141"/>
      <c r="H67" s="141"/>
      <c r="I67" s="121"/>
      <c r="L67" s="121"/>
      <c r="M67" s="121"/>
      <c r="N67" s="140"/>
    </row>
    <row r="68" spans="1:14" s="126" customFormat="1" ht="39" x14ac:dyDescent="0.25">
      <c r="B68" s="162" t="s">
        <v>341</v>
      </c>
      <c r="C68" s="162" t="s">
        <v>342</v>
      </c>
      <c r="D68" s="162" t="s">
        <v>343</v>
      </c>
      <c r="E68" s="162" t="s">
        <v>344</v>
      </c>
      <c r="F68" s="168"/>
      <c r="G68" s="141"/>
      <c r="H68" s="141"/>
      <c r="I68" s="121"/>
      <c r="K68" s="143"/>
      <c r="L68" s="121"/>
      <c r="M68" s="121"/>
      <c r="N68" s="140"/>
    </row>
    <row r="69" spans="1:14" s="126" customFormat="1" x14ac:dyDescent="0.25">
      <c r="B69" s="163" t="s">
        <v>345</v>
      </c>
      <c r="C69" s="164" t="str">
        <f>"1/("&amp;$J$136&amp;"x "&amp;J69&amp;")"</f>
        <v>1/(0x 1800)</v>
      </c>
      <c r="D69" s="165">
        <v>0</v>
      </c>
      <c r="E69" s="166" t="e">
        <f>ROUND((1/($J$136*J69))*D69,2)</f>
        <v>#DIV/0!</v>
      </c>
      <c r="F69" s="141"/>
      <c r="G69" s="141"/>
      <c r="H69" s="141"/>
      <c r="I69" s="121"/>
      <c r="J69" s="135">
        <f>$D$128</f>
        <v>1800</v>
      </c>
      <c r="K69" s="143"/>
      <c r="L69" s="121"/>
      <c r="M69" s="121"/>
      <c r="N69" s="140"/>
    </row>
    <row r="70" spans="1:14" s="126" customFormat="1" x14ac:dyDescent="0.25">
      <c r="B70" s="163" t="s">
        <v>346</v>
      </c>
      <c r="C70" s="164" t="str">
        <f>"1/"&amp;J69</f>
        <v>1/1800</v>
      </c>
      <c r="D70" s="165">
        <f>Canoas!E118</f>
        <v>3620.59</v>
      </c>
      <c r="E70" s="166">
        <f>ROUND(D70*(1/J69),2)</f>
        <v>2.0099999999999998</v>
      </c>
      <c r="F70" s="141"/>
      <c r="G70" s="141"/>
      <c r="H70" s="141"/>
      <c r="I70" s="121"/>
      <c r="J70" s="140"/>
      <c r="K70" s="143"/>
      <c r="L70" s="121"/>
      <c r="M70" s="121"/>
      <c r="N70" s="140"/>
    </row>
    <row r="71" spans="1:14" s="126" customFormat="1" x14ac:dyDescent="0.25">
      <c r="B71" s="448" t="s">
        <v>347</v>
      </c>
      <c r="C71" s="449"/>
      <c r="D71" s="449"/>
      <c r="E71" s="167" t="e">
        <f>ROUND(SUM(E69:E70),2)</f>
        <v>#DIV/0!</v>
      </c>
      <c r="F71" s="141"/>
      <c r="G71" s="141"/>
      <c r="H71" s="141"/>
      <c r="I71" s="121"/>
      <c r="J71" s="140"/>
      <c r="K71" s="143"/>
      <c r="L71" s="121"/>
      <c r="M71" s="121"/>
      <c r="N71" s="140"/>
    </row>
    <row r="72" spans="1:14" s="126" customFormat="1" x14ac:dyDescent="0.25">
      <c r="B72" s="153"/>
      <c r="C72" s="152"/>
      <c r="D72" s="152"/>
      <c r="E72" s="145"/>
      <c r="F72" s="141"/>
      <c r="G72" s="141"/>
      <c r="H72" s="141"/>
      <c r="I72" s="121"/>
      <c r="J72" s="140"/>
      <c r="K72" s="143"/>
      <c r="L72" s="121"/>
      <c r="M72" s="121"/>
      <c r="N72" s="140"/>
    </row>
    <row r="73" spans="1:14" s="126" customFormat="1" x14ac:dyDescent="0.25">
      <c r="A73" s="126">
        <f>A67+1</f>
        <v>12</v>
      </c>
      <c r="B73" s="142" t="str">
        <f>C129</f>
        <v>Pátios e áreas verdes com baixa frequência</v>
      </c>
      <c r="C73" s="141"/>
      <c r="D73" s="141"/>
      <c r="E73" s="168"/>
      <c r="F73" s="141"/>
      <c r="G73" s="141"/>
      <c r="H73" s="141"/>
      <c r="I73" s="121"/>
      <c r="J73" s="140"/>
      <c r="K73" s="148"/>
      <c r="L73" s="121"/>
      <c r="M73" s="121"/>
      <c r="N73" s="140"/>
    </row>
    <row r="74" spans="1:14" s="126" customFormat="1" ht="39" x14ac:dyDescent="0.25">
      <c r="B74" s="162" t="s">
        <v>341</v>
      </c>
      <c r="C74" s="162" t="s">
        <v>342</v>
      </c>
      <c r="D74" s="162" t="s">
        <v>343</v>
      </c>
      <c r="E74" s="162" t="s">
        <v>344</v>
      </c>
      <c r="F74" s="168"/>
      <c r="G74" s="141"/>
      <c r="H74" s="141"/>
      <c r="I74" s="121"/>
      <c r="J74" s="140"/>
      <c r="K74" s="148"/>
      <c r="L74" s="121"/>
      <c r="M74" s="121"/>
      <c r="N74" s="140"/>
    </row>
    <row r="75" spans="1:14" s="126" customFormat="1" x14ac:dyDescent="0.25">
      <c r="B75" s="163" t="s">
        <v>345</v>
      </c>
      <c r="C75" s="164" t="str">
        <f>"1/("&amp;$J$136&amp;"x "&amp;J75&amp;")"</f>
        <v>1/(0x 1800)</v>
      </c>
      <c r="D75" s="165">
        <v>0</v>
      </c>
      <c r="E75" s="166" t="e">
        <f>ROUND((1/($J$136*J75))*D75,2)</f>
        <v>#DIV/0!</v>
      </c>
      <c r="F75" s="141"/>
      <c r="G75" s="141"/>
      <c r="H75" s="141"/>
      <c r="I75" s="121"/>
      <c r="J75" s="135">
        <f>$D$129</f>
        <v>1800</v>
      </c>
      <c r="K75" s="150"/>
      <c r="L75" s="121"/>
      <c r="M75" s="121"/>
      <c r="N75" s="140"/>
    </row>
    <row r="76" spans="1:14" s="126" customFormat="1" x14ac:dyDescent="0.25">
      <c r="B76" s="163" t="s">
        <v>346</v>
      </c>
      <c r="C76" s="164" t="str">
        <f>"1/"&amp;J75</f>
        <v>1/1800</v>
      </c>
      <c r="D76" s="165">
        <f>Canoas!E118</f>
        <v>3620.59</v>
      </c>
      <c r="E76" s="166">
        <f>ROUND(D76*(1/J75),2)</f>
        <v>2.0099999999999998</v>
      </c>
      <c r="F76" s="141"/>
      <c r="G76" s="141"/>
      <c r="H76" s="141"/>
      <c r="I76" s="121"/>
      <c r="K76" s="143"/>
      <c r="L76" s="121"/>
      <c r="M76" s="121"/>
      <c r="N76" s="140"/>
    </row>
    <row r="77" spans="1:14" s="126" customFormat="1" x14ac:dyDescent="0.25">
      <c r="B77" s="448" t="s">
        <v>347</v>
      </c>
      <c r="C77" s="449"/>
      <c r="D77" s="449"/>
      <c r="E77" s="167" t="e">
        <f>ROUND(SUM(E75:E76),2)</f>
        <v>#DIV/0!</v>
      </c>
      <c r="F77" s="141"/>
      <c r="G77" s="141"/>
      <c r="H77" s="141"/>
      <c r="I77" s="121"/>
      <c r="J77" s="140"/>
      <c r="K77" s="148"/>
      <c r="L77" s="121"/>
      <c r="M77" s="121"/>
      <c r="N77" s="140"/>
    </row>
    <row r="78" spans="1:14" x14ac:dyDescent="0.25">
      <c r="B78" s="142"/>
      <c r="C78" s="141"/>
      <c r="D78" s="141"/>
      <c r="E78" s="141"/>
      <c r="F78" s="141"/>
      <c r="G78" s="141"/>
      <c r="H78" s="141"/>
    </row>
    <row r="79" spans="1:14" s="126" customFormat="1" x14ac:dyDescent="0.25">
      <c r="A79" s="126">
        <f>A73+1</f>
        <v>13</v>
      </c>
      <c r="B79" s="142" t="str">
        <f>C130</f>
        <v>Coleta de detritos em pátios e áreas verdes com frequência diária</v>
      </c>
      <c r="C79" s="141"/>
      <c r="D79" s="141"/>
      <c r="E79" s="168"/>
      <c r="F79" s="141"/>
      <c r="G79" s="141"/>
      <c r="H79" s="141"/>
      <c r="I79" s="121"/>
      <c r="L79" s="121"/>
      <c r="M79" s="121"/>
      <c r="N79" s="140"/>
    </row>
    <row r="80" spans="1:14" s="126" customFormat="1" ht="39" x14ac:dyDescent="0.25">
      <c r="B80" s="162" t="s">
        <v>341</v>
      </c>
      <c r="C80" s="162" t="s">
        <v>342</v>
      </c>
      <c r="D80" s="162" t="s">
        <v>343</v>
      </c>
      <c r="E80" s="162" t="s">
        <v>344</v>
      </c>
      <c r="F80" s="168"/>
      <c r="G80" s="141"/>
      <c r="H80" s="141"/>
      <c r="I80" s="121"/>
      <c r="K80" s="143"/>
      <c r="L80" s="121"/>
      <c r="M80" s="121"/>
      <c r="N80" s="140"/>
    </row>
    <row r="81" spans="1:14" s="126" customFormat="1" x14ac:dyDescent="0.25">
      <c r="B81" s="163" t="s">
        <v>345</v>
      </c>
      <c r="C81" s="164" t="str">
        <f>"1/("&amp;$J$136&amp;"x "&amp;J81&amp;")"</f>
        <v>1/(0x 100000)</v>
      </c>
      <c r="D81" s="165">
        <v>0</v>
      </c>
      <c r="E81" s="166" t="e">
        <f>ROUND((1/($J$136*J81))*D81,2)</f>
        <v>#DIV/0!</v>
      </c>
      <c r="F81" s="141"/>
      <c r="G81" s="141"/>
      <c r="H81" s="141"/>
      <c r="I81" s="121"/>
      <c r="J81" s="135">
        <f>$D$130</f>
        <v>100000</v>
      </c>
      <c r="K81" s="143"/>
      <c r="L81" s="121"/>
      <c r="M81" s="121"/>
      <c r="N81" s="140"/>
    </row>
    <row r="82" spans="1:14" s="126" customFormat="1" x14ac:dyDescent="0.25">
      <c r="B82" s="163" t="s">
        <v>346</v>
      </c>
      <c r="C82" s="164" t="str">
        <f>"1/"&amp;J81</f>
        <v>1/100000</v>
      </c>
      <c r="D82" s="165">
        <f>Canoas!E118</f>
        <v>3620.59</v>
      </c>
      <c r="E82" s="166">
        <f>ROUND(D82*(1/J81),2)</f>
        <v>0.04</v>
      </c>
      <c r="F82" s="141"/>
      <c r="G82" s="141"/>
      <c r="H82" s="141"/>
      <c r="I82" s="121"/>
      <c r="J82" s="140"/>
      <c r="K82" s="143"/>
      <c r="L82" s="121"/>
      <c r="M82" s="121"/>
      <c r="N82" s="140"/>
    </row>
    <row r="83" spans="1:14" s="126" customFormat="1" x14ac:dyDescent="0.25">
      <c r="B83" s="448" t="s">
        <v>347</v>
      </c>
      <c r="C83" s="449"/>
      <c r="D83" s="449"/>
      <c r="E83" s="167" t="e">
        <f>ROUND(SUM(E81:E82),2)</f>
        <v>#DIV/0!</v>
      </c>
      <c r="F83" s="141"/>
      <c r="G83" s="141"/>
      <c r="H83" s="141"/>
      <c r="I83" s="121"/>
      <c r="J83" s="140"/>
      <c r="K83" s="143"/>
      <c r="L83" s="121"/>
      <c r="M83" s="121"/>
      <c r="N83" s="140"/>
    </row>
    <row r="84" spans="1:14" s="126" customFormat="1" x14ac:dyDescent="0.25">
      <c r="B84" s="153"/>
      <c r="C84" s="152"/>
      <c r="D84" s="152"/>
      <c r="E84" s="145"/>
      <c r="F84" s="141"/>
      <c r="G84" s="141"/>
      <c r="H84" s="141"/>
      <c r="I84" s="121"/>
      <c r="J84" s="140"/>
      <c r="K84" s="143"/>
      <c r="L84" s="121"/>
      <c r="M84" s="121"/>
      <c r="N84" s="140"/>
    </row>
    <row r="85" spans="1:14" s="126" customFormat="1" x14ac:dyDescent="0.25">
      <c r="A85" s="126">
        <f>A79+1</f>
        <v>14</v>
      </c>
      <c r="B85" s="142" t="str">
        <f>C131</f>
        <v>Áreas Hospitalares e assemelhadas</v>
      </c>
      <c r="C85" s="141"/>
      <c r="D85" s="141"/>
      <c r="E85" s="168"/>
      <c r="F85" s="141"/>
      <c r="G85" s="141"/>
      <c r="H85" s="141"/>
      <c r="I85" s="121"/>
      <c r="J85" s="140"/>
      <c r="K85" s="148"/>
      <c r="L85" s="121"/>
      <c r="M85" s="121"/>
      <c r="N85" s="140"/>
    </row>
    <row r="86" spans="1:14" s="126" customFormat="1" ht="39" x14ac:dyDescent="0.25">
      <c r="B86" s="162" t="s">
        <v>341</v>
      </c>
      <c r="C86" s="162" t="s">
        <v>342</v>
      </c>
      <c r="D86" s="162" t="s">
        <v>343</v>
      </c>
      <c r="E86" s="162" t="s">
        <v>344</v>
      </c>
      <c r="F86" s="168"/>
      <c r="G86" s="141"/>
      <c r="H86" s="141"/>
      <c r="I86" s="121"/>
      <c r="J86" s="140"/>
      <c r="K86" s="148"/>
      <c r="L86" s="121"/>
      <c r="M86" s="121"/>
      <c r="N86" s="140"/>
    </row>
    <row r="87" spans="1:14" s="126" customFormat="1" x14ac:dyDescent="0.25">
      <c r="B87" s="163" t="s">
        <v>345</v>
      </c>
      <c r="C87" s="164" t="str">
        <f>"1/("&amp;$J$136&amp;"x "&amp;J87&amp;")"</f>
        <v>1/(0x 360)</v>
      </c>
      <c r="D87" s="165">
        <v>0</v>
      </c>
      <c r="E87" s="166" t="e">
        <f>ROUND((1/($J$136*J87))*D87,2)</f>
        <v>#DIV/0!</v>
      </c>
      <c r="F87" s="141"/>
      <c r="G87" s="141"/>
      <c r="H87" s="141"/>
      <c r="I87" s="121"/>
      <c r="J87" s="135">
        <f>$D$131</f>
        <v>360</v>
      </c>
      <c r="K87" s="150"/>
      <c r="L87" s="121"/>
      <c r="M87" s="121"/>
      <c r="N87" s="140"/>
    </row>
    <row r="88" spans="1:14" s="126" customFormat="1" x14ac:dyDescent="0.25">
      <c r="B88" s="163" t="s">
        <v>346</v>
      </c>
      <c r="C88" s="164" t="str">
        <f>"1/"&amp;J87</f>
        <v>1/360</v>
      </c>
      <c r="D88" s="165">
        <f>Canoas!E118</f>
        <v>3620.59</v>
      </c>
      <c r="E88" s="166">
        <f>ROUND(D88*(1/J87),2)</f>
        <v>10.06</v>
      </c>
      <c r="F88" s="141"/>
      <c r="G88" s="141"/>
      <c r="H88" s="141"/>
      <c r="I88" s="121"/>
      <c r="K88" s="143"/>
      <c r="L88" s="121"/>
      <c r="M88" s="121"/>
      <c r="N88" s="140"/>
    </row>
    <row r="89" spans="1:14" s="126" customFormat="1" x14ac:dyDescent="0.25">
      <c r="B89" s="448" t="s">
        <v>347</v>
      </c>
      <c r="C89" s="449"/>
      <c r="D89" s="449"/>
      <c r="E89" s="167" t="e">
        <f>ROUND(SUM(E87:E88),2)</f>
        <v>#DIV/0!</v>
      </c>
      <c r="F89" s="141"/>
      <c r="G89" s="141"/>
      <c r="H89" s="141"/>
      <c r="I89" s="121"/>
      <c r="J89" s="140"/>
      <c r="K89" s="148"/>
      <c r="L89" s="121"/>
      <c r="M89" s="121"/>
      <c r="N89" s="140"/>
    </row>
    <row r="90" spans="1:14" s="126" customFormat="1" x14ac:dyDescent="0.25">
      <c r="B90" s="147"/>
      <c r="C90" s="146"/>
      <c r="D90" s="146"/>
      <c r="E90" s="145"/>
      <c r="F90" s="121"/>
      <c r="G90" s="121"/>
      <c r="H90" s="121"/>
      <c r="I90" s="121"/>
      <c r="J90" s="140"/>
      <c r="K90" s="148"/>
      <c r="L90" s="121"/>
      <c r="M90" s="121"/>
      <c r="N90" s="140"/>
    </row>
    <row r="91" spans="1:14" s="126" customFormat="1" x14ac:dyDescent="0.25">
      <c r="A91" s="126">
        <f>A85+1</f>
        <v>15</v>
      </c>
      <c r="B91" s="142" t="str">
        <f>C132</f>
        <v>Esquadrias Externas face externa com exposição a situação de risco</v>
      </c>
      <c r="C91" s="141"/>
      <c r="D91" s="141"/>
      <c r="E91" s="141"/>
      <c r="F91" s="141"/>
      <c r="G91" s="141"/>
      <c r="H91" s="168"/>
      <c r="I91" s="140"/>
      <c r="J91" s="140"/>
      <c r="K91" s="148"/>
      <c r="L91" s="121"/>
      <c r="M91" s="121"/>
      <c r="N91" s="140"/>
    </row>
    <row r="92" spans="1:14" s="126" customFormat="1" ht="52" x14ac:dyDescent="0.25">
      <c r="B92" s="162" t="s">
        <v>341</v>
      </c>
      <c r="C92" s="162" t="s">
        <v>342</v>
      </c>
      <c r="D92" s="162" t="s">
        <v>348</v>
      </c>
      <c r="E92" s="162" t="s">
        <v>349</v>
      </c>
      <c r="F92" s="162" t="s">
        <v>350</v>
      </c>
      <c r="G92" s="162" t="s">
        <v>351</v>
      </c>
      <c r="H92" s="162" t="s">
        <v>352</v>
      </c>
      <c r="I92" s="151"/>
      <c r="J92" s="140"/>
      <c r="K92" s="148"/>
      <c r="L92" s="121"/>
      <c r="M92" s="121"/>
      <c r="N92" s="140"/>
    </row>
    <row r="93" spans="1:14" s="126" customFormat="1" x14ac:dyDescent="0.25">
      <c r="B93" s="163" t="s">
        <v>345</v>
      </c>
      <c r="C93" s="164" t="str">
        <f>"1/("&amp;$J$136&amp;"x "&amp;J93&amp;")"</f>
        <v>1/(0x 130)</v>
      </c>
      <c r="D93" s="164">
        <v>16</v>
      </c>
      <c r="E93" s="164" t="s">
        <v>353</v>
      </c>
      <c r="F93" s="170" t="e">
        <f>ROUND((1/($J$136*J93))*(D93)*(1/188.76),7)</f>
        <v>#DIV/0!</v>
      </c>
      <c r="G93" s="165">
        <v>0</v>
      </c>
      <c r="H93" s="166" t="e">
        <f>ROUND(F93*G93,2)</f>
        <v>#DIV/0!</v>
      </c>
      <c r="I93" s="149"/>
      <c r="J93" s="135">
        <f>$D$132</f>
        <v>130</v>
      </c>
      <c r="K93" s="150"/>
      <c r="L93" s="121"/>
      <c r="M93" s="121"/>
      <c r="N93" s="140"/>
    </row>
    <row r="94" spans="1:14" s="126" customFormat="1" x14ac:dyDescent="0.25">
      <c r="B94" s="163" t="s">
        <v>346</v>
      </c>
      <c r="C94" s="164" t="str">
        <f>"1/"&amp;J93</f>
        <v>1/130</v>
      </c>
      <c r="D94" s="164">
        <v>16</v>
      </c>
      <c r="E94" s="164" t="s">
        <v>353</v>
      </c>
      <c r="F94" s="170">
        <f>ROUND((1/(J93))*(D94)*(1/188.76),7)</f>
        <v>6.5200000000000002E-4</v>
      </c>
      <c r="G94" s="165">
        <f>Canoas!E118</f>
        <v>3620.59</v>
      </c>
      <c r="H94" s="166">
        <f>ROUND(F94*G94,2)</f>
        <v>2.36</v>
      </c>
      <c r="I94" s="149"/>
      <c r="K94" s="148"/>
      <c r="L94" s="121"/>
      <c r="M94" s="121"/>
      <c r="N94" s="140"/>
    </row>
    <row r="95" spans="1:14" s="126" customFormat="1" x14ac:dyDescent="0.25">
      <c r="B95" s="448" t="s">
        <v>347</v>
      </c>
      <c r="C95" s="449"/>
      <c r="D95" s="449"/>
      <c r="E95" s="449"/>
      <c r="F95" s="449"/>
      <c r="G95" s="449"/>
      <c r="H95" s="167" t="e">
        <f>ROUND(SUM(H93:H94),2)</f>
        <v>#DIV/0!</v>
      </c>
      <c r="I95" s="145"/>
      <c r="J95" s="140"/>
      <c r="K95" s="148"/>
      <c r="L95" s="121"/>
      <c r="M95" s="121"/>
      <c r="N95" s="140"/>
    </row>
    <row r="96" spans="1:14" s="126" customFormat="1" x14ac:dyDescent="0.25">
      <c r="B96" s="147"/>
      <c r="C96" s="146"/>
      <c r="D96" s="146"/>
      <c r="E96" s="145"/>
      <c r="F96" s="121"/>
      <c r="G96" s="121"/>
      <c r="H96" s="121"/>
      <c r="I96" s="121"/>
      <c r="J96" s="140"/>
      <c r="K96" s="148"/>
      <c r="L96" s="121"/>
      <c r="M96" s="121"/>
      <c r="N96" s="140"/>
    </row>
    <row r="97" spans="1:14" s="126" customFormat="1" x14ac:dyDescent="0.25">
      <c r="A97" s="126">
        <f>A91+1</f>
        <v>16</v>
      </c>
      <c r="B97" s="142" t="str">
        <f>C133</f>
        <v>Esquadrias Externas face externa sem exposição a situação de risco</v>
      </c>
      <c r="C97" s="141"/>
      <c r="D97" s="141"/>
      <c r="E97" s="141"/>
      <c r="F97" s="141"/>
      <c r="G97" s="141"/>
      <c r="H97" s="168"/>
      <c r="I97" s="140"/>
      <c r="J97" s="140"/>
      <c r="K97" s="148"/>
      <c r="L97" s="121"/>
      <c r="M97" s="121"/>
      <c r="N97" s="140"/>
    </row>
    <row r="98" spans="1:14" s="126" customFormat="1" ht="52" x14ac:dyDescent="0.25">
      <c r="B98" s="162" t="s">
        <v>341</v>
      </c>
      <c r="C98" s="162" t="s">
        <v>342</v>
      </c>
      <c r="D98" s="162" t="s">
        <v>348</v>
      </c>
      <c r="E98" s="162" t="s">
        <v>349</v>
      </c>
      <c r="F98" s="162" t="s">
        <v>350</v>
      </c>
      <c r="G98" s="162" t="s">
        <v>351</v>
      </c>
      <c r="H98" s="162" t="s">
        <v>352</v>
      </c>
      <c r="I98" s="151"/>
      <c r="J98" s="140"/>
      <c r="K98" s="148"/>
      <c r="L98" s="121"/>
      <c r="M98" s="121"/>
      <c r="N98" s="140"/>
    </row>
    <row r="99" spans="1:14" s="126" customFormat="1" x14ac:dyDescent="0.25">
      <c r="B99" s="163" t="s">
        <v>345</v>
      </c>
      <c r="C99" s="164" t="str">
        <f>"1/("&amp;$J$136&amp;"x "&amp;J99&amp;")"</f>
        <v>1/(0x 300)</v>
      </c>
      <c r="D99" s="164">
        <v>16</v>
      </c>
      <c r="E99" s="164" t="s">
        <v>353</v>
      </c>
      <c r="F99" s="170" t="e">
        <f>ROUND((1/($J$136*J99))*(D99)*(1/188.76),7)</f>
        <v>#DIV/0!</v>
      </c>
      <c r="G99" s="165">
        <v>0</v>
      </c>
      <c r="H99" s="166" t="e">
        <f>ROUND(F99*G99,2)</f>
        <v>#DIV/0!</v>
      </c>
      <c r="I99" s="149"/>
      <c r="J99" s="135">
        <f>$D$133</f>
        <v>300</v>
      </c>
      <c r="K99" s="150"/>
      <c r="L99" s="121"/>
      <c r="M99" s="121"/>
      <c r="N99" s="140"/>
    </row>
    <row r="100" spans="1:14" s="126" customFormat="1" x14ac:dyDescent="0.25">
      <c r="B100" s="163" t="s">
        <v>346</v>
      </c>
      <c r="C100" s="164" t="str">
        <f>"1/"&amp;J99</f>
        <v>1/300</v>
      </c>
      <c r="D100" s="164">
        <v>16</v>
      </c>
      <c r="E100" s="164" t="s">
        <v>353</v>
      </c>
      <c r="F100" s="170">
        <f>ROUND((1/(J99))*(D100)*(1/188.76),7)</f>
        <v>2.8249999999999998E-4</v>
      </c>
      <c r="G100" s="165">
        <f>Canoas!E118</f>
        <v>3620.59</v>
      </c>
      <c r="H100" s="166">
        <f>ROUND(F100*G100,2)</f>
        <v>1.02</v>
      </c>
      <c r="I100" s="149"/>
      <c r="K100" s="148"/>
      <c r="L100" s="121"/>
      <c r="M100" s="121"/>
      <c r="N100" s="140"/>
    </row>
    <row r="101" spans="1:14" s="126" customFormat="1" x14ac:dyDescent="0.25">
      <c r="B101" s="448" t="s">
        <v>347</v>
      </c>
      <c r="C101" s="449"/>
      <c r="D101" s="449"/>
      <c r="E101" s="449"/>
      <c r="F101" s="449"/>
      <c r="G101" s="449"/>
      <c r="H101" s="167" t="e">
        <f>ROUND(SUM(H99:H100),2)</f>
        <v>#DIV/0!</v>
      </c>
      <c r="I101" s="145"/>
      <c r="J101" s="140"/>
      <c r="K101" s="148"/>
      <c r="L101" s="121"/>
      <c r="M101" s="121"/>
      <c r="N101" s="140"/>
    </row>
    <row r="102" spans="1:14" s="126" customFormat="1" x14ac:dyDescent="0.25">
      <c r="B102" s="153"/>
      <c r="C102" s="152"/>
      <c r="D102" s="152"/>
      <c r="E102" s="152"/>
      <c r="F102" s="152"/>
      <c r="G102" s="152"/>
      <c r="H102" s="145"/>
      <c r="I102" s="145"/>
      <c r="J102" s="140"/>
      <c r="K102" s="148"/>
      <c r="L102" s="121"/>
      <c r="M102" s="121"/>
      <c r="N102" s="140"/>
    </row>
    <row r="103" spans="1:14" s="126" customFormat="1" x14ac:dyDescent="0.25">
      <c r="A103" s="126">
        <f>A97+1</f>
        <v>17</v>
      </c>
      <c r="B103" s="142" t="str">
        <f>C134</f>
        <v>Esquadrias Externas face interna</v>
      </c>
      <c r="C103" s="141"/>
      <c r="D103" s="141"/>
      <c r="E103" s="141"/>
      <c r="F103" s="141"/>
      <c r="G103" s="141"/>
      <c r="H103" s="168"/>
      <c r="I103" s="140"/>
      <c r="J103" s="140"/>
      <c r="K103" s="148"/>
      <c r="L103" s="121"/>
      <c r="M103" s="121"/>
      <c r="N103" s="140"/>
    </row>
    <row r="104" spans="1:14" s="126" customFormat="1" ht="52" x14ac:dyDescent="0.25">
      <c r="B104" s="162" t="s">
        <v>341</v>
      </c>
      <c r="C104" s="162" t="s">
        <v>342</v>
      </c>
      <c r="D104" s="162" t="s">
        <v>348</v>
      </c>
      <c r="E104" s="162" t="s">
        <v>349</v>
      </c>
      <c r="F104" s="162" t="s">
        <v>350</v>
      </c>
      <c r="G104" s="162" t="s">
        <v>351</v>
      </c>
      <c r="H104" s="162" t="s">
        <v>352</v>
      </c>
      <c r="I104" s="151"/>
      <c r="J104" s="140"/>
      <c r="K104" s="148"/>
      <c r="L104" s="121"/>
      <c r="M104" s="121"/>
      <c r="N104" s="140"/>
    </row>
    <row r="105" spans="1:14" s="126" customFormat="1" x14ac:dyDescent="0.25">
      <c r="B105" s="163" t="s">
        <v>345</v>
      </c>
      <c r="C105" s="164" t="str">
        <f>"1/("&amp;$J$136&amp;"x "&amp;J105&amp;")"</f>
        <v>1/(0x 300)</v>
      </c>
      <c r="D105" s="164">
        <v>16</v>
      </c>
      <c r="E105" s="164" t="s">
        <v>353</v>
      </c>
      <c r="F105" s="170" t="e">
        <f>ROUND((1/($J$136*J105))*(D105)*(1/188.76),7)</f>
        <v>#DIV/0!</v>
      </c>
      <c r="G105" s="165">
        <v>0</v>
      </c>
      <c r="H105" s="166" t="e">
        <f>ROUND(F105*G105,2)</f>
        <v>#DIV/0!</v>
      </c>
      <c r="I105" s="149"/>
      <c r="J105" s="135">
        <f>$D$134</f>
        <v>300</v>
      </c>
      <c r="K105" s="150"/>
      <c r="L105" s="121"/>
      <c r="M105" s="121"/>
      <c r="N105" s="140"/>
    </row>
    <row r="106" spans="1:14" s="126" customFormat="1" x14ac:dyDescent="0.25">
      <c r="B106" s="163" t="s">
        <v>346</v>
      </c>
      <c r="C106" s="164" t="str">
        <f>"1/"&amp;J105</f>
        <v>1/300</v>
      </c>
      <c r="D106" s="164">
        <v>16</v>
      </c>
      <c r="E106" s="164" t="s">
        <v>353</v>
      </c>
      <c r="F106" s="170">
        <f>ROUND((1/(J105))*(D106)*(1/188.76),7)</f>
        <v>2.8249999999999998E-4</v>
      </c>
      <c r="G106" s="165">
        <f>Canoas!E118</f>
        <v>3620.59</v>
      </c>
      <c r="H106" s="166">
        <f>ROUND(F106*G106,2)</f>
        <v>1.02</v>
      </c>
      <c r="I106" s="149"/>
      <c r="K106" s="148"/>
      <c r="L106" s="121"/>
      <c r="M106" s="121"/>
      <c r="N106" s="140"/>
    </row>
    <row r="107" spans="1:14" s="126" customFormat="1" x14ac:dyDescent="0.25">
      <c r="B107" s="448" t="s">
        <v>347</v>
      </c>
      <c r="C107" s="449"/>
      <c r="D107" s="449"/>
      <c r="E107" s="449"/>
      <c r="F107" s="449"/>
      <c r="G107" s="449"/>
      <c r="H107" s="167" t="e">
        <f>ROUND(SUM(H105:H106),2)</f>
        <v>#DIV/0!</v>
      </c>
      <c r="I107" s="145"/>
      <c r="J107" s="140"/>
      <c r="K107" s="148"/>
      <c r="L107" s="121"/>
      <c r="M107" s="121"/>
      <c r="N107" s="140"/>
    </row>
    <row r="108" spans="1:14" s="126" customFormat="1" x14ac:dyDescent="0.25">
      <c r="B108" s="147"/>
      <c r="C108" s="146"/>
      <c r="D108" s="146"/>
      <c r="E108" s="145"/>
      <c r="F108" s="121"/>
      <c r="G108" s="121"/>
      <c r="H108" s="121"/>
      <c r="I108" s="121"/>
      <c r="J108" s="140"/>
      <c r="K108" s="144"/>
      <c r="L108" s="121"/>
      <c r="M108" s="121"/>
      <c r="N108" s="140"/>
    </row>
    <row r="109" spans="1:14" s="126" customFormat="1" x14ac:dyDescent="0.25">
      <c r="A109" s="126">
        <f>A103+1</f>
        <v>18</v>
      </c>
      <c r="B109" s="142" t="str">
        <f>C135</f>
        <v>Fachadas Envidraçadas</v>
      </c>
      <c r="C109" s="141"/>
      <c r="D109" s="141"/>
      <c r="E109" s="141"/>
      <c r="F109" s="141"/>
      <c r="G109" s="141"/>
      <c r="H109" s="168"/>
      <c r="I109" s="121"/>
      <c r="J109" s="140"/>
      <c r="K109" s="144"/>
      <c r="L109" s="121"/>
      <c r="M109" s="121"/>
      <c r="N109" s="140"/>
    </row>
    <row r="110" spans="1:14" s="126" customFormat="1" ht="52" x14ac:dyDescent="0.25">
      <c r="B110" s="162" t="s">
        <v>341</v>
      </c>
      <c r="C110" s="162" t="s">
        <v>342</v>
      </c>
      <c r="D110" s="162" t="s">
        <v>348</v>
      </c>
      <c r="E110" s="162" t="s">
        <v>349</v>
      </c>
      <c r="F110" s="162" t="s">
        <v>350</v>
      </c>
      <c r="G110" s="162" t="s">
        <v>351</v>
      </c>
      <c r="H110" s="162" t="s">
        <v>352</v>
      </c>
      <c r="I110" s="121"/>
      <c r="J110" s="140"/>
      <c r="K110" s="144"/>
      <c r="L110" s="121"/>
      <c r="M110" s="121"/>
      <c r="N110" s="140"/>
    </row>
    <row r="111" spans="1:14" s="126" customFormat="1" x14ac:dyDescent="0.25">
      <c r="B111" s="163" t="s">
        <v>345</v>
      </c>
      <c r="C111" s="164" t="str">
        <f>"1/("&amp;$J$136&amp;"x "&amp;J111&amp;")"</f>
        <v>1/(0x 130)</v>
      </c>
      <c r="D111" s="164">
        <v>8</v>
      </c>
      <c r="E111" s="164" t="s">
        <v>354</v>
      </c>
      <c r="F111" s="170" t="e">
        <f>ROUND((1/($J$136*J111))*(D111)*(1/1132.6),7)</f>
        <v>#DIV/0!</v>
      </c>
      <c r="G111" s="165">
        <v>0</v>
      </c>
      <c r="H111" s="166" t="e">
        <f>ROUND(F111*G111,2)</f>
        <v>#DIV/0!</v>
      </c>
      <c r="I111" s="121"/>
      <c r="J111" s="135">
        <f>$D$135</f>
        <v>130</v>
      </c>
      <c r="K111" s="143"/>
      <c r="L111" s="121"/>
      <c r="M111" s="121"/>
      <c r="N111" s="140"/>
    </row>
    <row r="112" spans="1:14" s="126" customFormat="1" x14ac:dyDescent="0.25">
      <c r="B112" s="163" t="s">
        <v>346</v>
      </c>
      <c r="C112" s="164" t="str">
        <f>"1/"&amp;J111</f>
        <v>1/130</v>
      </c>
      <c r="D112" s="164">
        <v>8</v>
      </c>
      <c r="E112" s="164" t="s">
        <v>354</v>
      </c>
      <c r="F112" s="170">
        <f>ROUND((1/(J111))*(D112)*(1/1132.6),7)</f>
        <v>5.4299999999999998E-5</v>
      </c>
      <c r="G112" s="165">
        <f>Canoas!E118</f>
        <v>3620.59</v>
      </c>
      <c r="H112" s="166">
        <f>ROUND(F112*G112,2)</f>
        <v>0.2</v>
      </c>
      <c r="I112" s="121"/>
      <c r="K112" s="143"/>
      <c r="L112" s="121"/>
      <c r="M112" s="121"/>
      <c r="N112" s="140"/>
    </row>
    <row r="113" spans="1:17" s="126" customFormat="1" x14ac:dyDescent="0.25">
      <c r="B113" s="448" t="s">
        <v>347</v>
      </c>
      <c r="C113" s="449"/>
      <c r="D113" s="449"/>
      <c r="E113" s="449"/>
      <c r="F113" s="449"/>
      <c r="G113" s="449"/>
      <c r="H113" s="167" t="e">
        <f>ROUND(SUM(H111:H112),2)</f>
        <v>#DIV/0!</v>
      </c>
      <c r="I113" s="121"/>
      <c r="J113" s="140"/>
      <c r="K113" s="144"/>
      <c r="L113" s="121"/>
      <c r="M113" s="121"/>
      <c r="N113" s="140"/>
    </row>
    <row r="114" spans="1:17" x14ac:dyDescent="0.25">
      <c r="B114" s="142"/>
      <c r="C114" s="141"/>
      <c r="D114" s="141"/>
      <c r="E114" s="141"/>
      <c r="F114" s="141"/>
      <c r="G114" s="141"/>
      <c r="H114" s="141"/>
    </row>
    <row r="115" spans="1:17" x14ac:dyDescent="0.25">
      <c r="B115" s="142" t="s">
        <v>355</v>
      </c>
      <c r="C115" s="141"/>
      <c r="D115" s="141"/>
      <c r="E115" s="141"/>
      <c r="F115" s="141"/>
      <c r="G115" s="141"/>
      <c r="H115" s="141"/>
    </row>
    <row r="116" spans="1:17" x14ac:dyDescent="0.25">
      <c r="B116" s="142"/>
      <c r="C116" s="141"/>
      <c r="D116" s="141"/>
      <c r="E116" s="141"/>
      <c r="F116" s="141"/>
      <c r="G116" s="141"/>
      <c r="H116" s="141"/>
      <c r="J116" s="462"/>
      <c r="K116" s="462"/>
      <c r="L116" s="139"/>
      <c r="M116" s="139"/>
    </row>
    <row r="117" spans="1:17" ht="26" x14ac:dyDescent="0.25">
      <c r="B117" s="162" t="s">
        <v>18</v>
      </c>
      <c r="C117" s="162" t="s">
        <v>356</v>
      </c>
      <c r="D117" s="162" t="s">
        <v>357</v>
      </c>
      <c r="E117" s="162" t="s">
        <v>358</v>
      </c>
      <c r="F117" s="162" t="s">
        <v>359</v>
      </c>
      <c r="G117" s="162" t="s">
        <v>360</v>
      </c>
      <c r="H117" s="162" t="s">
        <v>361</v>
      </c>
      <c r="I117" s="138"/>
      <c r="J117" s="137" t="s">
        <v>362</v>
      </c>
      <c r="K117" s="137" t="s">
        <v>363</v>
      </c>
      <c r="L117" s="137"/>
      <c r="M117" s="137"/>
      <c r="Q117" s="121" t="s">
        <v>364</v>
      </c>
    </row>
    <row r="118" spans="1:17" ht="19.5" customHeight="1" x14ac:dyDescent="0.25">
      <c r="A118" s="172" t="s">
        <v>365</v>
      </c>
      <c r="B118" s="191">
        <v>1</v>
      </c>
      <c r="C118" s="192" t="s">
        <v>366</v>
      </c>
      <c r="D118" s="193">
        <v>800</v>
      </c>
      <c r="E118" s="194" t="e">
        <f>E11</f>
        <v>#DIV/0!</v>
      </c>
      <c r="F118" s="195"/>
      <c r="G118" s="196" t="e">
        <f t="shared" ref="G118:G135" si="0">ROUND(F118*E118,2)</f>
        <v>#DIV/0!</v>
      </c>
      <c r="H118" s="197" t="e">
        <f t="shared" ref="H118:H135" si="1">ROUND(G118*12,2)</f>
        <v>#DIV/0!</v>
      </c>
      <c r="I118" s="161"/>
      <c r="J118" s="136">
        <f>F118/D118</f>
        <v>0</v>
      </c>
      <c r="K118" s="136">
        <f>J118/30</f>
        <v>0</v>
      </c>
      <c r="L118" s="135"/>
      <c r="M118" s="134"/>
      <c r="N118" s="157"/>
      <c r="O118" s="158"/>
      <c r="P118" s="159"/>
    </row>
    <row r="119" spans="1:17" ht="19.5" customHeight="1" x14ac:dyDescent="0.25">
      <c r="A119" s="173" t="s">
        <v>367</v>
      </c>
      <c r="B119" s="191">
        <v>2</v>
      </c>
      <c r="C119" s="192" t="s">
        <v>368</v>
      </c>
      <c r="D119" s="193">
        <v>800</v>
      </c>
      <c r="E119" s="194" t="e">
        <f>E17</f>
        <v>#DIV/0!</v>
      </c>
      <c r="F119" s="195"/>
      <c r="G119" s="196" t="e">
        <f t="shared" si="0"/>
        <v>#DIV/0!</v>
      </c>
      <c r="H119" s="197" t="e">
        <f t="shared" si="1"/>
        <v>#DIV/0!</v>
      </c>
      <c r="I119" s="160"/>
      <c r="J119" s="136">
        <f t="shared" ref="J119:J131" si="2">F119/D119</f>
        <v>0</v>
      </c>
      <c r="K119" s="136">
        <f t="shared" ref="K119:K135" si="3">J119/30</f>
        <v>0</v>
      </c>
      <c r="L119" s="135"/>
      <c r="M119" s="134"/>
      <c r="N119" s="157"/>
      <c r="O119" s="158"/>
      <c r="P119" s="159"/>
    </row>
    <row r="120" spans="1:17" ht="19.5" customHeight="1" x14ac:dyDescent="0.25">
      <c r="A120" s="172" t="s">
        <v>369</v>
      </c>
      <c r="B120" s="191">
        <v>3</v>
      </c>
      <c r="C120" s="192" t="s">
        <v>370</v>
      </c>
      <c r="D120" s="193">
        <v>360</v>
      </c>
      <c r="E120" s="194" t="e">
        <f>E23</f>
        <v>#DIV/0!</v>
      </c>
      <c r="F120" s="195"/>
      <c r="G120" s="196" t="e">
        <f t="shared" si="0"/>
        <v>#DIV/0!</v>
      </c>
      <c r="H120" s="197" t="e">
        <f t="shared" si="1"/>
        <v>#DIV/0!</v>
      </c>
      <c r="I120" s="161"/>
      <c r="J120" s="136">
        <f t="shared" si="2"/>
        <v>0</v>
      </c>
      <c r="K120" s="136">
        <f t="shared" si="3"/>
        <v>0</v>
      </c>
      <c r="L120" s="135"/>
      <c r="M120" s="134"/>
      <c r="N120" s="157"/>
      <c r="O120" s="158"/>
      <c r="P120" s="159"/>
    </row>
    <row r="121" spans="1:17" ht="19.5" customHeight="1" x14ac:dyDescent="0.25">
      <c r="A121" s="173" t="s">
        <v>371</v>
      </c>
      <c r="B121" s="191">
        <v>4</v>
      </c>
      <c r="C121" s="192" t="s">
        <v>372</v>
      </c>
      <c r="D121" s="193">
        <v>1500</v>
      </c>
      <c r="E121" s="194" t="e">
        <f>E29</f>
        <v>#DIV/0!</v>
      </c>
      <c r="F121" s="195"/>
      <c r="G121" s="196" t="e">
        <f t="shared" si="0"/>
        <v>#DIV/0!</v>
      </c>
      <c r="H121" s="197" t="e">
        <f t="shared" si="1"/>
        <v>#DIV/0!</v>
      </c>
      <c r="I121" s="160"/>
      <c r="J121" s="136">
        <f t="shared" si="2"/>
        <v>0</v>
      </c>
      <c r="K121" s="136">
        <f t="shared" si="3"/>
        <v>0</v>
      </c>
      <c r="L121" s="135"/>
      <c r="M121" s="134"/>
      <c r="N121" s="157"/>
      <c r="O121" s="158"/>
      <c r="P121" s="159"/>
    </row>
    <row r="122" spans="1:17" ht="19.5" customHeight="1" x14ac:dyDescent="0.25">
      <c r="A122" s="172" t="s">
        <v>373</v>
      </c>
      <c r="B122" s="191">
        <v>5</v>
      </c>
      <c r="C122" s="192" t="s">
        <v>374</v>
      </c>
      <c r="D122" s="193">
        <v>1200</v>
      </c>
      <c r="E122" s="194" t="e">
        <f>E35</f>
        <v>#DIV/0!</v>
      </c>
      <c r="F122" s="195"/>
      <c r="G122" s="196" t="e">
        <f t="shared" si="0"/>
        <v>#DIV/0!</v>
      </c>
      <c r="H122" s="197" t="e">
        <f t="shared" si="1"/>
        <v>#DIV/0!</v>
      </c>
      <c r="I122" s="161"/>
      <c r="J122" s="136">
        <f t="shared" si="2"/>
        <v>0</v>
      </c>
      <c r="K122" s="136">
        <f t="shared" si="3"/>
        <v>0</v>
      </c>
      <c r="L122" s="135"/>
      <c r="M122" s="134"/>
      <c r="N122" s="157"/>
      <c r="O122" s="158"/>
      <c r="P122" s="159"/>
    </row>
    <row r="123" spans="1:17" ht="19.5" customHeight="1" x14ac:dyDescent="0.25">
      <c r="A123" s="173" t="s">
        <v>375</v>
      </c>
      <c r="B123" s="191">
        <v>6</v>
      </c>
      <c r="C123" s="192" t="s">
        <v>376</v>
      </c>
      <c r="D123" s="193">
        <v>1000</v>
      </c>
      <c r="E123" s="194" t="e">
        <f>E41</f>
        <v>#DIV/0!</v>
      </c>
      <c r="F123" s="195"/>
      <c r="G123" s="196" t="e">
        <f t="shared" si="0"/>
        <v>#DIV/0!</v>
      </c>
      <c r="H123" s="197" t="e">
        <f t="shared" si="1"/>
        <v>#DIV/0!</v>
      </c>
      <c r="I123" s="160"/>
      <c r="J123" s="136">
        <f t="shared" si="2"/>
        <v>0</v>
      </c>
      <c r="K123" s="136">
        <f t="shared" si="3"/>
        <v>0</v>
      </c>
      <c r="L123" s="135"/>
      <c r="M123" s="134"/>
      <c r="N123" s="156"/>
      <c r="O123" s="158"/>
      <c r="P123" s="159"/>
    </row>
    <row r="124" spans="1:17" ht="19.5" customHeight="1" x14ac:dyDescent="0.25">
      <c r="A124" s="172" t="s">
        <v>377</v>
      </c>
      <c r="B124" s="191">
        <v>7</v>
      </c>
      <c r="C124" s="192" t="s">
        <v>378</v>
      </c>
      <c r="D124" s="193">
        <v>200</v>
      </c>
      <c r="E124" s="194" t="e">
        <f>E47</f>
        <v>#DIV/0!</v>
      </c>
      <c r="F124" s="195"/>
      <c r="G124" s="196" t="e">
        <f t="shared" si="0"/>
        <v>#DIV/0!</v>
      </c>
      <c r="H124" s="197" t="e">
        <f t="shared" si="1"/>
        <v>#DIV/0!</v>
      </c>
      <c r="I124" s="161"/>
      <c r="J124" s="136">
        <f t="shared" si="2"/>
        <v>0</v>
      </c>
      <c r="K124" s="136">
        <f t="shared" si="3"/>
        <v>0</v>
      </c>
      <c r="L124" s="135"/>
      <c r="M124" s="134"/>
      <c r="N124" s="157"/>
      <c r="O124" s="158"/>
      <c r="P124" s="159"/>
    </row>
    <row r="125" spans="1:17" ht="19.5" customHeight="1" x14ac:dyDescent="0.25">
      <c r="A125" s="172" t="s">
        <v>379</v>
      </c>
      <c r="B125" s="198">
        <v>8</v>
      </c>
      <c r="C125" s="199" t="s">
        <v>380</v>
      </c>
      <c r="D125" s="200">
        <v>1800</v>
      </c>
      <c r="E125" s="201" t="e">
        <f>E53</f>
        <v>#DIV/0!</v>
      </c>
      <c r="F125" s="202"/>
      <c r="G125" s="203" t="e">
        <f t="shared" si="0"/>
        <v>#DIV/0!</v>
      </c>
      <c r="H125" s="204" t="e">
        <f t="shared" si="1"/>
        <v>#DIV/0!</v>
      </c>
      <c r="I125" s="453"/>
      <c r="J125" s="136">
        <f t="shared" si="2"/>
        <v>0</v>
      </c>
      <c r="K125" s="136">
        <f t="shared" si="3"/>
        <v>0</v>
      </c>
      <c r="L125" s="140"/>
      <c r="M125" s="134"/>
      <c r="N125" s="458"/>
      <c r="O125" s="463"/>
      <c r="P125" s="461"/>
    </row>
    <row r="126" spans="1:17" ht="19.5" customHeight="1" x14ac:dyDescent="0.25">
      <c r="A126" s="172" t="s">
        <v>381</v>
      </c>
      <c r="B126" s="198">
        <v>9</v>
      </c>
      <c r="C126" s="199" t="s">
        <v>382</v>
      </c>
      <c r="D126" s="200">
        <v>6000</v>
      </c>
      <c r="E126" s="201" t="e">
        <f>E59</f>
        <v>#DIV/0!</v>
      </c>
      <c r="F126" s="202"/>
      <c r="G126" s="203" t="e">
        <f t="shared" si="0"/>
        <v>#DIV/0!</v>
      </c>
      <c r="H126" s="204" t="e">
        <f t="shared" si="1"/>
        <v>#DIV/0!</v>
      </c>
      <c r="I126" s="453"/>
      <c r="J126" s="136">
        <f t="shared" si="2"/>
        <v>0</v>
      </c>
      <c r="K126" s="136">
        <f t="shared" si="3"/>
        <v>0</v>
      </c>
      <c r="L126" s="140"/>
      <c r="M126" s="134"/>
      <c r="N126" s="458"/>
      <c r="O126" s="463"/>
      <c r="P126" s="461"/>
    </row>
    <row r="127" spans="1:17" ht="19.5" customHeight="1" x14ac:dyDescent="0.25">
      <c r="A127" s="172" t="s">
        <v>379</v>
      </c>
      <c r="B127" s="198">
        <v>10</v>
      </c>
      <c r="C127" s="199" t="s">
        <v>383</v>
      </c>
      <c r="D127" s="200">
        <v>1800</v>
      </c>
      <c r="E127" s="201" t="e">
        <f>E65</f>
        <v>#DIV/0!</v>
      </c>
      <c r="F127" s="202"/>
      <c r="G127" s="203" t="e">
        <f t="shared" si="0"/>
        <v>#DIV/0!</v>
      </c>
      <c r="H127" s="204" t="e">
        <f t="shared" si="1"/>
        <v>#DIV/0!</v>
      </c>
      <c r="I127" s="453"/>
      <c r="J127" s="136">
        <f t="shared" si="2"/>
        <v>0</v>
      </c>
      <c r="K127" s="136">
        <f t="shared" si="3"/>
        <v>0</v>
      </c>
      <c r="L127" s="135"/>
      <c r="M127" s="134"/>
      <c r="N127" s="458"/>
      <c r="O127" s="463"/>
      <c r="P127" s="461"/>
    </row>
    <row r="128" spans="1:17" ht="19.5" customHeight="1" x14ac:dyDescent="0.25">
      <c r="A128" s="173" t="s">
        <v>379</v>
      </c>
      <c r="B128" s="198">
        <v>11</v>
      </c>
      <c r="C128" s="199" t="s">
        <v>384</v>
      </c>
      <c r="D128" s="200">
        <v>1800</v>
      </c>
      <c r="E128" s="201" t="e">
        <f>E71</f>
        <v>#DIV/0!</v>
      </c>
      <c r="F128" s="202"/>
      <c r="G128" s="203" t="e">
        <f t="shared" si="0"/>
        <v>#DIV/0!</v>
      </c>
      <c r="H128" s="204" t="e">
        <f t="shared" si="1"/>
        <v>#DIV/0!</v>
      </c>
      <c r="I128" s="453"/>
      <c r="J128" s="136">
        <f t="shared" si="2"/>
        <v>0</v>
      </c>
      <c r="K128" s="136">
        <f t="shared" si="3"/>
        <v>0</v>
      </c>
      <c r="L128" s="135"/>
      <c r="M128" s="134"/>
      <c r="N128" s="458"/>
      <c r="O128" s="463"/>
      <c r="P128" s="461"/>
    </row>
    <row r="129" spans="1:17" ht="19.5" customHeight="1" x14ac:dyDescent="0.25">
      <c r="A129" s="172" t="s">
        <v>379</v>
      </c>
      <c r="B129" s="198">
        <v>12</v>
      </c>
      <c r="C129" s="199" t="s">
        <v>385</v>
      </c>
      <c r="D129" s="200">
        <v>1800</v>
      </c>
      <c r="E129" s="201" t="e">
        <f>E77</f>
        <v>#DIV/0!</v>
      </c>
      <c r="F129" s="202"/>
      <c r="G129" s="203" t="e">
        <f t="shared" si="0"/>
        <v>#DIV/0!</v>
      </c>
      <c r="H129" s="204" t="e">
        <f t="shared" si="1"/>
        <v>#DIV/0!</v>
      </c>
      <c r="I129" s="453"/>
      <c r="J129" s="136">
        <f t="shared" si="2"/>
        <v>0</v>
      </c>
      <c r="K129" s="136">
        <f t="shared" si="3"/>
        <v>0</v>
      </c>
      <c r="L129" s="135"/>
      <c r="M129" s="134"/>
      <c r="N129" s="458"/>
      <c r="O129" s="463"/>
      <c r="P129" s="461"/>
    </row>
    <row r="130" spans="1:17" ht="19.5" customHeight="1" x14ac:dyDescent="0.25">
      <c r="A130" s="172" t="s">
        <v>386</v>
      </c>
      <c r="B130" s="198">
        <v>13</v>
      </c>
      <c r="C130" s="199" t="s">
        <v>387</v>
      </c>
      <c r="D130" s="200">
        <v>100000</v>
      </c>
      <c r="E130" s="201" t="e">
        <f>E83</f>
        <v>#DIV/0!</v>
      </c>
      <c r="F130" s="202"/>
      <c r="G130" s="203" t="e">
        <f t="shared" si="0"/>
        <v>#DIV/0!</v>
      </c>
      <c r="H130" s="204" t="e">
        <f t="shared" si="1"/>
        <v>#DIV/0!</v>
      </c>
      <c r="I130" s="453"/>
      <c r="J130" s="136">
        <f t="shared" si="2"/>
        <v>0</v>
      </c>
      <c r="K130" s="136">
        <f t="shared" si="3"/>
        <v>0</v>
      </c>
      <c r="L130" s="140"/>
      <c r="M130" s="134"/>
      <c r="N130" s="458"/>
      <c r="O130" s="463"/>
      <c r="P130" s="461"/>
    </row>
    <row r="131" spans="1:17" ht="19.5" customHeight="1" x14ac:dyDescent="0.25">
      <c r="A131" s="172" t="s">
        <v>369</v>
      </c>
      <c r="B131" s="191">
        <v>14</v>
      </c>
      <c r="C131" s="192" t="s">
        <v>388</v>
      </c>
      <c r="D131" s="193">
        <v>360</v>
      </c>
      <c r="E131" s="194" t="e">
        <f>E89</f>
        <v>#DIV/0!</v>
      </c>
      <c r="F131" s="195"/>
      <c r="G131" s="196" t="e">
        <f t="shared" si="0"/>
        <v>#DIV/0!</v>
      </c>
      <c r="H131" s="197" t="e">
        <f t="shared" si="1"/>
        <v>#DIV/0!</v>
      </c>
      <c r="I131" s="453"/>
      <c r="J131" s="136">
        <f t="shared" si="2"/>
        <v>0</v>
      </c>
      <c r="K131" s="136">
        <f t="shared" si="3"/>
        <v>0</v>
      </c>
      <c r="L131" s="140"/>
      <c r="M131" s="134"/>
      <c r="N131" s="458"/>
      <c r="O131" s="463"/>
      <c r="P131" s="461"/>
    </row>
    <row r="132" spans="1:17" ht="19.5" customHeight="1" x14ac:dyDescent="0.25">
      <c r="A132" s="172" t="s">
        <v>389</v>
      </c>
      <c r="B132" s="205">
        <v>15</v>
      </c>
      <c r="C132" s="206" t="s">
        <v>390</v>
      </c>
      <c r="D132" s="207">
        <v>130</v>
      </c>
      <c r="E132" s="208" t="e">
        <f>H95</f>
        <v>#DIV/0!</v>
      </c>
      <c r="F132" s="209"/>
      <c r="G132" s="210" t="e">
        <f t="shared" si="0"/>
        <v>#DIV/0!</v>
      </c>
      <c r="H132" s="211" t="e">
        <f t="shared" si="1"/>
        <v>#DIV/0!</v>
      </c>
      <c r="I132" s="453"/>
      <c r="J132" s="136">
        <f>((F132/D132)*(D94/188.76))</f>
        <v>0</v>
      </c>
      <c r="K132" s="136">
        <f t="shared" si="3"/>
        <v>0</v>
      </c>
      <c r="L132" s="140"/>
      <c r="M132" s="134"/>
      <c r="N132" s="458"/>
      <c r="O132" s="463"/>
      <c r="P132" s="461"/>
    </row>
    <row r="133" spans="1:17" ht="19.5" customHeight="1" x14ac:dyDescent="0.25">
      <c r="A133" s="172" t="s">
        <v>391</v>
      </c>
      <c r="B133" s="205">
        <v>16</v>
      </c>
      <c r="C133" s="206" t="s">
        <v>392</v>
      </c>
      <c r="D133" s="207">
        <v>300</v>
      </c>
      <c r="E133" s="208" t="e">
        <f>H101</f>
        <v>#DIV/0!</v>
      </c>
      <c r="F133" s="209"/>
      <c r="G133" s="210" t="e">
        <f t="shared" si="0"/>
        <v>#DIV/0!</v>
      </c>
      <c r="H133" s="211" t="e">
        <f t="shared" si="1"/>
        <v>#DIV/0!</v>
      </c>
      <c r="I133" s="161"/>
      <c r="J133" s="136">
        <f>((F133/D133)*(D100/188.76))</f>
        <v>0</v>
      </c>
      <c r="K133" s="136">
        <f t="shared" si="3"/>
        <v>0</v>
      </c>
      <c r="L133" s="135"/>
      <c r="M133" s="134"/>
      <c r="N133" s="157"/>
      <c r="O133" s="158"/>
      <c r="P133" s="159"/>
    </row>
    <row r="134" spans="1:17" ht="19.5" customHeight="1" x14ac:dyDescent="0.25">
      <c r="A134" s="172" t="s">
        <v>391</v>
      </c>
      <c r="B134" s="205">
        <v>17</v>
      </c>
      <c r="C134" s="206" t="s">
        <v>393</v>
      </c>
      <c r="D134" s="207">
        <v>300</v>
      </c>
      <c r="E134" s="208" t="e">
        <f>H107</f>
        <v>#DIV/0!</v>
      </c>
      <c r="F134" s="209"/>
      <c r="G134" s="210" t="e">
        <f t="shared" si="0"/>
        <v>#DIV/0!</v>
      </c>
      <c r="H134" s="211" t="e">
        <f t="shared" si="1"/>
        <v>#DIV/0!</v>
      </c>
      <c r="I134" s="160"/>
      <c r="J134" s="136">
        <f>((F134/D134)*(D106/188.76))</f>
        <v>0</v>
      </c>
      <c r="K134" s="136">
        <f t="shared" si="3"/>
        <v>0</v>
      </c>
      <c r="L134" s="135"/>
      <c r="M134" s="134"/>
      <c r="N134" s="157"/>
      <c r="O134" s="158"/>
      <c r="P134" s="159"/>
    </row>
    <row r="135" spans="1:17" ht="19.5" customHeight="1" x14ac:dyDescent="0.25">
      <c r="A135" s="172" t="s">
        <v>394</v>
      </c>
      <c r="B135" s="205">
        <v>18</v>
      </c>
      <c r="C135" s="206" t="s">
        <v>395</v>
      </c>
      <c r="D135" s="207">
        <v>130</v>
      </c>
      <c r="E135" s="208" t="e">
        <f>H113</f>
        <v>#DIV/0!</v>
      </c>
      <c r="F135" s="209"/>
      <c r="G135" s="210" t="e">
        <f t="shared" si="0"/>
        <v>#DIV/0!</v>
      </c>
      <c r="H135" s="211" t="e">
        <f t="shared" si="1"/>
        <v>#DIV/0!</v>
      </c>
      <c r="I135" s="160"/>
      <c r="J135" s="136">
        <f>((F135/D135)*(D112/188.76))</f>
        <v>0</v>
      </c>
      <c r="K135" s="136">
        <f t="shared" si="3"/>
        <v>0</v>
      </c>
      <c r="L135" s="135"/>
      <c r="M135" s="134"/>
      <c r="N135" s="157"/>
      <c r="O135" s="158"/>
      <c r="P135" s="159"/>
    </row>
    <row r="136" spans="1:17" ht="19.5" customHeight="1" x14ac:dyDescent="0.25">
      <c r="B136" s="455" t="s">
        <v>396</v>
      </c>
      <c r="C136" s="456"/>
      <c r="D136" s="456"/>
      <c r="E136" s="457"/>
      <c r="F136" s="174">
        <f>SUM(F118:F135)</f>
        <v>0</v>
      </c>
      <c r="G136" s="175" t="e">
        <f>ROUND(SUM(G118:G135),2)</f>
        <v>#DIV/0!</v>
      </c>
      <c r="H136" s="175" t="e">
        <f>ROUND(SUM(H118:H135),2)</f>
        <v>#DIV/0!</v>
      </c>
      <c r="I136" s="133"/>
      <c r="J136" s="132">
        <f>ROUND(SUM(J118:J135),2)</f>
        <v>0</v>
      </c>
      <c r="K136" s="132">
        <f>SUM(K118:K135)</f>
        <v>0</v>
      </c>
      <c r="L136" s="140"/>
      <c r="M136" s="157"/>
      <c r="N136" s="131"/>
      <c r="O136" s="169"/>
    </row>
    <row r="137" spans="1:17" x14ac:dyDescent="0.25">
      <c r="N137" s="130"/>
      <c r="O137" s="158"/>
    </row>
    <row r="139" spans="1:17" x14ac:dyDescent="0.25">
      <c r="L139" s="129"/>
    </row>
    <row r="140" spans="1:17" ht="12.5" x14ac:dyDescent="0.25">
      <c r="J140" s="128"/>
      <c r="L140" s="459"/>
      <c r="M140" s="459"/>
      <c r="N140" s="460"/>
      <c r="O140" s="460"/>
      <c r="P140" s="460"/>
      <c r="Q140" s="460"/>
    </row>
    <row r="141" spans="1:17" ht="12.5" x14ac:dyDescent="0.25">
      <c r="B141" s="454"/>
      <c r="E141" s="125"/>
      <c r="J141" s="128"/>
      <c r="L141" s="460"/>
      <c r="M141" s="460"/>
      <c r="N141" s="460"/>
      <c r="O141" s="460"/>
      <c r="P141" s="460"/>
      <c r="Q141" s="460"/>
    </row>
    <row r="142" spans="1:17" x14ac:dyDescent="0.25">
      <c r="B142" s="454"/>
      <c r="J142" s="127"/>
      <c r="L142" s="460"/>
      <c r="M142" s="460"/>
      <c r="N142" s="460"/>
      <c r="O142" s="460"/>
      <c r="P142" s="460"/>
      <c r="Q142" s="460"/>
    </row>
    <row r="143" spans="1:17" ht="12.5" x14ac:dyDescent="0.25">
      <c r="B143" s="454"/>
      <c r="I143" s="122"/>
      <c r="J143" s="123"/>
      <c r="L143" s="460"/>
      <c r="M143" s="460"/>
      <c r="N143" s="460"/>
      <c r="O143" s="460"/>
      <c r="P143" s="460"/>
      <c r="Q143" s="460"/>
    </row>
    <row r="144" spans="1:17" ht="12.5" x14ac:dyDescent="0.25">
      <c r="B144" s="454"/>
      <c r="E144" s="125"/>
      <c r="I144" s="122"/>
      <c r="J144" s="123"/>
      <c r="L144" s="460"/>
      <c r="M144" s="460"/>
      <c r="N144" s="460"/>
      <c r="O144" s="460"/>
      <c r="P144" s="460"/>
      <c r="Q144" s="460"/>
    </row>
    <row r="145" spans="2:17" ht="12.5" x14ac:dyDescent="0.25">
      <c r="B145" s="454"/>
      <c r="I145" s="122"/>
      <c r="J145" s="123"/>
      <c r="L145" s="460"/>
      <c r="M145" s="460"/>
      <c r="N145" s="460"/>
      <c r="O145" s="460"/>
      <c r="P145" s="460"/>
      <c r="Q145" s="460"/>
    </row>
    <row r="146" spans="2:17" ht="12.5" x14ac:dyDescent="0.25">
      <c r="B146" s="454"/>
      <c r="H146" s="125"/>
      <c r="I146" s="122"/>
      <c r="J146" s="123"/>
      <c r="L146" s="460"/>
      <c r="M146" s="460"/>
      <c r="N146" s="460"/>
      <c r="O146" s="460"/>
      <c r="P146" s="460"/>
      <c r="Q146" s="460"/>
    </row>
    <row r="147" spans="2:17" ht="12.5" x14ac:dyDescent="0.25">
      <c r="H147" s="124"/>
      <c r="I147" s="122"/>
      <c r="J147" s="123"/>
      <c r="L147" s="460"/>
      <c r="M147" s="460"/>
      <c r="N147" s="460"/>
      <c r="O147" s="460"/>
      <c r="P147" s="460"/>
      <c r="Q147" s="460"/>
    </row>
    <row r="148" spans="2:17" ht="12.5" x14ac:dyDescent="0.25">
      <c r="I148" s="122"/>
      <c r="J148" s="123"/>
      <c r="L148" s="460"/>
      <c r="M148" s="460"/>
      <c r="N148" s="460"/>
      <c r="O148" s="460"/>
      <c r="P148" s="460"/>
      <c r="Q148" s="460"/>
    </row>
    <row r="149" spans="2:17" ht="12.5" x14ac:dyDescent="0.25">
      <c r="I149" s="122"/>
      <c r="J149" s="123"/>
      <c r="L149" s="460"/>
      <c r="M149" s="460"/>
      <c r="N149" s="460"/>
      <c r="O149" s="460"/>
      <c r="P149" s="460"/>
      <c r="Q149" s="460"/>
    </row>
    <row r="150" spans="2:17" ht="12.5" x14ac:dyDescent="0.25">
      <c r="I150" s="122"/>
      <c r="J150" s="123"/>
      <c r="L150" s="460"/>
      <c r="M150" s="460"/>
      <c r="N150" s="460"/>
      <c r="O150" s="460"/>
      <c r="P150" s="460"/>
      <c r="Q150" s="460"/>
    </row>
    <row r="151" spans="2:17" ht="12.5" x14ac:dyDescent="0.25">
      <c r="I151" s="122"/>
      <c r="J151" s="123"/>
      <c r="L151" s="460"/>
      <c r="M151" s="460"/>
      <c r="N151" s="460"/>
      <c r="O151" s="460"/>
      <c r="P151" s="460"/>
      <c r="Q151" s="460"/>
    </row>
    <row r="152" spans="2:17" ht="12.5" x14ac:dyDescent="0.25">
      <c r="I152" s="122"/>
      <c r="J152" s="123"/>
      <c r="L152" s="460"/>
      <c r="M152" s="460"/>
      <c r="N152" s="460"/>
      <c r="O152" s="460"/>
      <c r="P152" s="460"/>
      <c r="Q152" s="460"/>
    </row>
    <row r="153" spans="2:17" ht="12.5" x14ac:dyDescent="0.25">
      <c r="I153" s="122"/>
      <c r="J153" s="123"/>
      <c r="L153" s="460"/>
      <c r="M153" s="460"/>
      <c r="N153" s="460"/>
      <c r="O153" s="460"/>
      <c r="P153" s="460"/>
      <c r="Q153" s="460"/>
    </row>
    <row r="154" spans="2:17" x14ac:dyDescent="0.25">
      <c r="I154" s="122"/>
      <c r="J154" s="123"/>
    </row>
    <row r="155" spans="2:17" x14ac:dyDescent="0.25">
      <c r="I155" s="122"/>
      <c r="J155" s="123"/>
    </row>
    <row r="156" spans="2:17" x14ac:dyDescent="0.25">
      <c r="I156" s="122"/>
      <c r="J156" s="123"/>
    </row>
    <row r="157" spans="2:17" x14ac:dyDescent="0.25">
      <c r="I157" s="122"/>
      <c r="J157" s="123"/>
    </row>
    <row r="158" spans="2:17" x14ac:dyDescent="0.25">
      <c r="I158" s="122"/>
      <c r="J158" s="123"/>
    </row>
    <row r="159" spans="2:17" x14ac:dyDescent="0.25">
      <c r="I159" s="122"/>
    </row>
  </sheetData>
  <mergeCells count="29">
    <mergeCell ref="B83:D83"/>
    <mergeCell ref="B89:D89"/>
    <mergeCell ref="B113:G113"/>
    <mergeCell ref="B53:D53"/>
    <mergeCell ref="B59:D59"/>
    <mergeCell ref="B65:D65"/>
    <mergeCell ref="B71:D71"/>
    <mergeCell ref="B77:D77"/>
    <mergeCell ref="N125:N132"/>
    <mergeCell ref="L140:Q153"/>
    <mergeCell ref="P125:P132"/>
    <mergeCell ref="J116:K116"/>
    <mergeCell ref="O125:O132"/>
    <mergeCell ref="I125:I132"/>
    <mergeCell ref="B141:B143"/>
    <mergeCell ref="B144:B146"/>
    <mergeCell ref="B95:G95"/>
    <mergeCell ref="B101:G101"/>
    <mergeCell ref="B107:G107"/>
    <mergeCell ref="B136:E136"/>
    <mergeCell ref="B29:D29"/>
    <mergeCell ref="B35:D35"/>
    <mergeCell ref="B41:D41"/>
    <mergeCell ref="B47:D47"/>
    <mergeCell ref="B2:H2"/>
    <mergeCell ref="B17:D17"/>
    <mergeCell ref="B11:D11"/>
    <mergeCell ref="B3:H3"/>
    <mergeCell ref="B23:D23"/>
  </mergeCells>
  <pageMargins left="0.511811024" right="0.511811024" top="0.78740157499999996" bottom="0.78740157499999996" header="0.31496062000000002" footer="0.31496062000000002"/>
  <pageSetup paperSize="9" scale="43" orientation="portrait" r:id="rId1"/>
  <headerFooter>
    <oddHeader>&amp;L&amp;"Calibri"&amp;12&amp;K008000 Pública&amp;1#_x000D_</oddHeader>
  </headerFooter>
  <rowBreaks count="1" manualBreakCount="1">
    <brk id="96" min="1" max="7" man="1"/>
  </rowBreaks>
  <colBreaks count="1" manualBreakCount="1">
    <brk id="9" max="1048575" man="1"/>
  </colBreaks>
  <ignoredErrors>
    <ignoredError sqref="E118:E135 H133:I135 G136:I145 G118:J132 G146:J151 J136:J145 G133:G135 J133:J135" evalErro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091ee9-a3f0-4f1b-8692-0cb6ad722af0" xsi:nil="true"/>
    <lcf76f155ced4ddcb4097134ff3c332f xmlns="a2e5a7ee-2897-4bc7-b0bb-b3fc79d58774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4DCCE9B96986140B956EB161C03893D" ma:contentTypeVersion="18" ma:contentTypeDescription="Crie um novo documento." ma:contentTypeScope="" ma:versionID="4679e6a0b6f004b95ab47b4461460336">
  <xsd:schema xmlns:xsd="http://www.w3.org/2001/XMLSchema" xmlns:xs="http://www.w3.org/2001/XMLSchema" xmlns:p="http://schemas.microsoft.com/office/2006/metadata/properties" xmlns:ns1="http://schemas.microsoft.com/sharepoint/v3" xmlns:ns2="35091ee9-a3f0-4f1b-8692-0cb6ad722af0" xmlns:ns3="a2e5a7ee-2897-4bc7-b0bb-b3fc79d58774" targetNamespace="http://schemas.microsoft.com/office/2006/metadata/properties" ma:root="true" ma:fieldsID="be8ce9dbea249f2e65a4393e4cda05cc" ns1:_="" ns2:_="" ns3:_="">
    <xsd:import namespace="http://schemas.microsoft.com/sharepoint/v3"/>
    <xsd:import namespace="35091ee9-a3f0-4f1b-8692-0cb6ad722af0"/>
    <xsd:import namespace="a2e5a7ee-2897-4bc7-b0bb-b3fc79d5877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091ee9-a3f0-4f1b-8692-0cb6ad722af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11318559-7a4f-489b-8bdc-38c998a17f99}" ma:internalName="TaxCatchAll" ma:showField="CatchAllData" ma:web="35091ee9-a3f0-4f1b-8692-0cb6ad722a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e5a7ee-2897-4bc7-b0bb-b3fc79d587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F5B651-0606-46E3-AD09-D8C28729EFE1}">
  <ds:schemaRefs>
    <ds:schemaRef ds:uri="http://schemas.microsoft.com/office/2006/metadata/properties"/>
    <ds:schemaRef ds:uri="http://schemas.microsoft.com/office/infopath/2007/PartnerControls"/>
    <ds:schemaRef ds:uri="35091ee9-a3f0-4f1b-8692-0cb6ad722af0"/>
    <ds:schemaRef ds:uri="a2e5a7ee-2897-4bc7-b0bb-b3fc79d58774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98CC40E3-AF12-4CC6-89E0-476FF952EC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D0A202-8EAE-4434-BB13-B69F731B8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5091ee9-a3f0-4f1b-8692-0cb6ad722af0"/>
    <ds:schemaRef ds:uri="a2e5a7ee-2897-4bc7-b0bb-b3fc79d587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51b1e30-5825-4f74-8b3d-95464229480d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23</vt:i4>
      </vt:variant>
      <vt:variant>
        <vt:lpstr>Intervalos Nomeados</vt:lpstr>
      </vt:variant>
      <vt:variant>
        <vt:i4>21</vt:i4>
      </vt:variant>
    </vt:vector>
  </HeadingPairs>
  <TitlesOfParts>
    <vt:vector size="44" baseType="lpstr">
      <vt:lpstr>Consolidada</vt:lpstr>
      <vt:lpstr>Canoas</vt:lpstr>
      <vt:lpstr>Uniforme e EPIs</vt:lpstr>
      <vt:lpstr>CX Sul</vt:lpstr>
      <vt:lpstr>CX Man</vt:lpstr>
      <vt:lpstr>CD</vt:lpstr>
      <vt:lpstr>Erechim</vt:lpstr>
      <vt:lpstr>Gravataí</vt:lpstr>
      <vt:lpstr>Ijuí</vt:lpstr>
      <vt:lpstr>Lajeado</vt:lpstr>
      <vt:lpstr>Composição de Custos</vt:lpstr>
      <vt:lpstr>incluir planilha demais postos</vt:lpstr>
      <vt:lpstr>Materiais</vt:lpstr>
      <vt:lpstr>Nov Ham</vt:lpstr>
      <vt:lpstr>Pass Fun</vt:lpstr>
      <vt:lpstr>Pelotas</vt:lpstr>
      <vt:lpstr>Sat Crz</vt:lpstr>
      <vt:lpstr>Sta Mr</vt:lpstr>
      <vt:lpstr>Livram</vt:lpstr>
      <vt:lpstr>Sao Leopo</vt:lpstr>
      <vt:lpstr>Apuração SPED</vt:lpstr>
      <vt:lpstr>Memória Encargos</vt:lpstr>
      <vt:lpstr>M2</vt:lpstr>
      <vt:lpstr>'Apuração SPED'!Area_de_impressao</vt:lpstr>
      <vt:lpstr>Canoas!Area_de_impressao</vt:lpstr>
      <vt:lpstr>CD!Area_de_impressao</vt:lpstr>
      <vt:lpstr>'Composição de Custos'!Area_de_impressao</vt:lpstr>
      <vt:lpstr>Consolidada!Area_de_impressao</vt:lpstr>
      <vt:lpstr>'CX Man'!Area_de_impressao</vt:lpstr>
      <vt:lpstr>'CX Sul'!Area_de_impressao</vt:lpstr>
      <vt:lpstr>Erechim!Area_de_impressao</vt:lpstr>
      <vt:lpstr>Gravataí!Area_de_impressao</vt:lpstr>
      <vt:lpstr>Ijuí!Area_de_impressao</vt:lpstr>
      <vt:lpstr>Lajeado!Area_de_impressao</vt:lpstr>
      <vt:lpstr>Livram!Area_de_impressao</vt:lpstr>
      <vt:lpstr>'M2'!Area_de_impressao</vt:lpstr>
      <vt:lpstr>'Memória Encargos'!Area_de_impressao</vt:lpstr>
      <vt:lpstr>'Nov Ham'!Area_de_impressao</vt:lpstr>
      <vt:lpstr>'Pass Fun'!Area_de_impressao</vt:lpstr>
      <vt:lpstr>Pelotas!Area_de_impressao</vt:lpstr>
      <vt:lpstr>'Sao Leopo'!Area_de_impressao</vt:lpstr>
      <vt:lpstr>'Sat Crz'!Area_de_impressao</vt:lpstr>
      <vt:lpstr>'Sta Mr'!Area_de_impressao</vt:lpstr>
      <vt:lpstr>'Uniforme e EPIs'!Area_de_impressao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Charlles Comercial</dc:creator>
  <cp:keywords/>
  <dc:description/>
  <cp:lastModifiedBy>Vanessa da Costa Marques</cp:lastModifiedBy>
  <cp:revision/>
  <dcterms:created xsi:type="dcterms:W3CDTF">2018-01-10T15:44:17Z</dcterms:created>
  <dcterms:modified xsi:type="dcterms:W3CDTF">2026-08-27T19:05:00Z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51b1e30-5825-4f74-8b3d-95464229480d_Enabled">
    <vt:lpwstr>true</vt:lpwstr>
  </property>
  <property fmtid="{D5CDD505-2E9C-101B-9397-08002B2CF9AE}" pid="3" name="MSIP_Label_851b1e30-5825-4f74-8b3d-95464229480d_SetDate">
    <vt:lpwstr>2022-11-29T17:44:13Z</vt:lpwstr>
  </property>
  <property fmtid="{D5CDD505-2E9C-101B-9397-08002B2CF9AE}" pid="4" name="MSIP_Label_851b1e30-5825-4f74-8b3d-95464229480d_Method">
    <vt:lpwstr>Privileged</vt:lpwstr>
  </property>
  <property fmtid="{D5CDD505-2E9C-101B-9397-08002B2CF9AE}" pid="5" name="MSIP_Label_851b1e30-5825-4f74-8b3d-95464229480d_Name">
    <vt:lpwstr>RS - Pública</vt:lpwstr>
  </property>
  <property fmtid="{D5CDD505-2E9C-101B-9397-08002B2CF9AE}" pid="6" name="MSIP_Label_851b1e30-5825-4f74-8b3d-95464229480d_SiteId">
    <vt:lpwstr>97298271-1bd7-4ac5-935b-88addef636cc</vt:lpwstr>
  </property>
  <property fmtid="{D5CDD505-2E9C-101B-9397-08002B2CF9AE}" pid="7" name="MSIP_Label_851b1e30-5825-4f74-8b3d-95464229480d_ActionId">
    <vt:lpwstr>8291b680-0b01-4b31-a116-50a7ccbca287</vt:lpwstr>
  </property>
  <property fmtid="{D5CDD505-2E9C-101B-9397-08002B2CF9AE}" pid="8" name="MSIP_Label_851b1e30-5825-4f74-8b3d-95464229480d_ContentBits">
    <vt:lpwstr>1</vt:lpwstr>
  </property>
  <property fmtid="{D5CDD505-2E9C-101B-9397-08002B2CF9AE}" pid="9" name="ContentTypeId">
    <vt:lpwstr>0x01010024DCCE9B96986140B956EB161C03893D</vt:lpwstr>
  </property>
  <property fmtid="{D5CDD505-2E9C-101B-9397-08002B2CF9AE}" pid="10" name="Order">
    <vt:r8>55705200</vt:r8>
  </property>
  <property fmtid="{D5CDD505-2E9C-101B-9397-08002B2CF9AE}" pid="11" name="MediaServiceImageTags">
    <vt:lpwstr/>
  </property>
</Properties>
</file>