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17-2029\Estado - Programa Drenagem e Conexões\"/>
    </mc:Choice>
  </mc:AlternateContent>
  <xr:revisionPtr revIDLastSave="0" documentId="13_ncr:1_{D237BC82-8E3A-488F-96CD-B9EE9C03FE7C}" xr6:coauthVersionLast="47" xr6:coauthVersionMax="47" xr10:uidLastSave="{00000000-0000-0000-0000-000000000000}"/>
  <bookViews>
    <workbookView xWindow="-120" yWindow="-120" windowWidth="38640" windowHeight="15720" tabRatio="702" activeTab="12" xr2:uid="{CE567EB2-5193-48F8-AF80-0F14A8850FAD}"/>
  </bookViews>
  <sheets>
    <sheet name="1. Floriano" sheetId="2" r:id="rId1"/>
    <sheet name="2. Minuano" sheetId="3" r:id="rId2"/>
    <sheet name="3. Languiru" sheetId="4" r:id="rId3"/>
    <sheet name="4. Languiru" sheetId="5" r:id="rId4"/>
    <sheet name="5. Cavalos" sheetId="6" r:id="rId5"/>
    <sheet name="6. Barra" sheetId="7" r:id="rId6"/>
    <sheet name="7. Aurora" sheetId="8" r:id="rId7"/>
    <sheet name="8. Barra 1" sheetId="9" r:id="rId8"/>
    <sheet name="8. Barra 2" sheetId="10" r:id="rId9"/>
    <sheet name="9. DAER" sheetId="11" r:id="rId10"/>
    <sheet name="10. Centro" sheetId="12" r:id="rId11"/>
    <sheet name="PLANILHA" sheetId="16" r:id="rId12"/>
    <sheet name="CRONOGRAMA" sheetId="20" r:id="rId13"/>
    <sheet name="PLANILHA GERAL" sheetId="19" r:id="rId14"/>
    <sheet name="COMPOSIÇÕES" sheetId="14" r:id="rId15"/>
  </sheets>
  <externalReferences>
    <externalReference r:id="rId16"/>
  </externalReferences>
  <definedNames>
    <definedName name="_xlnm.Print_Area" localSheetId="0">'1. Floriano'!$A$1:$H$41</definedName>
    <definedName name="_xlnm.Print_Area" localSheetId="10">'10. Centro'!$A$1:$H$62</definedName>
    <definedName name="_xlnm.Print_Area" localSheetId="1">'2. Minuano'!$A$1:$H$40</definedName>
    <definedName name="_xlnm.Print_Area" localSheetId="2">'3. Languiru'!$A$1:$H$41</definedName>
    <definedName name="_xlnm.Print_Area" localSheetId="3">'4. Languiru'!$A$1:$H$42</definedName>
    <definedName name="_xlnm.Print_Area" localSheetId="4">'5. Cavalos'!$A$1:$H$37</definedName>
    <definedName name="_xlnm.Print_Area" localSheetId="5">'6. Barra'!$A$1:$H$37</definedName>
    <definedName name="_xlnm.Print_Area" localSheetId="6">'7. Aurora'!$A$1:$H$37</definedName>
    <definedName name="_xlnm.Print_Area" localSheetId="7">'8. Barra 1'!$A$1:$H$40</definedName>
    <definedName name="_xlnm.Print_Area" localSheetId="8">'8. Barra 2'!$A$1:$H$40</definedName>
    <definedName name="_xlnm.Print_Area" localSheetId="9">'9. DAER'!$A$1:$H$42</definedName>
    <definedName name="_xlnm.Print_Area" localSheetId="12">CRONOGRAMA!$A$1:$O$91</definedName>
    <definedName name="_xlnm.Print_Area" localSheetId="13">'PLANILHA GERAL'!$A$1:$H$361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20" l="1"/>
  <c r="G25" i="20"/>
  <c r="G24" i="20"/>
  <c r="G23" i="20"/>
  <c r="G22" i="20"/>
  <c r="O79" i="20"/>
  <c r="O80" i="20"/>
  <c r="O81" i="20"/>
  <c r="O82" i="20"/>
  <c r="O83" i="20"/>
  <c r="C84" i="20"/>
  <c r="O84" i="20" s="1"/>
  <c r="O78" i="20"/>
  <c r="C75" i="20"/>
  <c r="N74" i="20"/>
  <c r="N73" i="20"/>
  <c r="N72" i="20"/>
  <c r="N71" i="20"/>
  <c r="C68" i="20"/>
  <c r="M67" i="20"/>
  <c r="M66" i="20"/>
  <c r="M65" i="20"/>
  <c r="M64" i="20"/>
  <c r="C61" i="20"/>
  <c r="L60" i="20"/>
  <c r="L59" i="20"/>
  <c r="L58" i="20"/>
  <c r="L57" i="20"/>
  <c r="C54" i="20"/>
  <c r="K53" i="20"/>
  <c r="K52" i="20"/>
  <c r="K51" i="20"/>
  <c r="K50" i="20"/>
  <c r="C47" i="20"/>
  <c r="J46" i="20"/>
  <c r="J45" i="20"/>
  <c r="J44" i="20"/>
  <c r="J43" i="20"/>
  <c r="C40" i="20"/>
  <c r="I39" i="20"/>
  <c r="I38" i="20"/>
  <c r="I37" i="20"/>
  <c r="I36" i="20"/>
  <c r="C33" i="20"/>
  <c r="H32" i="20"/>
  <c r="H31" i="20"/>
  <c r="H30" i="20"/>
  <c r="H29" i="20"/>
  <c r="C19" i="20"/>
  <c r="F18" i="20"/>
  <c r="F17" i="20"/>
  <c r="F16" i="20"/>
  <c r="F15" i="20"/>
  <c r="E9" i="20"/>
  <c r="E10" i="20"/>
  <c r="E11" i="20"/>
  <c r="E8" i="20"/>
  <c r="C12" i="20"/>
  <c r="A2" i="20"/>
  <c r="H354" i="19"/>
  <c r="F347" i="19"/>
  <c r="G347" i="19" s="1"/>
  <c r="G343" i="19"/>
  <c r="H343" i="19" s="1"/>
  <c r="F330" i="19"/>
  <c r="G330" i="19" s="1"/>
  <c r="H330" i="19" s="1"/>
  <c r="F306" i="19"/>
  <c r="G306" i="19" s="1"/>
  <c r="H306" i="19" s="1"/>
  <c r="F305" i="19"/>
  <c r="G305" i="19" s="1"/>
  <c r="G350" i="19"/>
  <c r="H350" i="19" s="1"/>
  <c r="G349" i="19"/>
  <c r="H349" i="19" s="1"/>
  <c r="G348" i="19"/>
  <c r="H348" i="19" s="1"/>
  <c r="G342" i="19"/>
  <c r="H342" i="19" s="1"/>
  <c r="E342" i="19"/>
  <c r="G341" i="19"/>
  <c r="H341" i="19" s="1"/>
  <c r="G340" i="19"/>
  <c r="E340" i="19"/>
  <c r="H340" i="19" s="1"/>
  <c r="G339" i="19"/>
  <c r="H339" i="19" s="1"/>
  <c r="G338" i="19"/>
  <c r="H338" i="19" s="1"/>
  <c r="G337" i="19"/>
  <c r="E337" i="19"/>
  <c r="G336" i="19"/>
  <c r="G335" i="19"/>
  <c r="G334" i="19"/>
  <c r="E334" i="19"/>
  <c r="E336" i="19" s="1"/>
  <c r="G333" i="19"/>
  <c r="E333" i="19"/>
  <c r="G329" i="19"/>
  <c r="H329" i="19" s="1"/>
  <c r="G328" i="19"/>
  <c r="H328" i="19" s="1"/>
  <c r="G327" i="19"/>
  <c r="H327" i="19" s="1"/>
  <c r="G326" i="19"/>
  <c r="H326" i="19" s="1"/>
  <c r="G325" i="19"/>
  <c r="G324" i="19"/>
  <c r="E324" i="19"/>
  <c r="E325" i="19" s="1"/>
  <c r="G323" i="19"/>
  <c r="H323" i="19" s="1"/>
  <c r="G322" i="19"/>
  <c r="G321" i="19"/>
  <c r="E321" i="19"/>
  <c r="H321" i="19" s="1"/>
  <c r="G320" i="19"/>
  <c r="G319" i="19"/>
  <c r="G318" i="19"/>
  <c r="E318" i="19"/>
  <c r="G317" i="19"/>
  <c r="H317" i="19" s="1"/>
  <c r="G316" i="19"/>
  <c r="G315" i="19"/>
  <c r="E315" i="19"/>
  <c r="E316" i="19" s="1"/>
  <c r="G311" i="19"/>
  <c r="H311" i="19" s="1"/>
  <c r="G310" i="19"/>
  <c r="H310" i="19" s="1"/>
  <c r="G309" i="19"/>
  <c r="H309" i="19" s="1"/>
  <c r="E305" i="19"/>
  <c r="E347" i="19" s="1"/>
  <c r="G304" i="19"/>
  <c r="H304" i="19" s="1"/>
  <c r="F291" i="19"/>
  <c r="G291" i="19" s="1"/>
  <c r="H291" i="19" s="1"/>
  <c r="F296" i="19"/>
  <c r="G296" i="19" s="1"/>
  <c r="F274" i="19"/>
  <c r="G274" i="19" s="1"/>
  <c r="H274" i="19" s="1"/>
  <c r="F273" i="19"/>
  <c r="G273" i="19" s="1"/>
  <c r="G298" i="19"/>
  <c r="H298" i="19" s="1"/>
  <c r="G297" i="19"/>
  <c r="H297" i="19" s="1"/>
  <c r="G293" i="19"/>
  <c r="H293" i="19" s="1"/>
  <c r="G292" i="19"/>
  <c r="H292" i="19" s="1"/>
  <c r="G290" i="19"/>
  <c r="H290" i="19" s="1"/>
  <c r="G289" i="19"/>
  <c r="E289" i="19"/>
  <c r="G288" i="19"/>
  <c r="H288" i="19" s="1"/>
  <c r="G287" i="19"/>
  <c r="E287" i="19"/>
  <c r="G286" i="19"/>
  <c r="E286" i="19"/>
  <c r="G285" i="19"/>
  <c r="H285" i="19" s="1"/>
  <c r="G284" i="19"/>
  <c r="E284" i="19"/>
  <c r="G283" i="19"/>
  <c r="H283" i="19" s="1"/>
  <c r="G282" i="19"/>
  <c r="E282" i="19"/>
  <c r="G279" i="19"/>
  <c r="G278" i="19"/>
  <c r="G277" i="19"/>
  <c r="E277" i="19"/>
  <c r="E279" i="19" s="1"/>
  <c r="E273" i="19"/>
  <c r="E296" i="19" s="1"/>
  <c r="G272" i="19"/>
  <c r="H272" i="19" s="1"/>
  <c r="F264" i="19"/>
  <c r="G264" i="19" s="1"/>
  <c r="F246" i="19"/>
  <c r="G246" i="19" s="1"/>
  <c r="H246" i="19" s="1"/>
  <c r="F245" i="19"/>
  <c r="G245" i="19" s="1"/>
  <c r="G266" i="19"/>
  <c r="H266" i="19" s="1"/>
  <c r="G265" i="19"/>
  <c r="H265" i="19" s="1"/>
  <c r="G261" i="19"/>
  <c r="H261" i="19" s="1"/>
  <c r="G260" i="19"/>
  <c r="E260" i="19"/>
  <c r="G259" i="19"/>
  <c r="E259" i="19"/>
  <c r="G258" i="19"/>
  <c r="H258" i="19" s="1"/>
  <c r="G257" i="19"/>
  <c r="G256" i="19"/>
  <c r="E256" i="19"/>
  <c r="E257" i="19" s="1"/>
  <c r="G255" i="19"/>
  <c r="G254" i="19"/>
  <c r="E254" i="19"/>
  <c r="E255" i="19" s="1"/>
  <c r="G251" i="19"/>
  <c r="G250" i="19"/>
  <c r="G249" i="19"/>
  <c r="E249" i="19"/>
  <c r="E251" i="19" s="1"/>
  <c r="E245" i="19"/>
  <c r="E264" i="19" s="1"/>
  <c r="G244" i="19"/>
  <c r="H244" i="19" s="1"/>
  <c r="F236" i="19"/>
  <c r="G236" i="19" s="1"/>
  <c r="F216" i="19"/>
  <c r="G216" i="19" s="1"/>
  <c r="H216" i="19" s="1"/>
  <c r="F215" i="19"/>
  <c r="G215" i="19" s="1"/>
  <c r="G238" i="19"/>
  <c r="H238" i="19" s="1"/>
  <c r="G237" i="19"/>
  <c r="H237" i="19" s="1"/>
  <c r="G233" i="19"/>
  <c r="H233" i="19" s="1"/>
  <c r="G232" i="19"/>
  <c r="E232" i="19"/>
  <c r="G231" i="19"/>
  <c r="G230" i="19"/>
  <c r="G229" i="19"/>
  <c r="H229" i="19" s="1"/>
  <c r="G228" i="19"/>
  <c r="E228" i="19"/>
  <c r="E231" i="19" s="1"/>
  <c r="G227" i="19"/>
  <c r="G226" i="19"/>
  <c r="G225" i="19"/>
  <c r="G224" i="19"/>
  <c r="G221" i="19"/>
  <c r="H221" i="19" s="1"/>
  <c r="G220" i="19"/>
  <c r="H220" i="19" s="1"/>
  <c r="G219" i="19"/>
  <c r="H219" i="19" s="1"/>
  <c r="E215" i="19"/>
  <c r="G214" i="19"/>
  <c r="H214" i="19" s="1"/>
  <c r="F206" i="19"/>
  <c r="G206" i="19" s="1"/>
  <c r="F188" i="19"/>
  <c r="G188" i="19" s="1"/>
  <c r="H188" i="19" s="1"/>
  <c r="F187" i="19"/>
  <c r="G187" i="19" s="1"/>
  <c r="G208" i="19"/>
  <c r="H208" i="19" s="1"/>
  <c r="G207" i="19"/>
  <c r="H207" i="19" s="1"/>
  <c r="G203" i="19"/>
  <c r="H203" i="19" s="1"/>
  <c r="G202" i="19"/>
  <c r="E202" i="19"/>
  <c r="G201" i="19"/>
  <c r="E201" i="19"/>
  <c r="G200" i="19"/>
  <c r="H200" i="19" s="1"/>
  <c r="G199" i="19"/>
  <c r="E199" i="19"/>
  <c r="G198" i="19"/>
  <c r="E198" i="19"/>
  <c r="G197" i="19"/>
  <c r="H197" i="19" s="1"/>
  <c r="G196" i="19"/>
  <c r="E196" i="19"/>
  <c r="G193" i="19"/>
  <c r="H193" i="19" s="1"/>
  <c r="G192" i="19"/>
  <c r="H192" i="19" s="1"/>
  <c r="G191" i="19"/>
  <c r="H191" i="19" s="1"/>
  <c r="E187" i="19"/>
  <c r="E206" i="19" s="1"/>
  <c r="G186" i="19"/>
  <c r="H186" i="19" s="1"/>
  <c r="F178" i="19"/>
  <c r="G178" i="19" s="1"/>
  <c r="F161" i="19"/>
  <c r="G161" i="19" s="1"/>
  <c r="H161" i="19" s="1"/>
  <c r="F160" i="19"/>
  <c r="G160" i="19" s="1"/>
  <c r="G180" i="19"/>
  <c r="H180" i="19" s="1"/>
  <c r="G179" i="19"/>
  <c r="H179" i="19" s="1"/>
  <c r="G175" i="19"/>
  <c r="H175" i="19" s="1"/>
  <c r="G174" i="19"/>
  <c r="E174" i="19"/>
  <c r="G173" i="19"/>
  <c r="E173" i="19"/>
  <c r="G172" i="19"/>
  <c r="H172" i="19" s="1"/>
  <c r="G171" i="19"/>
  <c r="E171" i="19"/>
  <c r="G170" i="19"/>
  <c r="H170" i="19" s="1"/>
  <c r="G169" i="19"/>
  <c r="E169" i="19"/>
  <c r="G166" i="19"/>
  <c r="G165" i="19"/>
  <c r="G164" i="19"/>
  <c r="E164" i="19"/>
  <c r="E160" i="19"/>
  <c r="E178" i="19" s="1"/>
  <c r="G159" i="19"/>
  <c r="H159" i="19" s="1"/>
  <c r="F151" i="19"/>
  <c r="G151" i="19" s="1"/>
  <c r="F133" i="19"/>
  <c r="G133" i="19" s="1"/>
  <c r="H133" i="19" s="1"/>
  <c r="F132" i="19"/>
  <c r="G132" i="19" s="1"/>
  <c r="G153" i="19"/>
  <c r="H153" i="19" s="1"/>
  <c r="G152" i="19"/>
  <c r="H152" i="19" s="1"/>
  <c r="G148" i="19"/>
  <c r="H148" i="19" s="1"/>
  <c r="G147" i="19"/>
  <c r="E147" i="19"/>
  <c r="G146" i="19"/>
  <c r="E146" i="19"/>
  <c r="G145" i="19"/>
  <c r="H145" i="19" s="1"/>
  <c r="G144" i="19"/>
  <c r="E144" i="19"/>
  <c r="G143" i="19"/>
  <c r="G142" i="19"/>
  <c r="H142" i="19" s="1"/>
  <c r="G141" i="19"/>
  <c r="E141" i="19"/>
  <c r="E143" i="19" s="1"/>
  <c r="G138" i="19"/>
  <c r="G137" i="19"/>
  <c r="G136" i="19"/>
  <c r="E136" i="19"/>
  <c r="E137" i="19" s="1"/>
  <c r="E132" i="19"/>
  <c r="E151" i="19" s="1"/>
  <c r="G131" i="19"/>
  <c r="H131" i="19" s="1"/>
  <c r="F123" i="19"/>
  <c r="G123" i="19" s="1"/>
  <c r="F112" i="19"/>
  <c r="G112" i="19" s="1"/>
  <c r="F102" i="19"/>
  <c r="G102" i="19" s="1"/>
  <c r="H102" i="19" s="1"/>
  <c r="F101" i="19"/>
  <c r="G101" i="19" s="1"/>
  <c r="G125" i="19"/>
  <c r="H125" i="19" s="1"/>
  <c r="G124" i="19"/>
  <c r="H124" i="19" s="1"/>
  <c r="G120" i="19"/>
  <c r="H120" i="19" s="1"/>
  <c r="G119" i="19"/>
  <c r="E119" i="19"/>
  <c r="G118" i="19"/>
  <c r="E118" i="19"/>
  <c r="G117" i="19"/>
  <c r="H117" i="19" s="1"/>
  <c r="G116" i="19"/>
  <c r="H116" i="19" s="1"/>
  <c r="G115" i="19"/>
  <c r="G114" i="19"/>
  <c r="E114" i="19"/>
  <c r="E115" i="19" s="1"/>
  <c r="G113" i="19"/>
  <c r="E112" i="19"/>
  <c r="G111" i="19"/>
  <c r="G110" i="19"/>
  <c r="E110" i="19"/>
  <c r="G107" i="19"/>
  <c r="G106" i="19"/>
  <c r="G105" i="19"/>
  <c r="E105" i="19"/>
  <c r="E106" i="19" s="1"/>
  <c r="E101" i="19"/>
  <c r="E123" i="19" s="1"/>
  <c r="G100" i="19"/>
  <c r="H100" i="19" s="1"/>
  <c r="F52" i="19"/>
  <c r="G52" i="19" s="1"/>
  <c r="F42" i="19"/>
  <c r="G42" i="19" s="1"/>
  <c r="H42" i="19" s="1"/>
  <c r="F41" i="19"/>
  <c r="G41" i="19" s="1"/>
  <c r="F81" i="19"/>
  <c r="G81" i="19" s="1"/>
  <c r="F70" i="19"/>
  <c r="G70" i="19" s="1"/>
  <c r="F71" i="19"/>
  <c r="G71" i="19" s="1"/>
  <c r="H71" i="19" s="1"/>
  <c r="F92" i="19"/>
  <c r="G92" i="19" s="1"/>
  <c r="G94" i="19"/>
  <c r="H94" i="19" s="1"/>
  <c r="G93" i="19"/>
  <c r="H93" i="19" s="1"/>
  <c r="G89" i="19"/>
  <c r="H89" i="19" s="1"/>
  <c r="G88" i="19"/>
  <c r="H88" i="19" s="1"/>
  <c r="G87" i="19"/>
  <c r="E87" i="19"/>
  <c r="G86" i="19"/>
  <c r="H86" i="19" s="1"/>
  <c r="G85" i="19"/>
  <c r="H85" i="19" s="1"/>
  <c r="G84" i="19"/>
  <c r="G83" i="19"/>
  <c r="E83" i="19"/>
  <c r="E84" i="19" s="1"/>
  <c r="G82" i="19"/>
  <c r="E81" i="19"/>
  <c r="E82" i="19" s="1"/>
  <c r="G80" i="19"/>
  <c r="G79" i="19"/>
  <c r="E79" i="19"/>
  <c r="G76" i="19"/>
  <c r="H76" i="19" s="1"/>
  <c r="G75" i="19"/>
  <c r="H75" i="19" s="1"/>
  <c r="G74" i="19"/>
  <c r="H74" i="19" s="1"/>
  <c r="E70" i="19"/>
  <c r="E92" i="19" s="1"/>
  <c r="G69" i="19"/>
  <c r="H69" i="19" s="1"/>
  <c r="F61" i="19"/>
  <c r="G61" i="19" s="1"/>
  <c r="G63" i="19"/>
  <c r="H63" i="19" s="1"/>
  <c r="G62" i="19"/>
  <c r="H62" i="19" s="1"/>
  <c r="G58" i="19"/>
  <c r="H58" i="19" s="1"/>
  <c r="G57" i="19"/>
  <c r="E57" i="19"/>
  <c r="G56" i="19"/>
  <c r="H56" i="19" s="1"/>
  <c r="G55" i="19"/>
  <c r="G54" i="19"/>
  <c r="E54" i="19"/>
  <c r="E55" i="19" s="1"/>
  <c r="G53" i="19"/>
  <c r="E52" i="19"/>
  <c r="E53" i="19" s="1"/>
  <c r="G51" i="19"/>
  <c r="G50" i="19"/>
  <c r="E50" i="19"/>
  <c r="G47" i="19"/>
  <c r="G46" i="19"/>
  <c r="G45" i="19"/>
  <c r="E45" i="19"/>
  <c r="E47" i="19" s="1"/>
  <c r="E41" i="19"/>
  <c r="G40" i="19"/>
  <c r="H40" i="19" s="1"/>
  <c r="G34" i="19"/>
  <c r="H34" i="19" s="1"/>
  <c r="G33" i="19"/>
  <c r="H33" i="19" s="1"/>
  <c r="F32" i="19"/>
  <c r="G32" i="19" s="1"/>
  <c r="G29" i="19"/>
  <c r="H29" i="19" s="1"/>
  <c r="G28" i="19"/>
  <c r="H28" i="19" s="1"/>
  <c r="G27" i="19"/>
  <c r="E27" i="19"/>
  <c r="G26" i="19"/>
  <c r="H26" i="19" s="1"/>
  <c r="G25" i="19"/>
  <c r="H25" i="19" s="1"/>
  <c r="G24" i="19"/>
  <c r="G23" i="19"/>
  <c r="E23" i="19"/>
  <c r="E24" i="19" s="1"/>
  <c r="G22" i="19"/>
  <c r="F21" i="19"/>
  <c r="G21" i="19" s="1"/>
  <c r="E21" i="19"/>
  <c r="E22" i="19" s="1"/>
  <c r="G20" i="19"/>
  <c r="G19" i="19"/>
  <c r="E19" i="19"/>
  <c r="E20" i="19" s="1"/>
  <c r="G16" i="19"/>
  <c r="G15" i="19"/>
  <c r="G14" i="19"/>
  <c r="E14" i="19"/>
  <c r="E16" i="19" s="1"/>
  <c r="F11" i="19"/>
  <c r="G11" i="19" s="1"/>
  <c r="H11" i="19" s="1"/>
  <c r="F10" i="19"/>
  <c r="G10" i="19" s="1"/>
  <c r="E10" i="19"/>
  <c r="E32" i="19" s="1"/>
  <c r="G9" i="19"/>
  <c r="H9" i="19" s="1"/>
  <c r="E35" i="16"/>
  <c r="D35" i="16"/>
  <c r="C35" i="16"/>
  <c r="E30" i="16"/>
  <c r="D30" i="16" s="1"/>
  <c r="E29" i="16"/>
  <c r="D29" i="16" s="1"/>
  <c r="E28" i="16"/>
  <c r="D28" i="16" s="1"/>
  <c r="E27" i="16"/>
  <c r="D27" i="16" s="1"/>
  <c r="E26" i="16"/>
  <c r="D26" i="16"/>
  <c r="C32" i="16"/>
  <c r="E18" i="16"/>
  <c r="D18" i="16"/>
  <c r="C18" i="16"/>
  <c r="G77" i="12"/>
  <c r="H74" i="12" s="1"/>
  <c r="E21" i="9"/>
  <c r="G26" i="20" l="1"/>
  <c r="E12" i="20"/>
  <c r="N75" i="20"/>
  <c r="M68" i="20"/>
  <c r="L61" i="20"/>
  <c r="K54" i="20"/>
  <c r="J47" i="20"/>
  <c r="I40" i="20"/>
  <c r="H33" i="20"/>
  <c r="F19" i="20"/>
  <c r="H337" i="19"/>
  <c r="H325" i="19"/>
  <c r="H289" i="19"/>
  <c r="H333" i="19"/>
  <c r="H318" i="19"/>
  <c r="H336" i="19"/>
  <c r="H287" i="19"/>
  <c r="H305" i="19"/>
  <c r="H307" i="19" s="1"/>
  <c r="E322" i="19"/>
  <c r="H322" i="19" s="1"/>
  <c r="H347" i="19"/>
  <c r="H351" i="19" s="1"/>
  <c r="H312" i="19"/>
  <c r="H334" i="19"/>
  <c r="H344" i="19" s="1"/>
  <c r="E335" i="19"/>
  <c r="H335" i="19" s="1"/>
  <c r="H282" i="19"/>
  <c r="H316" i="19"/>
  <c r="H284" i="19"/>
  <c r="H273" i="19"/>
  <c r="H275" i="19" s="1"/>
  <c r="E319" i="19"/>
  <c r="H324" i="19"/>
  <c r="H315" i="19"/>
  <c r="H296" i="19"/>
  <c r="H299" i="19" s="1"/>
  <c r="H257" i="19"/>
  <c r="H277" i="19"/>
  <c r="H259" i="19"/>
  <c r="E278" i="19"/>
  <c r="H278" i="19" s="1"/>
  <c r="H279" i="19"/>
  <c r="H286" i="19"/>
  <c r="H264" i="19"/>
  <c r="H267" i="19" s="1"/>
  <c r="H251" i="19"/>
  <c r="E226" i="19"/>
  <c r="E227" i="19" s="1"/>
  <c r="H227" i="19" s="1"/>
  <c r="H260" i="19"/>
  <c r="H173" i="19"/>
  <c r="H232" i="19"/>
  <c r="H255" i="19"/>
  <c r="H245" i="19"/>
  <c r="H247" i="19" s="1"/>
  <c r="H254" i="19"/>
  <c r="H256" i="19"/>
  <c r="E250" i="19"/>
  <c r="H250" i="19" s="1"/>
  <c r="H249" i="19"/>
  <c r="E230" i="19"/>
  <c r="H230" i="19" s="1"/>
  <c r="H198" i="19"/>
  <c r="H215" i="19"/>
  <c r="H217" i="19" s="1"/>
  <c r="H231" i="19"/>
  <c r="H228" i="19"/>
  <c r="H222" i="19"/>
  <c r="E236" i="19"/>
  <c r="H236" i="19" s="1"/>
  <c r="H239" i="19" s="1"/>
  <c r="E224" i="19"/>
  <c r="H206" i="19"/>
  <c r="H209" i="19" s="1"/>
  <c r="H196" i="19"/>
  <c r="H201" i="19"/>
  <c r="H194" i="19"/>
  <c r="H199" i="19"/>
  <c r="H202" i="19"/>
  <c r="H187" i="19"/>
  <c r="H189" i="19" s="1"/>
  <c r="H115" i="19"/>
  <c r="H171" i="19"/>
  <c r="H143" i="19"/>
  <c r="H174" i="19"/>
  <c r="H164" i="19"/>
  <c r="H169" i="19"/>
  <c r="H178" i="19"/>
  <c r="H181" i="19" s="1"/>
  <c r="E165" i="19"/>
  <c r="H165" i="19" s="1"/>
  <c r="E166" i="19"/>
  <c r="H166" i="19" s="1"/>
  <c r="H160" i="19"/>
  <c r="H162" i="19" s="1"/>
  <c r="H146" i="19"/>
  <c r="H147" i="19"/>
  <c r="H118" i="19"/>
  <c r="H144" i="19"/>
  <c r="H137" i="19"/>
  <c r="H101" i="19"/>
  <c r="H103" i="19" s="1"/>
  <c r="E138" i="19"/>
  <c r="H138" i="19" s="1"/>
  <c r="H132" i="19"/>
  <c r="H134" i="19" s="1"/>
  <c r="H151" i="19"/>
  <c r="H154" i="19" s="1"/>
  <c r="H141" i="19"/>
  <c r="H136" i="19"/>
  <c r="H112" i="19"/>
  <c r="H106" i="19"/>
  <c r="H110" i="19"/>
  <c r="H119" i="19"/>
  <c r="E111" i="19"/>
  <c r="H111" i="19" s="1"/>
  <c r="H123" i="19"/>
  <c r="H126" i="19" s="1"/>
  <c r="E107" i="19"/>
  <c r="H107" i="19" s="1"/>
  <c r="H114" i="19"/>
  <c r="E113" i="19"/>
  <c r="H113" i="19" s="1"/>
  <c r="H105" i="19"/>
  <c r="H87" i="19"/>
  <c r="H16" i="19"/>
  <c r="H24" i="19"/>
  <c r="H50" i="19"/>
  <c r="H47" i="19"/>
  <c r="H53" i="19"/>
  <c r="H79" i="19"/>
  <c r="H54" i="19"/>
  <c r="H20" i="19"/>
  <c r="H57" i="19"/>
  <c r="H70" i="19"/>
  <c r="H72" i="19" s="1"/>
  <c r="H22" i="19"/>
  <c r="H55" i="19"/>
  <c r="E80" i="19"/>
  <c r="H80" i="19" s="1"/>
  <c r="H32" i="19"/>
  <c r="H35" i="19" s="1"/>
  <c r="H23" i="19"/>
  <c r="H82" i="19"/>
  <c r="H84" i="19"/>
  <c r="H27" i="19"/>
  <c r="E51" i="19"/>
  <c r="H51" i="19" s="1"/>
  <c r="H92" i="19"/>
  <c r="H95" i="19" s="1"/>
  <c r="H77" i="19"/>
  <c r="H81" i="19"/>
  <c r="H83" i="19"/>
  <c r="H41" i="19"/>
  <c r="H43" i="19" s="1"/>
  <c r="H45" i="19"/>
  <c r="E46" i="19"/>
  <c r="H46" i="19" s="1"/>
  <c r="H52" i="19"/>
  <c r="E61" i="19"/>
  <c r="H61" i="19" s="1"/>
  <c r="H64" i="19" s="1"/>
  <c r="H14" i="19"/>
  <c r="E15" i="19"/>
  <c r="H15" i="19" s="1"/>
  <c r="H21" i="19"/>
  <c r="H10" i="19"/>
  <c r="H12" i="19" s="1"/>
  <c r="H19" i="19"/>
  <c r="H75" i="12"/>
  <c r="I75" i="12" s="1"/>
  <c r="I74" i="12"/>
  <c r="J74" i="12" s="1"/>
  <c r="J75" i="12"/>
  <c r="H77" i="12"/>
  <c r="E32" i="16"/>
  <c r="D32" i="16"/>
  <c r="E25" i="5"/>
  <c r="G24" i="5"/>
  <c r="H24" i="5" s="1"/>
  <c r="G25" i="5"/>
  <c r="G25" i="11"/>
  <c r="H25" i="11" s="1"/>
  <c r="H226" i="19" l="1"/>
  <c r="H294" i="19"/>
  <c r="E320" i="19"/>
  <c r="H320" i="19" s="1"/>
  <c r="H331" i="19" s="1"/>
  <c r="H345" i="19" s="1"/>
  <c r="H352" i="19" s="1"/>
  <c r="H319" i="19"/>
  <c r="H280" i="19"/>
  <c r="H300" i="19" s="1"/>
  <c r="H262" i="19"/>
  <c r="H252" i="19"/>
  <c r="H268" i="19" s="1"/>
  <c r="E225" i="19"/>
  <c r="H225" i="19" s="1"/>
  <c r="H224" i="19"/>
  <c r="H204" i="19"/>
  <c r="H210" i="19" s="1"/>
  <c r="H176" i="19"/>
  <c r="H167" i="19"/>
  <c r="H139" i="19"/>
  <c r="H149" i="19"/>
  <c r="H155" i="19" s="1"/>
  <c r="H121" i="19"/>
  <c r="H108" i="19"/>
  <c r="H90" i="19"/>
  <c r="H96" i="19" s="1"/>
  <c r="H30" i="19"/>
  <c r="H59" i="19"/>
  <c r="H17" i="19"/>
  <c r="H36" i="19" s="1"/>
  <c r="H48" i="19"/>
  <c r="H25" i="5"/>
  <c r="E24" i="11"/>
  <c r="G23" i="11"/>
  <c r="H23" i="11" s="1"/>
  <c r="G24" i="11"/>
  <c r="G27" i="11"/>
  <c r="H27" i="11" s="1"/>
  <c r="H182" i="19" l="1"/>
  <c r="H65" i="19"/>
  <c r="H234" i="19"/>
  <c r="H240" i="19" s="1"/>
  <c r="H127" i="19"/>
  <c r="H24" i="11"/>
  <c r="G51" i="12"/>
  <c r="G52" i="12"/>
  <c r="G53" i="12"/>
  <c r="G37" i="12"/>
  <c r="G38" i="12"/>
  <c r="G39" i="12"/>
  <c r="G40" i="12"/>
  <c r="G41" i="12"/>
  <c r="G42" i="12"/>
  <c r="G43" i="12"/>
  <c r="G44" i="12"/>
  <c r="G45" i="12"/>
  <c r="G36" i="12"/>
  <c r="G80" i="12"/>
  <c r="G82" i="12"/>
  <c r="G83" i="12"/>
  <c r="G84" i="12"/>
  <c r="G79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18" i="12"/>
  <c r="G13" i="12"/>
  <c r="G14" i="12"/>
  <c r="G12" i="12"/>
  <c r="G7" i="12"/>
  <c r="F82" i="14"/>
  <c r="F81" i="14"/>
  <c r="F80" i="14"/>
  <c r="F79" i="14"/>
  <c r="F78" i="14"/>
  <c r="F77" i="14"/>
  <c r="E8" i="12"/>
  <c r="E50" i="12" s="1"/>
  <c r="E8" i="11"/>
  <c r="E31" i="11" s="1"/>
  <c r="G32" i="11"/>
  <c r="G33" i="11"/>
  <c r="G18" i="11"/>
  <c r="G19" i="11"/>
  <c r="G20" i="11"/>
  <c r="G21" i="11"/>
  <c r="G22" i="11"/>
  <c r="G28" i="11"/>
  <c r="G17" i="11"/>
  <c r="G12" i="11"/>
  <c r="G13" i="11"/>
  <c r="G14" i="11"/>
  <c r="G7" i="11"/>
  <c r="E8" i="10"/>
  <c r="E27" i="10" s="1"/>
  <c r="G28" i="10"/>
  <c r="G29" i="10"/>
  <c r="G18" i="10"/>
  <c r="G19" i="10"/>
  <c r="G20" i="10"/>
  <c r="G21" i="10"/>
  <c r="G22" i="10"/>
  <c r="G23" i="10"/>
  <c r="G24" i="10"/>
  <c r="G17" i="10"/>
  <c r="G12" i="10"/>
  <c r="G13" i="10"/>
  <c r="G14" i="10"/>
  <c r="G7" i="10"/>
  <c r="E8" i="9"/>
  <c r="E29" i="9" s="1"/>
  <c r="G30" i="9"/>
  <c r="G31" i="9"/>
  <c r="G18" i="9"/>
  <c r="G19" i="9"/>
  <c r="G20" i="9"/>
  <c r="G21" i="9"/>
  <c r="G22" i="9"/>
  <c r="G23" i="9"/>
  <c r="G24" i="9"/>
  <c r="G25" i="9"/>
  <c r="G26" i="9"/>
  <c r="G17" i="9"/>
  <c r="G12" i="9"/>
  <c r="G13" i="9"/>
  <c r="G14" i="9"/>
  <c r="G7" i="9"/>
  <c r="E19" i="8"/>
  <c r="G19" i="8"/>
  <c r="E17" i="8"/>
  <c r="G28" i="8"/>
  <c r="G29" i="8"/>
  <c r="G18" i="8"/>
  <c r="G20" i="8"/>
  <c r="G21" i="8"/>
  <c r="G22" i="8"/>
  <c r="G23" i="8"/>
  <c r="G24" i="8"/>
  <c r="G17" i="8"/>
  <c r="G13" i="8"/>
  <c r="G14" i="8"/>
  <c r="G12" i="8"/>
  <c r="G7" i="8"/>
  <c r="E8" i="8"/>
  <c r="E27" i="8" s="1"/>
  <c r="E8" i="7"/>
  <c r="E26" i="7" s="1"/>
  <c r="G27" i="7"/>
  <c r="G28" i="7"/>
  <c r="G18" i="7"/>
  <c r="G19" i="7"/>
  <c r="G20" i="7"/>
  <c r="G21" i="7"/>
  <c r="G22" i="7"/>
  <c r="G23" i="7"/>
  <c r="G17" i="7"/>
  <c r="G12" i="7"/>
  <c r="G13" i="7"/>
  <c r="G14" i="7"/>
  <c r="G7" i="7"/>
  <c r="G18" i="6"/>
  <c r="H18" i="6" s="1"/>
  <c r="F83" i="14" l="1"/>
  <c r="F33" i="12" s="1"/>
  <c r="G33" i="12" s="1"/>
  <c r="H19" i="8"/>
  <c r="E8" i="6"/>
  <c r="E27" i="6" s="1"/>
  <c r="G28" i="6"/>
  <c r="G29" i="6"/>
  <c r="G19" i="6"/>
  <c r="G20" i="6"/>
  <c r="G21" i="6"/>
  <c r="G22" i="6"/>
  <c r="G23" i="6"/>
  <c r="G24" i="6"/>
  <c r="G17" i="6"/>
  <c r="G12" i="6"/>
  <c r="G13" i="6"/>
  <c r="G14" i="6"/>
  <c r="G7" i="6"/>
  <c r="E19" i="5"/>
  <c r="E20" i="5" s="1"/>
  <c r="G20" i="5"/>
  <c r="E8" i="5"/>
  <c r="E30" i="5" s="1"/>
  <c r="G31" i="5"/>
  <c r="G32" i="5"/>
  <c r="G18" i="5"/>
  <c r="G21" i="5"/>
  <c r="G22" i="5"/>
  <c r="G23" i="5"/>
  <c r="G26" i="5"/>
  <c r="G27" i="5"/>
  <c r="G17" i="5"/>
  <c r="G12" i="5"/>
  <c r="G13" i="5"/>
  <c r="G14" i="5"/>
  <c r="G7" i="5"/>
  <c r="E19" i="4"/>
  <c r="E20" i="4" s="1"/>
  <c r="G20" i="4"/>
  <c r="E8" i="4"/>
  <c r="E30" i="4" s="1"/>
  <c r="G31" i="4"/>
  <c r="G32" i="4"/>
  <c r="G18" i="4"/>
  <c r="G21" i="4"/>
  <c r="G22" i="4"/>
  <c r="G23" i="4"/>
  <c r="G24" i="4"/>
  <c r="G25" i="4"/>
  <c r="G26" i="4"/>
  <c r="G27" i="4"/>
  <c r="G17" i="4"/>
  <c r="G12" i="4"/>
  <c r="G13" i="4"/>
  <c r="G14" i="4"/>
  <c r="G7" i="4"/>
  <c r="G20" i="3"/>
  <c r="E19" i="3"/>
  <c r="E20" i="3" s="1"/>
  <c r="E8" i="3"/>
  <c r="E28" i="3" s="1"/>
  <c r="G29" i="3"/>
  <c r="H29" i="3" s="1"/>
  <c r="G30" i="3"/>
  <c r="G18" i="3"/>
  <c r="G21" i="3"/>
  <c r="G22" i="3"/>
  <c r="G23" i="3"/>
  <c r="G24" i="3"/>
  <c r="G25" i="3"/>
  <c r="G17" i="3"/>
  <c r="G12" i="3"/>
  <c r="G13" i="3"/>
  <c r="G14" i="3"/>
  <c r="G7" i="3"/>
  <c r="E20" i="2"/>
  <c r="E19" i="2"/>
  <c r="H20" i="3" l="1"/>
  <c r="H20" i="5"/>
  <c r="H20" i="4"/>
  <c r="F25" i="14"/>
  <c r="F26" i="14"/>
  <c r="F27" i="14"/>
  <c r="F28" i="14"/>
  <c r="F29" i="14"/>
  <c r="F30" i="14"/>
  <c r="F72" i="14"/>
  <c r="F71" i="14"/>
  <c r="F70" i="14"/>
  <c r="F69" i="14"/>
  <c r="F68" i="14"/>
  <c r="F67" i="14"/>
  <c r="G20" i="2"/>
  <c r="H20" i="2" s="1"/>
  <c r="F73" i="14" l="1"/>
  <c r="E8" i="2"/>
  <c r="E30" i="2" s="1"/>
  <c r="G31" i="2"/>
  <c r="G32" i="2"/>
  <c r="G18" i="2"/>
  <c r="G21" i="2"/>
  <c r="G22" i="2"/>
  <c r="G23" i="2"/>
  <c r="G24" i="2"/>
  <c r="G25" i="2"/>
  <c r="G26" i="2"/>
  <c r="G27" i="2"/>
  <c r="G17" i="2"/>
  <c r="G12" i="2"/>
  <c r="G13" i="2"/>
  <c r="G14" i="2"/>
  <c r="G7" i="2"/>
  <c r="F62" i="14"/>
  <c r="F61" i="14"/>
  <c r="F63" i="14" s="1"/>
  <c r="F56" i="14"/>
  <c r="F55" i="14"/>
  <c r="F50" i="14"/>
  <c r="F49" i="14"/>
  <c r="F48" i="14"/>
  <c r="F47" i="14"/>
  <c r="F46" i="14"/>
  <c r="F45" i="14"/>
  <c r="F40" i="14"/>
  <c r="F39" i="14"/>
  <c r="F38" i="14"/>
  <c r="F37" i="14"/>
  <c r="F36" i="14"/>
  <c r="F35" i="14"/>
  <c r="F24" i="14"/>
  <c r="F19" i="14"/>
  <c r="F18" i="14"/>
  <c r="F13" i="14"/>
  <c r="F12" i="14"/>
  <c r="F11" i="14"/>
  <c r="F10" i="14"/>
  <c r="F9" i="14"/>
  <c r="F4" i="14"/>
  <c r="F3" i="14"/>
  <c r="E43" i="12"/>
  <c r="E40" i="12"/>
  <c r="E37" i="12"/>
  <c r="E39" i="12" s="1"/>
  <c r="E36" i="12"/>
  <c r="E45" i="12"/>
  <c r="F57" i="14" l="1"/>
  <c r="F46" i="12" s="1"/>
  <c r="G46" i="12" s="1"/>
  <c r="F5" i="14"/>
  <c r="F41" i="14"/>
  <c r="F81" i="12" s="1"/>
  <c r="G81" i="12" s="1"/>
  <c r="H81" i="12" s="1"/>
  <c r="F19" i="3"/>
  <c r="G19" i="3" s="1"/>
  <c r="H19" i="3" s="1"/>
  <c r="F19" i="2"/>
  <c r="G19" i="2" s="1"/>
  <c r="H19" i="2" s="1"/>
  <c r="F19" i="5"/>
  <c r="G19" i="5" s="1"/>
  <c r="H19" i="5" s="1"/>
  <c r="F19" i="4"/>
  <c r="G19" i="4" s="1"/>
  <c r="H19" i="4" s="1"/>
  <c r="E38" i="12"/>
  <c r="H38" i="12" s="1"/>
  <c r="F20" i="14"/>
  <c r="F51" i="14"/>
  <c r="F26" i="11" s="1"/>
  <c r="G26" i="11" s="1"/>
  <c r="H26" i="11" s="1"/>
  <c r="F14" i="14"/>
  <c r="F31" i="14"/>
  <c r="H39" i="12"/>
  <c r="H40" i="12"/>
  <c r="H41" i="12"/>
  <c r="H42" i="12"/>
  <c r="H43" i="12"/>
  <c r="H44" i="12"/>
  <c r="H45" i="12"/>
  <c r="H46" i="12"/>
  <c r="E84" i="12"/>
  <c r="H84" i="12" s="1"/>
  <c r="E83" i="12"/>
  <c r="H36" i="12"/>
  <c r="H37" i="12"/>
  <c r="E21" i="12"/>
  <c r="E18" i="12"/>
  <c r="E19" i="12" s="1"/>
  <c r="F9" i="12" l="1"/>
  <c r="G9" i="12" s="1"/>
  <c r="H9" i="12" s="1"/>
  <c r="F9" i="8"/>
  <c r="G9" i="8" s="1"/>
  <c r="F9" i="7"/>
  <c r="G9" i="7" s="1"/>
  <c r="F9" i="11"/>
  <c r="G9" i="11" s="1"/>
  <c r="F9" i="10"/>
  <c r="G9" i="10" s="1"/>
  <c r="F9" i="9"/>
  <c r="G9" i="9" s="1"/>
  <c r="F9" i="6"/>
  <c r="G9" i="6" s="1"/>
  <c r="F9" i="5"/>
  <c r="G9" i="5" s="1"/>
  <c r="F9" i="3"/>
  <c r="G9" i="3" s="1"/>
  <c r="F9" i="4"/>
  <c r="G9" i="4" s="1"/>
  <c r="F9" i="2"/>
  <c r="G9" i="2" s="1"/>
  <c r="F8" i="7"/>
  <c r="G8" i="7" s="1"/>
  <c r="F8" i="12"/>
  <c r="G8" i="12" s="1"/>
  <c r="H8" i="12" s="1"/>
  <c r="F8" i="8"/>
  <c r="G8" i="8" s="1"/>
  <c r="F8" i="11"/>
  <c r="G8" i="11" s="1"/>
  <c r="F8" i="10"/>
  <c r="G8" i="10" s="1"/>
  <c r="F8" i="9"/>
  <c r="G8" i="9" s="1"/>
  <c r="F8" i="4"/>
  <c r="G8" i="4" s="1"/>
  <c r="F8" i="6"/>
  <c r="G8" i="6" s="1"/>
  <c r="F8" i="3"/>
  <c r="G8" i="3" s="1"/>
  <c r="F8" i="5"/>
  <c r="G8" i="5" s="1"/>
  <c r="F8" i="2"/>
  <c r="G8" i="2" s="1"/>
  <c r="F30" i="2"/>
  <c r="G30" i="2" s="1"/>
  <c r="F27" i="8"/>
  <c r="G27" i="8" s="1"/>
  <c r="F31" i="11"/>
  <c r="G31" i="11" s="1"/>
  <c r="H31" i="11" s="1"/>
  <c r="F27" i="10"/>
  <c r="G27" i="10" s="1"/>
  <c r="H27" i="10" s="1"/>
  <c r="F26" i="7"/>
  <c r="G26" i="7" s="1"/>
  <c r="F29" i="9"/>
  <c r="G29" i="9" s="1"/>
  <c r="F50" i="12"/>
  <c r="G50" i="12" s="1"/>
  <c r="H50" i="12" s="1"/>
  <c r="F27" i="6"/>
  <c r="G27" i="6" s="1"/>
  <c r="F30" i="5"/>
  <c r="G30" i="5" s="1"/>
  <c r="F28" i="3"/>
  <c r="G28" i="3" s="1"/>
  <c r="F30" i="4"/>
  <c r="G30" i="4" s="1"/>
  <c r="H47" i="12"/>
  <c r="H83" i="12"/>
  <c r="H21" i="12"/>
  <c r="E27" i="12"/>
  <c r="H26" i="12"/>
  <c r="H51" i="12"/>
  <c r="H29" i="12"/>
  <c r="H30" i="12"/>
  <c r="H31" i="12"/>
  <c r="H32" i="12"/>
  <c r="H33" i="12"/>
  <c r="H79" i="12"/>
  <c r="H80" i="12"/>
  <c r="H82" i="12"/>
  <c r="H53" i="12"/>
  <c r="H52" i="12"/>
  <c r="H19" i="12"/>
  <c r="H18" i="12"/>
  <c r="H13" i="12"/>
  <c r="H7" i="12"/>
  <c r="E22" i="11"/>
  <c r="H22" i="11" s="1"/>
  <c r="E21" i="11"/>
  <c r="H21" i="11" s="1"/>
  <c r="E19" i="11"/>
  <c r="H19" i="11" s="1"/>
  <c r="E17" i="11"/>
  <c r="E12" i="11"/>
  <c r="E14" i="11" s="1"/>
  <c r="H14" i="11" s="1"/>
  <c r="H33" i="11"/>
  <c r="H32" i="11"/>
  <c r="H28" i="11"/>
  <c r="H20" i="11"/>
  <c r="H18" i="11"/>
  <c r="H9" i="11"/>
  <c r="H8" i="11"/>
  <c r="H7" i="11"/>
  <c r="E22" i="10"/>
  <c r="H22" i="10" s="1"/>
  <c r="E23" i="10"/>
  <c r="H23" i="10" s="1"/>
  <c r="E12" i="10"/>
  <c r="E13" i="10" s="1"/>
  <c r="E19" i="10"/>
  <c r="E20" i="10" s="1"/>
  <c r="H20" i="10" s="1"/>
  <c r="E17" i="10"/>
  <c r="H29" i="10"/>
  <c r="H28" i="10"/>
  <c r="H24" i="10"/>
  <c r="H21" i="10"/>
  <c r="H9" i="10"/>
  <c r="H8" i="10"/>
  <c r="H7" i="10"/>
  <c r="E24" i="9"/>
  <c r="E23" i="9"/>
  <c r="E25" i="9"/>
  <c r="E19" i="9"/>
  <c r="E20" i="9" s="1"/>
  <c r="E17" i="9"/>
  <c r="E18" i="9" s="1"/>
  <c r="H21" i="9"/>
  <c r="H31" i="9"/>
  <c r="H30" i="9"/>
  <c r="H29" i="9"/>
  <c r="H26" i="9"/>
  <c r="H22" i="9"/>
  <c r="H13" i="9"/>
  <c r="H9" i="9"/>
  <c r="H8" i="9"/>
  <c r="H7" i="9"/>
  <c r="H29" i="8"/>
  <c r="H28" i="8"/>
  <c r="H27" i="8"/>
  <c r="H24" i="8"/>
  <c r="E23" i="8"/>
  <c r="E22" i="8"/>
  <c r="H21" i="8"/>
  <c r="E20" i="8"/>
  <c r="H20" i="8" s="1"/>
  <c r="H18" i="8"/>
  <c r="H17" i="8"/>
  <c r="H14" i="8"/>
  <c r="H13" i="8"/>
  <c r="H12" i="8"/>
  <c r="H9" i="8"/>
  <c r="H8" i="8"/>
  <c r="H7" i="8"/>
  <c r="H10" i="9" l="1"/>
  <c r="H10" i="11"/>
  <c r="E13" i="11"/>
  <c r="H13" i="11" s="1"/>
  <c r="E14" i="10"/>
  <c r="H14" i="10" s="1"/>
  <c r="E18" i="10"/>
  <c r="H18" i="10" s="1"/>
  <c r="H10" i="8"/>
  <c r="H22" i="8"/>
  <c r="H23" i="8"/>
  <c r="H25" i="8" s="1"/>
  <c r="H30" i="8"/>
  <c r="H27" i="12"/>
  <c r="H85" i="12"/>
  <c r="G71" i="12" s="1"/>
  <c r="E24" i="12"/>
  <c r="E22" i="12"/>
  <c r="E23" i="12" s="1"/>
  <c r="H23" i="12" s="1"/>
  <c r="E28" i="12"/>
  <c r="H28" i="12" s="1"/>
  <c r="H10" i="12"/>
  <c r="H20" i="12"/>
  <c r="H14" i="12"/>
  <c r="H54" i="12"/>
  <c r="H12" i="12"/>
  <c r="H34" i="11"/>
  <c r="H12" i="11"/>
  <c r="H17" i="11"/>
  <c r="H29" i="11" s="1"/>
  <c r="H13" i="10"/>
  <c r="H12" i="10"/>
  <c r="H19" i="10"/>
  <c r="H10" i="10"/>
  <c r="H30" i="10"/>
  <c r="H17" i="10"/>
  <c r="H24" i="9"/>
  <c r="H23" i="9"/>
  <c r="H25" i="9"/>
  <c r="H18" i="9"/>
  <c r="H20" i="9"/>
  <c r="H32" i="9"/>
  <c r="H17" i="9"/>
  <c r="H14" i="9"/>
  <c r="H19" i="9"/>
  <c r="H12" i="9"/>
  <c r="H15" i="8"/>
  <c r="H71" i="12" l="1"/>
  <c r="H72" i="12" s="1"/>
  <c r="H27" i="9"/>
  <c r="H31" i="8"/>
  <c r="H15" i="9"/>
  <c r="H15" i="12"/>
  <c r="H22" i="12"/>
  <c r="E25" i="12"/>
  <c r="H25" i="12" s="1"/>
  <c r="H24" i="12"/>
  <c r="H15" i="11"/>
  <c r="H35" i="11" s="1"/>
  <c r="H15" i="10"/>
  <c r="H31" i="10" s="1"/>
  <c r="H25" i="10"/>
  <c r="H28" i="7"/>
  <c r="H27" i="7"/>
  <c r="H26" i="7"/>
  <c r="H23" i="7"/>
  <c r="E22" i="7"/>
  <c r="H22" i="7" s="1"/>
  <c r="E21" i="7"/>
  <c r="H21" i="7" s="1"/>
  <c r="H20" i="7"/>
  <c r="E19" i="7"/>
  <c r="H19" i="7" s="1"/>
  <c r="H18" i="7"/>
  <c r="E17" i="7"/>
  <c r="H17" i="7" s="1"/>
  <c r="E12" i="7"/>
  <c r="E13" i="7" s="1"/>
  <c r="H13" i="7" s="1"/>
  <c r="H9" i="7"/>
  <c r="H8" i="7"/>
  <c r="H7" i="7"/>
  <c r="H10" i="7" l="1"/>
  <c r="H33" i="9"/>
  <c r="H29" i="7"/>
  <c r="H34" i="12"/>
  <c r="H24" i="7"/>
  <c r="H12" i="7"/>
  <c r="E14" i="7"/>
  <c r="H14" i="7" s="1"/>
  <c r="H48" i="12" l="1"/>
  <c r="H55" i="12" s="1"/>
  <c r="H15" i="7"/>
  <c r="H30" i="7" s="1"/>
  <c r="H29" i="6"/>
  <c r="H28" i="6"/>
  <c r="H27" i="6"/>
  <c r="H24" i="6"/>
  <c r="E23" i="6"/>
  <c r="H23" i="6" s="1"/>
  <c r="E22" i="6"/>
  <c r="H22" i="6" s="1"/>
  <c r="H21" i="6"/>
  <c r="E20" i="6"/>
  <c r="H20" i="6" s="1"/>
  <c r="E17" i="6"/>
  <c r="E19" i="6" s="1"/>
  <c r="H19" i="6" s="1"/>
  <c r="E12" i="6"/>
  <c r="E13" i="6" s="1"/>
  <c r="H13" i="6" s="1"/>
  <c r="H9" i="6"/>
  <c r="H8" i="6"/>
  <c r="H7" i="6"/>
  <c r="H30" i="6" l="1"/>
  <c r="H10" i="6"/>
  <c r="H17" i="6"/>
  <c r="H25" i="6" s="1"/>
  <c r="H12" i="6"/>
  <c r="E14" i="6"/>
  <c r="H14" i="6" s="1"/>
  <c r="H15" i="6" l="1"/>
  <c r="H31" i="6" s="1"/>
  <c r="H32" i="5"/>
  <c r="H31" i="5"/>
  <c r="H30" i="5"/>
  <c r="H27" i="5"/>
  <c r="E26" i="5"/>
  <c r="H26" i="5" s="1"/>
  <c r="H23" i="5"/>
  <c r="E21" i="5"/>
  <c r="H21" i="5" s="1"/>
  <c r="E17" i="5"/>
  <c r="H17" i="5" s="1"/>
  <c r="E12" i="5"/>
  <c r="H12" i="5" s="1"/>
  <c r="H9" i="5"/>
  <c r="H8" i="5"/>
  <c r="H7" i="5"/>
  <c r="H10" i="5" l="1"/>
  <c r="H33" i="5"/>
  <c r="E18" i="5"/>
  <c r="H18" i="5" s="1"/>
  <c r="E13" i="5"/>
  <c r="H13" i="5" s="1"/>
  <c r="E14" i="5"/>
  <c r="H14" i="5" s="1"/>
  <c r="E22" i="5"/>
  <c r="H22" i="5" s="1"/>
  <c r="H15" i="5" l="1"/>
  <c r="H28" i="5"/>
  <c r="H32" i="4"/>
  <c r="H31" i="4"/>
  <c r="H30" i="4"/>
  <c r="H27" i="4"/>
  <c r="H26" i="4"/>
  <c r="E25" i="4"/>
  <c r="H25" i="4" s="1"/>
  <c r="H24" i="4"/>
  <c r="H23" i="4"/>
  <c r="E21" i="4"/>
  <c r="H21" i="4" s="1"/>
  <c r="E17" i="4"/>
  <c r="H17" i="4" s="1"/>
  <c r="H14" i="4"/>
  <c r="H13" i="4"/>
  <c r="H12" i="4"/>
  <c r="H9" i="4"/>
  <c r="H8" i="4"/>
  <c r="H7" i="4"/>
  <c r="H34" i="5" l="1"/>
  <c r="E18" i="4"/>
  <c r="H18" i="4" s="1"/>
  <c r="H33" i="4"/>
  <c r="H10" i="4"/>
  <c r="H15" i="4"/>
  <c r="E22" i="4"/>
  <c r="H22" i="4" s="1"/>
  <c r="H28" i="4" s="1"/>
  <c r="H34" i="4" l="1"/>
  <c r="H30" i="3"/>
  <c r="H28" i="3"/>
  <c r="H25" i="3"/>
  <c r="E24" i="3"/>
  <c r="H24" i="3" s="1"/>
  <c r="H23" i="3"/>
  <c r="E21" i="3"/>
  <c r="E22" i="3" s="1"/>
  <c r="H22" i="3" s="1"/>
  <c r="E17" i="3"/>
  <c r="E12" i="3"/>
  <c r="E13" i="3" s="1"/>
  <c r="H13" i="3" s="1"/>
  <c r="H9" i="3"/>
  <c r="H8" i="3"/>
  <c r="H7" i="3"/>
  <c r="H10" i="3" l="1"/>
  <c r="H21" i="3"/>
  <c r="E14" i="3"/>
  <c r="H14" i="3" s="1"/>
  <c r="H17" i="3"/>
  <c r="H31" i="3"/>
  <c r="E18" i="3"/>
  <c r="H18" i="3" s="1"/>
  <c r="H12" i="3"/>
  <c r="H15" i="3" s="1"/>
  <c r="H26" i="3" l="1"/>
  <c r="H32" i="3" s="1"/>
  <c r="H32" i="2"/>
  <c r="H31" i="2"/>
  <c r="H30" i="2"/>
  <c r="H27" i="2"/>
  <c r="H26" i="2"/>
  <c r="E25" i="2"/>
  <c r="H25" i="2" s="1"/>
  <c r="H24" i="2"/>
  <c r="H23" i="2"/>
  <c r="E21" i="2"/>
  <c r="E22" i="2" s="1"/>
  <c r="H22" i="2" s="1"/>
  <c r="E17" i="2"/>
  <c r="E18" i="2" s="1"/>
  <c r="H18" i="2" s="1"/>
  <c r="E12" i="2"/>
  <c r="E14" i="2" s="1"/>
  <c r="H14" i="2" s="1"/>
  <c r="H9" i="2"/>
  <c r="H8" i="2"/>
  <c r="H7" i="2"/>
  <c r="E13" i="2" l="1"/>
  <c r="H13" i="2" s="1"/>
  <c r="H33" i="2"/>
  <c r="H12" i="2"/>
  <c r="H10" i="2"/>
  <c r="H17" i="2"/>
  <c r="H21" i="2"/>
  <c r="H15" i="2" l="1"/>
  <c r="H34" i="2" s="1"/>
  <c r="H28" i="2"/>
</calcChain>
</file>

<file path=xl/sharedStrings.xml><?xml version="1.0" encoding="utf-8"?>
<sst xmlns="http://schemas.openxmlformats.org/spreadsheetml/2006/main" count="2232" uniqueCount="282">
  <si>
    <t>PREFEITURA MUNICIPAL DE BOM RETIRO DO SUL/RS</t>
  </si>
  <si>
    <t>OBRA:</t>
  </si>
  <si>
    <t>Drenagem Pluvial e aterro de pista</t>
  </si>
  <si>
    <t>LOCAL:</t>
  </si>
  <si>
    <t>TRECHO:</t>
  </si>
  <si>
    <t>REFERÊNCIA:</t>
  </si>
  <si>
    <t>ORÇAMENTO</t>
  </si>
  <si>
    <t>ITEM</t>
  </si>
  <si>
    <t>CÓDIGO SINAPI</t>
  </si>
  <si>
    <t>DESCRIÇÃO</t>
  </si>
  <si>
    <t>UNIDADE</t>
  </si>
  <si>
    <t>QUANTIDADE</t>
  </si>
  <si>
    <t>VALOR UNITÁRIO</t>
  </si>
  <si>
    <t>VALOR TOTAL</t>
  </si>
  <si>
    <t>SERVIÇOS PRELIMINARES</t>
  </si>
  <si>
    <t>1.1</t>
  </si>
  <si>
    <t>CP 1</t>
  </si>
  <si>
    <t>m²</t>
  </si>
  <si>
    <t>1.2</t>
  </si>
  <si>
    <t>CP 2</t>
  </si>
  <si>
    <t>1.3</t>
  </si>
  <si>
    <t>CP 3</t>
  </si>
  <si>
    <t>MOBILIZAÇÃO DE EQUIPAMENTOS</t>
  </si>
  <si>
    <t>t.Km</t>
  </si>
  <si>
    <t>CP 4</t>
  </si>
  <si>
    <t>Unid.</t>
  </si>
  <si>
    <t>TOTAL DO ITEM 1:</t>
  </si>
  <si>
    <t>TERRAPLANAGEM</t>
  </si>
  <si>
    <t>LIMPEZA MECANIZADA DE CAMADA VEGETAL, VEGETAÇÃO E PEQUENAS ÁRVORES (DIÂMETRO DE TRONCO MENOR QUE 0,20 M), COM TRATOR DE ESTEIRAS. AF_03/2024</t>
  </si>
  <si>
    <t>m³.Km</t>
  </si>
  <si>
    <t>ESCAVAÇÃO HORIZONTAL, INCLUINDO CARGA, DESCARGA E TRANSPORTE EM SOLO DE 1A CATEGORIA COM TRATOR DE ESTEIRAS (170HP/LÂMINA: 5,20M3) E CAMINHÃO BASCULANTE DE 10M3, DMT ATÉ 200M. AF_07/2020</t>
  </si>
  <si>
    <t>m³</t>
  </si>
  <si>
    <t>REGULARIZAÇÃO E COMPACTAÇÃO DE SUBLEITO DE SOLO  PREDOMINANTEMENTE ARGILOSO. AF_11/2019</t>
  </si>
  <si>
    <t>CARGA, MANOBRA E DESCARGA DE SOLOS E MATERIAIS GRANULARES EM CAMINHÃO BASCULANTE 10 M³ - CARGA COM ESCAVADEIRA HIDRÁULICA (CAÇAMBA DE 1,20 M³ / 155 HP) E DESCARGA LIVRE (UNIDADE: M3). AF_07/2020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</si>
  <si>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10,5KM</t>
    </r>
  </si>
  <si>
    <t>105742 (Composição)</t>
  </si>
  <si>
    <t>CONSTRUÇÃO DE BASE E SUB-BASE PARA PAVIMENTAÇÃO DE RACHÃO, COM ESPESSURA DE 30 CM - EXCLUSIVE CARGA E TRANSPORTE. AF_09/2024</t>
  </si>
  <si>
    <t>TOTAL DO ITEM 2:</t>
  </si>
  <si>
    <t>DRENAGEM PLUVIAL</t>
  </si>
  <si>
    <t>ESCAVAÇÃO MECANIZADA DE VALA COM PROF. MAIOR QUE 1,5 M ATÉ 3,0 M (MÉDIA MONTANTE E JUSANTE/UMA COMPOSIÇÃO POR TRECHO),COM ESCAVADEIRA (1,2 M3),LARG. DE 1,5 M A 2,5 M, EM SOLO DE 1A CATEGORIA, LOCAIS COM BAIXO NÍVEL DE INTERFERÊNCIA. AF_02/2021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</si>
  <si>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</si>
  <si>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PREPARO DE FUNDO DE VALA COM LARGURA MENOR QUE 1,5 M, COM CAMADA DE BRITA, LANÇAMENTO MECANIZADO. AF_08/2020</t>
  </si>
  <si>
    <t>TRANSPORTE COM CAMINHÃO BASCULANTE DE 10 M³, EM VIA URBANA EM REVESTIMENTO PRIMÁRIO (UNIDADE: M3XKM). AF_07/2020 - DMT 20KM</t>
  </si>
  <si>
    <t>TUBO DE CONCRETO PARA REDES COLETORAS DE ÁGUAS PLUVIAIS, DIÂMETRO DE 1000 MM, JUNTA RÍGIDA, INSTALADO EM LOCAL COM BAIXO NÍVEL DE INTERFERÊNCIAS - FORNECIMENTO E ASSENTAMENTO. AF_03/2024</t>
  </si>
  <si>
    <t>m</t>
  </si>
  <si>
    <t>TUBO DE CONCRETO PARA REDES COLETORAS DE ÁGUAS PLUVIAIS, DIÂMETRO DE 800 MM, JUNTA RÍGIDA, INSTALADO EM LOCAL COM BAIXO NÍVEL DE INTERFERÊNCIAS - FORNECIMENTO E ASSENTAMENTO. AF_03/2024</t>
  </si>
  <si>
    <t>TRANSPORTE COM CAMINHÃO CARROCERIA 9T, EM VIA URBANA EM REVESTIMENTO PRIMÁRIO (UNIDADE: TXKM). AF_07/2020 - DMT 21,5KM</t>
  </si>
  <si>
    <t>BOCA PARA BUEIRO SIMPLES TUBULAR D = 100 CM EM CONCRETO, ALAS COM ESCONSIDADE DE 0°, INCLUINDO FÔRMAS E MATERIAIS. AF_07/2021</t>
  </si>
  <si>
    <t>BOCA PARA BUEIRO SIMPLES TUBULAR D = 80 CM EM CONCRETO, ALAS COM ESCONSIDADE DE 0°, INCLUINDO FÔRMAS E MATERIAIS. AF_07/2021</t>
  </si>
  <si>
    <t>TOTAL DO ITEM 3:</t>
  </si>
  <si>
    <t>TOTAL DO ITEM 4:</t>
  </si>
  <si>
    <t>SERVIÇOS COMPLEMENTARES</t>
  </si>
  <si>
    <t>DESMOBILIZAÇÃO DE EQUIPAMENTOS</t>
  </si>
  <si>
    <t>ESCAVADEIRA HIDRÁULICA SOBRE ESTEIRAS, CAÇAMBA 1,20 M3, PESO OPERACIONAL 21 T, POTÊNCIA BRUTA 155 HP - CHI DIURNO. AF_06/2014</t>
  </si>
  <si>
    <t>CHI</t>
  </si>
  <si>
    <t>ESCAVADEIRA HIDRÁULICA SOBRE ESTEIRAS, CAÇAMBA 1,20 M3, PESO OPERACIONAL 21 T, POTÊNCIA BRUTA 155 HP - CHP DIURNO. AF_06/2014</t>
  </si>
  <si>
    <t>CHP</t>
  </si>
  <si>
    <t>VALOR TOTAL OBRA:</t>
  </si>
  <si>
    <t>TRANSPORTE COM CAMINHÃO BASCULANTE DE 10 M³, EM VIA URBANA EM REVESTIMENTO PRIMÁRIO (UNIDADE: M3XKM). AF_07/2020 - DMT 22KM</t>
  </si>
  <si>
    <t>TUBO DE CONCRETO PARA REDES COLETORAS DE ÁGUAS PLUVIAIS, DIÂMETRO DE 1500 MM, JUNTA RÍGIDA, INSTALADO EM LOCAL COM BAIXO NÍVEL DE INTERFERÊNCIAS - FORNECIMENTO E ASSENTAMENTO. AF_03/2024</t>
  </si>
  <si>
    <t>TRANSPORTE COM CAMINHÃO CARROCERIA 9T, EM VIA URBANA EM REVESTIMENTO PRIMÁRIO (UNIDADE: TXKM). AF_07/2020 - DMT 24KM</t>
  </si>
  <si>
    <t>BOCA PARA BUEIRO SIMPLES TUBULAR D = 150 CM EM CONCRETO, ALAS COM ESCONSIDADE DE 0°, INCLUINDO FÔRMAS E MATERIAIS. AF_07/2021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</si>
  <si>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9KM</t>
    </r>
  </si>
  <si>
    <t>TRANSPORTE COM CAMINHÃO BASCULANTE DE 10 M³, EM VIA URBANA EM REVESTIMENTO PRIMÁRIO (UNIDADE: M3XKM). AF_07/2020 - DMT 24KM</t>
  </si>
  <si>
    <t>TRANSPORTE COM CAMINHÃO CARROCERIA 9T, EM VIA URBANA EM REVESTIMENTO PRIMÁRIO (UNIDADE: TXKM). AF_07/2020 - DMT 27,5KM</t>
  </si>
  <si>
    <t>BOCA PARA BUEIRO DUPLO TUBULAR D = 150 CM EM CONCRETO, ALAS COM ESCONSIDADE DE 0°, INCLUINDO FÔRMAS E MATERIAIS. AF_07/2021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</si>
  <si>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9,5KM</t>
    </r>
  </si>
  <si>
    <t>TRANSPORTE COM CAMINHÃO BASCULANTE DE 10 M³, EM VIA URBANA EM REVESTIMENTO PRIMÁRIO (UNIDADE: M3XKM). AF_07/2020 - DMT 24,5KM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</si>
  <si>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11,5KM</t>
    </r>
  </si>
  <si>
    <t>EXECUÇÃO DE RADIER, ESPESSURA DE 20 CM, FCK = 30 MPA, COM USO DE FORMAS EM MADEIRA SERRADA. AF_09/2021</t>
  </si>
  <si>
    <t>ADUELA/ GALERIA FECHADA PRE-MOLDADA DE CONCRETO ARMADO, SECAO QUADRANGULAR INTERNA DE 3,00 X 3,00 M (L X A), MISULA DE 20 X 20 CM, C = 1,00 M, ESPESSURA MIN = 20 CM, TB-45 E FCK DO CONCRETO = 30 MPA   FORNECIMENTO E ASSENTAMENTO. AF_01/2023</t>
  </si>
  <si>
    <t>TRANSPORTE COM CAMINHÃO CARROCERIA 9T, EM VIA URBANA PAVIMENTADA, DMT ATÉ 30KM (UNIDADE: TXKM). AF_07/2020 - DMT 30KM</t>
  </si>
  <si>
    <t>TRANSPORTE COM CAMINHÃO CARROCERIA 9T, EM VIA URBANA PAVIMENTADA, ADICIONAL PARA DMT EXCEDENTE A 30 KM (UNIDADE: TXKM). AF_07/2020 - DMT 75KM</t>
  </si>
  <si>
    <t>BOCA PARA BUEIRO SIMPLES CELULAR 300 X 300 CM EM CONCRETO, ALAS COM ESCONSIDADE DE 30°, INCLUINDO FÔRMAS E MATERIAIS. AF_07/2021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</si>
  <si>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2KM</t>
    </r>
  </si>
  <si>
    <t>TRANSPORTE COM CAMINHÃO CARROCERIA 9T, EM VIA URBANA PAVIMENTADA, ADICIONAL PARA DMT EXCEDENTE A 30 KM (UNIDADE: TXKM). AF_07/2020 - DMT 85KM</t>
  </si>
  <si>
    <t>Fazenda Aurora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</si>
  <si>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8,5KM</t>
    </r>
  </si>
  <si>
    <t>TRANSPORTE COM CAMINHÃO BASCULANTE DE 10 M³, EM VIA URBANA EM REVESTIMENTO PRIMÁRIO (UNIDADE: M3XKM). AF_07/2020 - DMT 25KM</t>
  </si>
  <si>
    <t>TRANSPORTE COM CAMINHÃO CARROCERIA 9T, EM VIA URBANA PAVIMENTADA, ADICIONAL PARA DMT EXCEDENTE A 30 KM (UNIDADE: TXKM). AF_07/2020 - DMT 5KM</t>
  </si>
  <si>
    <t>TRANSPORTE COM CAMINHÃO CARROCERIA 9T, EM VIA URBANA PAVIMENTADA, ADICIONAL PARA DMT EXCEDENTE A 30 KM (UNIDADE: TXKM). AF_07/2020 - DMT 4KM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</si>
  <si>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7,5KM</t>
    </r>
  </si>
  <si>
    <t>ADUELA/ GALERIA FECHADA PRE-MOLDADA DE CONCRETO ARMADO, SECAO QUADRANGULAR INTERNA DE 2,00 X 2,00 M (L X A), MISULA DE 20 X 20 CM, C = 1,00 M, ESPESSURA MIN = 15 CM, TB-45 E FCK DO CONCRETO = 30 MPA FORNECIMENTO E ASSENTAMENTO. AF_01/2023</t>
  </si>
  <si>
    <t>TRANSPORTE COM CAMINHÃO CARROCERIA 9T, EM VIA URBANA PAVIMENTADA, ADICIONAL PARA DMT EXCEDENTE A 30 KM (UNIDADE: TXKM). AF_07/2020 - DMT 87KM</t>
  </si>
  <si>
    <t>BOCA PARA BUEIRO SIMPLES CELULAR 200 X 200 CM EM CONCRETO, ALAS COM ESCONSIDADE DE 30°, INCLUINDO FÔRMAS E MATERIAIS. AF_07/2021</t>
  </si>
  <si>
    <t>3.1</t>
  </si>
  <si>
    <t>RECOMPOSIÇÃO DE REVESTIMENTO EM CONCRETO ASFÁLTICO (AQUISIÇÃO EM USINA), PARA O FECHAMENTO DE VALAS - INCLUSO DEMOLIÇÃO DO PAVIMENTO. AF_12/2020</t>
  </si>
  <si>
    <t>ASSENTAMENTO DE GUIA (MEIO-FIO) EM TRECHO RETO, CONFECCIONADA EM CONCRETO PRÉ-FABRICADO, DIMENSÕES 100X15X13X30 CM (COMPRIMENTO X BASE INFERIOR X BASE SUPERIOR X ALTURA). AF_01/2024</t>
  </si>
  <si>
    <t>H</t>
  </si>
  <si>
    <t>TUBO DE CONCRETO PARA REDES COLETORAS DE ÁGUAS PLUVIAIS, DIÂMETRO DE 400 MM, JUNTA RÍGIDA, INSTALADO EM LOCAL COM BAIXO NÍVEL DE INTERFERÊNCIAS - FORNECIMENTO E ASSENTAMENTO. AF_03/2024</t>
  </si>
  <si>
    <t>CAIXA PARA BOCA DE LOBO SIMPLES RETANGULAR, EM ALVENARIA COM BLOCOS DE CONCRETO, DIMENSÕES INTERNAS: 0,6X1X1,2 M. AF_12/2020</t>
  </si>
  <si>
    <t>BASE PARA POÇO DE VISITA RETANGULAR PARA DRENAGEM, EM ALVENARIA COM BLOCOS DE CONCRETO, DIMENSÕES INTERNAS = 1,5X1,5 M, PROFUNDIDADE = 1,40 M, EXCLUINDO TAMPÃO. AF_12/2020_PA</t>
  </si>
  <si>
    <t>ACRÉSCIMO PARA POÇO DE VISITA RETANGULAR PARA DRENAGEM, EM ALVENARIA COM BLOCOS DE CONCRETO, DIMENSÕES INTERNAS = 1,5X1,5 M. AF_12/2020</t>
  </si>
  <si>
    <t>TRANSPORTE COM CAMINHÃO TANQUE DE TRANSPORTE DE MATERIAL ASFÁLTICO DE 20000 L, EM VIA URBANA PAVIMENTADA, DMT ATÉ 30KM (UNIDADE: TXKM). AF_07/2020 - DMT 12,5KM</t>
  </si>
  <si>
    <t>TRANSPORTE COM CAMINHÃO CARROCERIA 9T, EM VIA URBANA PAVIMENTADA, DMT ATÉ 30KM (UNIDADE: TXKM). AF_07/2020 - DMT 26KM</t>
  </si>
  <si>
    <t>TRANSPORTE COM CAMINHÃO BASCULANTE DE 10 M³, EM VIA URBANA EM REVESTIMENTO PRIMÁRIO (UNIDADE: M3XKM). AF_07/2020 - DMT 12,5KM</t>
  </si>
  <si>
    <t>3.2</t>
  </si>
  <si>
    <t>TOTAL DO ITEM 3.1:</t>
  </si>
  <si>
    <t>Rua Henrique Schmidt</t>
  </si>
  <si>
    <t>TOTAL DO ITEM 3.2:</t>
  </si>
  <si>
    <t>3.3</t>
  </si>
  <si>
    <t>SERVENTE COM ENCARGOS COMPLEMENTARES</t>
  </si>
  <si>
    <t>Transporte com cavalo mecânico com semirreboque com capacidade de 22 t - rodovia em revestimento primário</t>
  </si>
  <si>
    <t>T.KM</t>
  </si>
  <si>
    <t>Valor por t.Km</t>
  </si>
  <si>
    <t>ENGENHEIRO CIVIL DE OBRA PLENO COM ENCARGOS COMPLEMENTARES</t>
  </si>
  <si>
    <t>ENCARREGADO GERAL COM ENCARGOS COMPLEMENTARES</t>
  </si>
  <si>
    <t>Valor por Unidade</t>
  </si>
  <si>
    <t>PEDREIRO COM ENCARGOS COMPLEMENTARES</t>
  </si>
  <si>
    <t>ESCAVADEIRA HIDRÁULICA SOBRE ESTEIRAS, CAÇAMBA 0,80 M3, PESO OPERACIONAL 17 T, POTENCIA BRUTA 111 HP - CHP DIURNO. AF_06/2014</t>
  </si>
  <si>
    <t>ESCAVADEIRA HIDRÁULICA SOBRE ESTEIRAS, CAÇAMBA 0,80 M3, PESO OPERACIONAL 17 T, POTENCIA BRUTA 111 HP - CHI DIURNO. AF_06/2014</t>
  </si>
  <si>
    <t>ROLO COMPACTADOR VIBRATÓRIO DE UM CILINDRO AÇO LISO, POTÊNCIA 80 HP, PESO OPERACIONAL MÁXIMO 8,1 T, IMPACTO DINÂMICO 16,15 / 9,5 T, LARGURA DE TRABALHO 1,68 M - CHP DIURNO. AF_06/2014</t>
  </si>
  <si>
    <t>ROLO COMPACTADOR VIBRATÓRIO DE UM CILINDRO AÇO LISO, POTÊNCIA 80 HP, PESO OPERACIONAL MÁXIMO 8,1 T, IMPACTO DINÂMICO 16,15 / 9,5 T, LARGURA DE TRABALHO 1,68 M - CHI DIURNO. AF_06/2014</t>
  </si>
  <si>
    <t>ROLO COMPACTADOR VIBRATÓRIO PÉ DE CARNEIRO PARA SOLOS, POTÊNCIA 80 HP, PESO OPERACIONAL SEM/COM LASTRO 7,4 / 8,8 T, LARGURA DE TRABALHO 1,68 M - CHP DIURNO. AF_02/2016</t>
  </si>
  <si>
    <t>ROLO COMPACTADOR VIBRATÓRIO PÉ DE CARNEIRO PARA SOLOS, POTÊNCIA 80 HP, PESO OPERACIONAL SEM/COM LASTRO 7,4 / 8,8 T, LARGURA DE TRABALHO 1,68 M - CHI DIURNO. AF_02/2016</t>
  </si>
  <si>
    <t>Valor por m³</t>
  </si>
  <si>
    <t>PREPARO DE FUNDO DE VALA COM LARGURA MENOR QUE 1,5 M, COM CAMADA DE RACHÃO, LANÇAMENTO MECANIZADO. AF_08/2020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</si>
  <si>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</si>
  <si>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</si>
  <si>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COMPACTADOR DE SOLOS DE PERCUSSÃO (SOQUETE) COM MOTOR A GASOLINA 4 TEMPOS, POTÊNCIA 4 CV - CHP DIURNO. AF_08/2015</t>
  </si>
  <si>
    <t>COMPACTADOR DE SOLOS DE PERCUSSÃO (SOQUETE) COM MOTOR A GASOLINA 4 TEMPOS, POTÊNCIA 4 CV - CHI DIURNO. AF_08/2015</t>
  </si>
  <si>
    <t>TUBO DE CONCRETO PARA REDES COLETORAS DE ESGOTO SANITÁRIO, DIÂMETRO DE 600 MM, JUNTA ELÁSTICA, INSTALADO EM LOCAL COM BAIXO NÍVEL DE INTERFERÊNCIAS - FORNECIMENTO E ASSENTAMENTO. AF_03/2024</t>
  </si>
  <si>
    <r>
      <t xml:space="preserve">TRANSPORTE COM CAMINHÃO BASCULANTE DE 10 M³, EM VIA URBANA EM REVESTIMENTO PRIMÁRIO (UNIDADE: M3XKM). AF_07/2020 - </t>
    </r>
    <r>
      <rPr>
        <sz val="10"/>
        <rFont val="Calibri"/>
        <family val="2"/>
        <scheme val="minor"/>
      </rPr>
      <t>DMT 8KM</t>
    </r>
  </si>
  <si>
    <t>CP1 - MOBILIZAÇÃO DE EQUIPAMENTOS</t>
  </si>
  <si>
    <t>MOTORISTA DE CAMINHÃO COM ENCARGOS COMPLEMENTARES</t>
  </si>
  <si>
    <t>CP2 - ADMINISTRAÇÃO DE OBRA/MÊS</t>
  </si>
  <si>
    <t>TOPOGRAFO COM ENCARGOS COMPLEMENTARES</t>
  </si>
  <si>
    <t>CAMINHONETE COM MOTOR A DIESEL, POTÊNCIA 180 CV, CABINE DUPLA, 4X4 - CHI DIURNO. AF_11/2015</t>
  </si>
  <si>
    <t>CAMINHONETE COM MOTOR A DIESEL, POTÊNCIA 180 CV, CABINE DUPLA, 4X4 - CHP DIURNO. AF_11/2015</t>
  </si>
  <si>
    <t>Valor por Mês</t>
  </si>
  <si>
    <t>CP3 - DESMOBILIZAÇÃO DE EQUIPAMENTOS</t>
  </si>
  <si>
    <t>CP5 - GRELHA PARA CAIXA - 1,00 X 1,00</t>
  </si>
  <si>
    <t>BARRA DE ACO CHATA, RETANGULAR (QUALQUER BITOLA)</t>
  </si>
  <si>
    <t>Kg</t>
  </si>
  <si>
    <t>SERRALHEIRO (HORISTA)</t>
  </si>
  <si>
    <t>CANTONEIRA ACO ABAS IGUAIS (QUALQUER BITOLA), ESPESSURA ENTRE 1/8" E 1/4"</t>
  </si>
  <si>
    <t>SOLDADOR (HORISTA)</t>
  </si>
  <si>
    <t>DISCO DE CORTE PARA METAL COM DUAS TELAS 12 X 1/8 X 3/4" (300 X 3,2 X 19,05 MM)</t>
  </si>
  <si>
    <t>ELETRODO REVESTIDO AWS - E-6010, DIAMETRO IGUAL A 4,00 MM</t>
  </si>
  <si>
    <t>CP6 - GRELHA PARA CAIXA - 1,00 X 0,60</t>
  </si>
  <si>
    <t>CP7 - TAMPA DE CONCRETO - 1,50 X 1,50 X 0,12</t>
  </si>
  <si>
    <t>ARMAÇÃO DE LAJE DE ESTRUTURA CONVENCIONAL DE CONCRETO ARMADO UTILIZANDO AÇO CA-50 DE 8,0 MM - MONTAGEM. AF_06/2022</t>
  </si>
  <si>
    <t>CONCRETO USINADO BOMBEAVEL, CLASSE DE RESISTENCIA C20, COM BRITA 0 E 1, SLUMP = 100 +/- 20 MM, EXCLUI SERVICO DE BOMBEAMENTO (NBR 8953)</t>
  </si>
  <si>
    <t>CP8 - TAMPA DE CONCRETO - 2,00 X 2,00 X 0,12</t>
  </si>
  <si>
    <t>VALOR COM BDI (24,23%)</t>
  </si>
  <si>
    <t>FORNECIMENTO E INSTALAÇÃO DE PLACA DE OBRA COM CHAPA GALVANIZADA E ESTRUTURA DE MADEIRA. AF_03/2022_PS</t>
  </si>
  <si>
    <t>ADMINISTRAÇÃO DE OBRA - EQUIPE</t>
  </si>
  <si>
    <t>Mês</t>
  </si>
  <si>
    <t>4.1</t>
  </si>
  <si>
    <t>4.2</t>
  </si>
  <si>
    <t>4.3</t>
  </si>
  <si>
    <t>2.1</t>
  </si>
  <si>
    <t>2.2</t>
  </si>
  <si>
    <t>2.3</t>
  </si>
  <si>
    <t>SINAPI (Não Desonerada) - 09/2025 / SICRO 07/2025</t>
  </si>
  <si>
    <t>ESCAVADEIRA HIDRÁULICA SOBRE ESTEIRAS, CAÇAMBA 1,20 M3, PESO OPERACIONAL 21 T, POTÊNCIA BRUTA 155 HP - CHI DIURNO. AF_06/2014 - DESASSOREAMENTO DE VALA A JUSANTE E MONTANTE</t>
  </si>
  <si>
    <t>ESCAVADEIRA HIDRÁULICA SOBRE ESTEIRAS, CAÇAMBA 1,20 M3, PESO OPERACIONAL 21 T, POTÊNCIA BRUTA 155 HP - CHP DIURNO. AF_06/2014 - DESASSOREAMENTO DE VALA A JUSANTE E MONTANTE</t>
  </si>
  <si>
    <t>CP4 - CONSTRUÇÃO DE BASE E SUB-BASE PARA PAVIMENTAÇÃO DE RACHÃO, COM ESPESSURA DE 30 CM - EXCLUSIVE CARGA E TRANSPORTE. AF_09/2024</t>
  </si>
  <si>
    <t>CP9 - PREPARO DE FUNDO DE VALA COM LARGURA MENOR QUE 1,5 M, COM CAMADA DE RACHÃO, LANÇAMENTO MECANIZADO. AF_08/2020</t>
  </si>
  <si>
    <t>CP 9</t>
  </si>
  <si>
    <t>3.9</t>
  </si>
  <si>
    <t>3.4</t>
  </si>
  <si>
    <t>3.5</t>
  </si>
  <si>
    <t>3.6</t>
  </si>
  <si>
    <t>3.7</t>
  </si>
  <si>
    <t>3.8</t>
  </si>
  <si>
    <t>3.10</t>
  </si>
  <si>
    <t>3.11</t>
  </si>
  <si>
    <t>ASSENTAMENTO DE TUBO DE CONCRETO PARA REDES COLETORAS DE ÁGUAS PLUVIAIS, DIÂMETRO DE 1000 MM, JUNTA RÍGIDA, INSTALADO EM LOCAL COM BAIXO NÍVEL DE INTERFERÊNCIAS (NÃO INCLUI FORNECIMENTO). AF_03/2024 - TUBOS REAPROVEITADOS</t>
  </si>
  <si>
    <t>1600405 (SICRO)</t>
  </si>
  <si>
    <t>Remoção de tubos de concreto com diâmetro de 1,20 m a 1,50 m em valas e bueiros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</si>
  <si>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AF_08/2023 - TUBOS PARA REAPROVEITAMENTO</t>
  </si>
  <si>
    <t>DEMOLIÇÃO DE ALVENARIA PARA QUALQUER TIPO DE BLOCO, DE FORMA MECANIZADA, SEM REAPROVEITAMENTO. AF_09/2023</t>
  </si>
  <si>
    <t>ADUELA/ GALERIA FECHADA PRE-MOLDADA DE CONCRETO ARMADO, SECAO QUADRANGULAR INTERNA DE 2,50 X 2,50 M (L X A), MISULA DE 20 X 20 CM, C = 1,00 M, ESPESSURA MIN = 15 CM, TB-45 E FCK DO CONCRETO = 30 MPA   FORNECIMENTO E ASSENTAMENTO. AF_01/2023</t>
  </si>
  <si>
    <t>BOCA PARA BUEIRO SIMPLES CELULAR 250 X 250 CM EM CONCRETO, ALAS COM ESCONSIDADE DE 30°, INCLUINDO FÔRMAS E MATERIAIS. AF_07/2021</t>
  </si>
  <si>
    <t>ASSENTAMENTO DE TUBO DE CONCRETO PARA REDES COLETORAS DE ÁGUAS PLUVIAIS, DIÂMETRO DE 1000 MM, JUNTA RÍGIDA, INSTALADO EM LOCAL COM BAIXO NÍVEL DE INTERFERÊNCIAS (NÃO INCLUI FORNECIMENTO). AF_03/2024 - REAPROVEITAMENTO</t>
  </si>
  <si>
    <t>TRANSPORTE COM CAMINHÃO CARROCERIA 9T, EM VIA URBANA EM REVESTIMENTO PRIMÁRIO (UNIDADE: TXKM). AF_07/2020 - DMT 9KM - REAPROVEITAMENTO</t>
  </si>
  <si>
    <t>4.4</t>
  </si>
  <si>
    <t>E9775 (SICRO)</t>
  </si>
  <si>
    <t>Escavadeira hidráulica com martelo hidráulico de 1.700 kg - 103 kW</t>
  </si>
  <si>
    <t>CP10 - GRELHA PARA CAIXA - 1,50 X 1,50</t>
  </si>
  <si>
    <t>CP 10</t>
  </si>
  <si>
    <t>GRELHA PARA CAIXA - 1,50 X 1,50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</si>
  <si>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</si>
  <si>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</si>
  <si>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</si>
  <si>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</si>
  <si>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</si>
  <si>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</si>
  <si>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</si>
  <si>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</si>
  <si>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</si>
  <si>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</si>
  <si>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</si>
  <si>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</si>
  <si>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</si>
  <si>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</si>
  <si>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</si>
  <si>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3.1.16</t>
  </si>
  <si>
    <t>3.2.1</t>
  </si>
  <si>
    <t>3.2.2</t>
  </si>
  <si>
    <t>3.2.3</t>
  </si>
  <si>
    <t>3.2.4</t>
  </si>
  <si>
    <t>3.2.5</t>
  </si>
  <si>
    <t>CP 7</t>
  </si>
  <si>
    <t xml:space="preserve"> TAMPA DE CONCRETO - 1,50 X 1,50 X 0,12</t>
  </si>
  <si>
    <t>3.3.1</t>
  </si>
  <si>
    <t>3.3.2</t>
  </si>
  <si>
    <t>3.3.3</t>
  </si>
  <si>
    <t>3.3.4</t>
  </si>
  <si>
    <t>3.3.5</t>
  </si>
  <si>
    <t>3.3.6</t>
  </si>
  <si>
    <t>3.3.7</t>
  </si>
  <si>
    <t>3.3.8</t>
  </si>
  <si>
    <t>3.3.9</t>
  </si>
  <si>
    <t>3.3.10</t>
  </si>
  <si>
    <t>3.3.11</t>
  </si>
  <si>
    <t>BASE PARA POÇO DE VISITA RETANGULAR PARA DRENAGEM, EM ALVENARIA COM BLOCOS DE CONCRETO, DIMENSÕES INTERNAS = 1X1 M, PROFUNDIDADE = 1,40 M, EXCLUINDO TAMPÃO. AF_12/2020_PA</t>
  </si>
  <si>
    <t>CP 5</t>
  </si>
  <si>
    <t>GRELHA PARA CAIXA - 1,00 X 1,00</t>
  </si>
  <si>
    <t>3.2.6</t>
  </si>
  <si>
    <t>TRANSPORTE COM CAMINHÃO CARROCERIA 9T, EM VIA URBANA PAVIMENTADA, DMT ATÉ 30KM (UNIDADE: TXKM). AF_07/2020 - DMT 26,5KM</t>
  </si>
  <si>
    <t>BOCA PARA BUEIRO SIMPLES TUBULAR D = 40 CM EM CONCRETO, ALAS COM ESCONSIDADE DE 0°, INCLUINDO FÔRMAS E MATERIAIS. AF_07/2021</t>
  </si>
  <si>
    <t>3.12</t>
  </si>
  <si>
    <t>CP 6</t>
  </si>
  <si>
    <t>GRELHA PARA CAIXA - 1,00 X 0,60</t>
  </si>
  <si>
    <t>BOCA PARA BUEIRO DUPLO TUBULAR D = 100 CM EM CONCRETO, ALAS COM ESCONSIDADE DE 0°, INCLUINDO FÔRMAS E MATERIAIS. AF_07/2021</t>
  </si>
  <si>
    <t>TRANSPORTE COM CAMINHÃO CARROCERIA 9T, EM VIA URBANA EM REVESTIMENTO PRIMÁRIO (UNIDADE: TXKM). AF_07/2020 - DMT 2KM (REAPROVEITADOS)</t>
  </si>
  <si>
    <t>BOCA PARA BUEIRO DUPLO CELULAR 300 X 300 CM EM CONCRETO, ALAS COM ESCONSIDADE DE 30°, INCLUINDO FÔRMAS E MATERIAIS. AF_07/2021</t>
  </si>
  <si>
    <t>Rua Otylia Sibila Schmidt</t>
  </si>
  <si>
    <t>Roberto</t>
  </si>
  <si>
    <t>Otylia</t>
  </si>
  <si>
    <t>Total projeto</t>
  </si>
  <si>
    <t>Repasse</t>
  </si>
  <si>
    <t>Contrapartida</t>
  </si>
  <si>
    <t>Floriano</t>
  </si>
  <si>
    <t>Minuano</t>
  </si>
  <si>
    <t>Languiru 1</t>
  </si>
  <si>
    <t>Languiru 2</t>
  </si>
  <si>
    <t>Galeria sobre arroio nas proximidade da Granja Lunedo</t>
  </si>
  <si>
    <t>Bom Retiro do Sul, 12 de novembro de 2025</t>
  </si>
  <si>
    <t>Eng. Civil Giovana Mulinari</t>
  </si>
  <si>
    <t xml:space="preserve">Drenagem Pluvial </t>
  </si>
  <si>
    <t>Galeria sobre o arroio Capivara</t>
  </si>
  <si>
    <t>Tavessa sobre arroio Curtume</t>
  </si>
  <si>
    <t>Rua Reinaldo Kollet</t>
  </si>
  <si>
    <t>Drenagem Pluvial</t>
  </si>
  <si>
    <t>rua Roberto J. Kerber  e rua Otylia Sibila Schmidt</t>
  </si>
  <si>
    <t>Rua Roberto J. Kerber</t>
  </si>
  <si>
    <t>Localidade do Pinhal - sistema de drenagem pluvial próximo ao Campo do Floriano</t>
  </si>
  <si>
    <t>Localidade do Pinhal</t>
  </si>
  <si>
    <t>Localidade do Pinhal - sistema de drenagem pluvial próximo a Minuano</t>
  </si>
  <si>
    <t>Localidade da Fazenda Aurora – drenagem 01 pluvial próximo a Languiru</t>
  </si>
  <si>
    <t>Localidade da Fazenda Aurora</t>
  </si>
  <si>
    <t>Localidade da Fazenda Aurora – drenagem 02 pluvial próximo a Languiru</t>
  </si>
  <si>
    <t>Localidade da Barra do Silva Jorge – Galeria Sobre Arroio</t>
  </si>
  <si>
    <t>Barra do Silva Jorge</t>
  </si>
  <si>
    <t>Localidade da Barra do Silva Jorge – drenagem 01</t>
  </si>
  <si>
    <t>Localidade da Barra do Silva Jorge – drenagem 02</t>
  </si>
  <si>
    <t xml:space="preserve">TOTAL GERAL </t>
  </si>
  <si>
    <t>Bom Retiro do Sul, 21 de novembro de 2025</t>
  </si>
  <si>
    <t xml:space="preserve">CRONOGRAMA FÍSICO - FINANCEIRO </t>
  </si>
  <si>
    <t>ÍTEM</t>
  </si>
  <si>
    <t>FASE</t>
  </si>
  <si>
    <t>VALOR ORÇADO</t>
  </si>
  <si>
    <t>INCID.</t>
  </si>
  <si>
    <t>REALIZAÇÃO  MENSAL</t>
  </si>
  <si>
    <t>( R$ )</t>
  </si>
  <si>
    <t>( % )</t>
  </si>
  <si>
    <t>1º  MÊS</t>
  </si>
  <si>
    <t>2º MêS</t>
  </si>
  <si>
    <t>3º MêS</t>
  </si>
  <si>
    <t>4º  MÊS</t>
  </si>
  <si>
    <t>5º  MÊS</t>
  </si>
  <si>
    <t>6º  MÊS</t>
  </si>
  <si>
    <t>OBRA - Drenagem Pluvial e aterro de pista</t>
  </si>
  <si>
    <t>7º  MÊS</t>
  </si>
  <si>
    <t>8º  MÊS</t>
  </si>
  <si>
    <t>9º  MÊS</t>
  </si>
  <si>
    <t>10º  MÊS</t>
  </si>
  <si>
    <t>11º  MÊS</t>
  </si>
  <si>
    <t>Rua Roberto J. Kerber e Rua Otylia Sibila Schmidt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</si>
</sst>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R$&quot;\ #,##0.00"/>
    <numFmt numFmtId="165" formatCode="0.0000"/>
    <numFmt numFmtId="166" formatCode="_(&quot;R$ &quot;* #,##0.00_);_(&quot;R$ &quot;* \(#,##0.00\);_(&quot;R$ &quot;* &quot;-&quot;??_);_(@_)"/>
    <numFmt numFmtId="167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6" fontId="10" fillId="0" borderId="0" applyFont="0" applyFill="0" applyBorder="0" applyAlignment="0" applyProtection="0"/>
    <xf numFmtId="4" fontId="10" fillId="0" borderId="0"/>
    <xf numFmtId="167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1" fillId="4" borderId="2" xfId="0" applyNumberFormat="1" applyFont="1" applyFill="1" applyBorder="1" applyAlignment="1">
      <alignment horizontal="center" vertical="center"/>
    </xf>
    <xf numFmtId="4" fontId="3" fillId="0" borderId="2" xfId="0" applyNumberFormat="1" applyFont="1" applyBorder="1" applyAlignment="1">
      <alignment horizontal="left" vertical="center" wrapText="1"/>
    </xf>
    <xf numFmtId="165" fontId="3" fillId="0" borderId="2" xfId="0" applyNumberFormat="1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left" vertical="center" wrapText="1"/>
    </xf>
    <xf numFmtId="2" fontId="3" fillId="5" borderId="2" xfId="0" applyNumberFormat="1" applyFont="1" applyFill="1" applyBorder="1" applyAlignment="1">
      <alignment horizontal="center" vertical="center"/>
    </xf>
    <xf numFmtId="164" fontId="3" fillId="5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 wrapText="1"/>
    </xf>
    <xf numFmtId="164" fontId="1" fillId="5" borderId="2" xfId="0" applyNumberFormat="1" applyFont="1" applyFill="1" applyBorder="1" applyAlignment="1">
      <alignment horizontal="center" vertical="center"/>
    </xf>
    <xf numFmtId="4" fontId="0" fillId="0" borderId="0" xfId="0" applyNumberFormat="1" applyAlignment="1">
      <alignment vertical="center"/>
    </xf>
    <xf numFmtId="4" fontId="6" fillId="0" borderId="0" xfId="0" applyNumberFormat="1" applyFont="1" applyAlignment="1">
      <alignment vertical="center"/>
    </xf>
    <xf numFmtId="0" fontId="2" fillId="0" borderId="0" xfId="0" applyFont="1"/>
    <xf numFmtId="4" fontId="0" fillId="0" borderId="0" xfId="0" applyNumberFormat="1"/>
    <xf numFmtId="4" fontId="7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1" fillId="0" borderId="0" xfId="0" applyNumberFormat="1" applyFont="1"/>
    <xf numFmtId="4" fontId="7" fillId="5" borderId="0" xfId="0" applyNumberFormat="1" applyFont="1" applyFill="1" applyAlignment="1">
      <alignment horizontal="center" vertical="center"/>
    </xf>
    <xf numFmtId="4" fontId="8" fillId="5" borderId="0" xfId="0" applyNumberFormat="1" applyFont="1" applyFill="1" applyAlignment="1">
      <alignment horizontal="center" vertical="center"/>
    </xf>
    <xf numFmtId="0" fontId="6" fillId="0" borderId="0" xfId="0" applyFont="1"/>
    <xf numFmtId="4" fontId="6" fillId="0" borderId="0" xfId="0" applyNumberFormat="1" applyFont="1"/>
    <xf numFmtId="4" fontId="6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164" fontId="1" fillId="6" borderId="0" xfId="0" applyNumberFormat="1" applyFont="1" applyFill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6" fillId="7" borderId="12" xfId="0" applyFont="1" applyFill="1" applyBorder="1"/>
    <xf numFmtId="164" fontId="1" fillId="7" borderId="2" xfId="0" applyNumberFormat="1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6" fillId="7" borderId="2" xfId="0" applyFont="1" applyFill="1" applyBorder="1"/>
    <xf numFmtId="0" fontId="1" fillId="0" borderId="3" xfId="0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5" borderId="3" xfId="0" applyFont="1" applyFill="1" applyBorder="1" applyAlignment="1">
      <alignment horizontal="right" vertical="center"/>
    </xf>
    <xf numFmtId="0" fontId="1" fillId="5" borderId="4" xfId="0" applyFont="1" applyFill="1" applyBorder="1" applyAlignment="1">
      <alignment horizontal="right" vertical="center"/>
    </xf>
    <xf numFmtId="0" fontId="1" fillId="5" borderId="5" xfId="0" applyFont="1" applyFill="1" applyBorder="1" applyAlignment="1">
      <alignment horizontal="righ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6" borderId="3" xfId="0" applyFont="1" applyFill="1" applyBorder="1" applyAlignment="1">
      <alignment horizontal="right" vertical="center"/>
    </xf>
    <xf numFmtId="0" fontId="1" fillId="6" borderId="4" xfId="0" applyFont="1" applyFill="1" applyBorder="1" applyAlignment="1">
      <alignment horizontal="right" vertical="center"/>
    </xf>
    <xf numFmtId="0" fontId="1" fillId="6" borderId="5" xfId="0" applyFont="1" applyFill="1" applyBorder="1" applyAlignment="1">
      <alignment horizontal="right" vertical="center"/>
    </xf>
    <xf numFmtId="0" fontId="0" fillId="7" borderId="12" xfId="0" applyFill="1" applyBorder="1" applyAlignment="1">
      <alignment horizontal="left" vertical="center"/>
    </xf>
    <xf numFmtId="0" fontId="0" fillId="7" borderId="13" xfId="0" applyFill="1" applyBorder="1" applyAlignment="1">
      <alignment horizontal="left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7" borderId="3" xfId="0" applyFill="1" applyBorder="1" applyAlignment="1">
      <alignment horizontal="left" vertical="center"/>
    </xf>
    <xf numFmtId="0" fontId="0" fillId="7" borderId="4" xfId="0" applyFill="1" applyBorder="1" applyAlignment="1">
      <alignment horizontal="left" vertical="center"/>
    </xf>
    <xf numFmtId="0" fontId="0" fillId="7" borderId="5" xfId="0" applyFill="1" applyBorder="1" applyAlignment="1">
      <alignment horizontal="left" vertical="center"/>
    </xf>
    <xf numFmtId="0" fontId="0" fillId="7" borderId="2" xfId="0" applyFill="1" applyBorder="1" applyAlignment="1">
      <alignment vertical="center"/>
    </xf>
    <xf numFmtId="0" fontId="9" fillId="0" borderId="15" xfId="0" applyFont="1" applyBorder="1" applyAlignment="1">
      <alignment horizontal="left"/>
    </xf>
    <xf numFmtId="0" fontId="9" fillId="0" borderId="16" xfId="0" applyFont="1" applyBorder="1" applyAlignment="1">
      <alignment horizontal="left"/>
    </xf>
    <xf numFmtId="164" fontId="9" fillId="7" borderId="14" xfId="0" applyNumberFormat="1" applyFont="1" applyFill="1" applyBorder="1"/>
    <xf numFmtId="0" fontId="1" fillId="0" borderId="2" xfId="0" applyFont="1" applyBorder="1" applyAlignment="1">
      <alignment vertical="center"/>
    </xf>
    <xf numFmtId="0" fontId="0" fillId="0" borderId="2" xfId="0" applyBorder="1" applyAlignment="1"/>
    <xf numFmtId="0" fontId="0" fillId="0" borderId="2" xfId="0" applyBorder="1"/>
    <xf numFmtId="0" fontId="6" fillId="7" borderId="2" xfId="0" applyFont="1" applyFill="1" applyBorder="1" applyAlignment="1">
      <alignment wrapText="1"/>
    </xf>
    <xf numFmtId="0" fontId="0" fillId="0" borderId="2" xfId="0" applyFont="1" applyBorder="1" applyAlignment="1">
      <alignment vertical="center"/>
    </xf>
    <xf numFmtId="4" fontId="0" fillId="0" borderId="2" xfId="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right" vertical="center"/>
    </xf>
    <xf numFmtId="4" fontId="0" fillId="0" borderId="2" xfId="0" applyNumberFormat="1" applyFont="1" applyBorder="1" applyAlignment="1">
      <alignment vertical="center"/>
    </xf>
    <xf numFmtId="9" fontId="0" fillId="0" borderId="2" xfId="0" applyNumberFormat="1" applyFont="1" applyBorder="1" applyAlignment="1">
      <alignment horizontal="center" vertical="center"/>
    </xf>
    <xf numFmtId="0" fontId="0" fillId="8" borderId="2" xfId="0" applyFill="1" applyBorder="1"/>
    <xf numFmtId="4" fontId="0" fillId="8" borderId="2" xfId="0" applyNumberFormat="1" applyFill="1" applyBorder="1"/>
    <xf numFmtId="166" fontId="14" fillId="8" borderId="2" xfId="1" applyFont="1" applyFill="1" applyBorder="1" applyAlignment="1">
      <alignment horizontal="center" vertical="center"/>
    </xf>
    <xf numFmtId="4" fontId="14" fillId="8" borderId="2" xfId="2" applyFont="1" applyFill="1" applyBorder="1" applyAlignment="1">
      <alignment horizontal="center" vertical="center"/>
    </xf>
    <xf numFmtId="4" fontId="14" fillId="8" borderId="21" xfId="2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left" vertical="center"/>
    </xf>
    <xf numFmtId="0" fontId="13" fillId="8" borderId="2" xfId="0" applyFont="1" applyFill="1" applyBorder="1" applyAlignment="1">
      <alignment vertical="center"/>
    </xf>
    <xf numFmtId="4" fontId="14" fillId="8" borderId="2" xfId="2" applyFont="1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1" fillId="8" borderId="2" xfId="0" applyFont="1" applyFill="1" applyBorder="1" applyAlignment="1">
      <alignment horizontal="right" vertical="center"/>
    </xf>
    <xf numFmtId="0" fontId="1" fillId="7" borderId="2" xfId="0" applyFont="1" applyFill="1" applyBorder="1" applyAlignment="1">
      <alignment horizontal="left" vertical="center"/>
    </xf>
    <xf numFmtId="0" fontId="0" fillId="7" borderId="2" xfId="0" applyFill="1" applyBorder="1" applyAlignment="1">
      <alignment vertical="center" wrapText="1"/>
    </xf>
    <xf numFmtId="4" fontId="1" fillId="8" borderId="2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4" fontId="14" fillId="8" borderId="3" xfId="2" applyFont="1" applyFill="1" applyBorder="1" applyAlignment="1">
      <alignment horizontal="center" vertical="center"/>
    </xf>
    <xf numFmtId="4" fontId="14" fillId="8" borderId="4" xfId="2" applyFont="1" applyFill="1" applyBorder="1" applyAlignment="1">
      <alignment horizontal="center" vertical="center"/>
    </xf>
    <xf numFmtId="166" fontId="11" fillId="8" borderId="24" xfId="1" applyFont="1" applyFill="1" applyBorder="1" applyAlignment="1">
      <alignment horizontal="center" vertical="center"/>
    </xf>
    <xf numFmtId="166" fontId="11" fillId="8" borderId="19" xfId="1" applyFont="1" applyFill="1" applyBorder="1" applyAlignment="1">
      <alignment horizontal="center" vertical="center"/>
    </xf>
    <xf numFmtId="166" fontId="11" fillId="8" borderId="20" xfId="1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center" vertical="center"/>
    </xf>
    <xf numFmtId="0" fontId="12" fillId="8" borderId="21" xfId="0" applyFont="1" applyFill="1" applyBorder="1" applyAlignment="1">
      <alignment horizontal="center" vertical="center"/>
    </xf>
    <xf numFmtId="0" fontId="12" fillId="8" borderId="22" xfId="0" applyFont="1" applyFill="1" applyBorder="1" applyAlignment="1">
      <alignment horizontal="left" vertical="center"/>
    </xf>
    <xf numFmtId="0" fontId="13" fillId="8" borderId="21" xfId="0" applyFont="1" applyFill="1" applyBorder="1" applyAlignment="1">
      <alignment vertical="center"/>
    </xf>
    <xf numFmtId="4" fontId="14" fillId="8" borderId="22" xfId="2" applyFont="1" applyFill="1" applyBorder="1" applyAlignment="1">
      <alignment horizontal="center"/>
    </xf>
    <xf numFmtId="4" fontId="14" fillId="8" borderId="23" xfId="2" applyFont="1" applyFill="1" applyBorder="1" applyAlignment="1">
      <alignment horizontal="center" vertical="center"/>
    </xf>
    <xf numFmtId="0" fontId="0" fillId="8" borderId="22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Border="1"/>
    <xf numFmtId="0" fontId="0" fillId="0" borderId="18" xfId="0" applyBorder="1"/>
    <xf numFmtId="0" fontId="1" fillId="7" borderId="22" xfId="0" applyFont="1" applyFill="1" applyBorder="1" applyAlignment="1">
      <alignment vertical="center"/>
    </xf>
    <xf numFmtId="0" fontId="0" fillId="7" borderId="21" xfId="0" applyFill="1" applyBorder="1" applyAlignment="1">
      <alignment horizontal="left" vertical="center"/>
    </xf>
    <xf numFmtId="0" fontId="0" fillId="0" borderId="22" xfId="0" applyFont="1" applyBorder="1" applyAlignment="1">
      <alignment horizontal="center" vertical="center"/>
    </xf>
    <xf numFmtId="0" fontId="0" fillId="0" borderId="21" xfId="0" applyBorder="1" applyAlignment="1"/>
    <xf numFmtId="0" fontId="0" fillId="0" borderId="21" xfId="0" applyBorder="1"/>
    <xf numFmtId="0" fontId="1" fillId="8" borderId="22" xfId="0" applyFont="1" applyFill="1" applyBorder="1" applyAlignment="1">
      <alignment horizontal="right" vertical="center"/>
    </xf>
    <xf numFmtId="0" fontId="0" fillId="8" borderId="21" xfId="0" applyFill="1" applyBorder="1"/>
    <xf numFmtId="0" fontId="0" fillId="0" borderId="17" xfId="0" applyBorder="1"/>
    <xf numFmtId="4" fontId="0" fillId="0" borderId="21" xfId="0" applyNumberFormat="1" applyFont="1" applyBorder="1" applyAlignment="1">
      <alignment vertical="center"/>
    </xf>
    <xf numFmtId="4" fontId="0" fillId="8" borderId="21" xfId="0" applyNumberFormat="1" applyFill="1" applyBorder="1"/>
    <xf numFmtId="0" fontId="1" fillId="8" borderId="26" xfId="0" applyFont="1" applyFill="1" applyBorder="1" applyAlignment="1">
      <alignment horizontal="right" vertical="center"/>
    </xf>
    <xf numFmtId="0" fontId="1" fillId="8" borderId="27" xfId="0" applyFont="1" applyFill="1" applyBorder="1" applyAlignment="1">
      <alignment horizontal="right" vertical="center"/>
    </xf>
    <xf numFmtId="4" fontId="1" fillId="8" borderId="27" xfId="0" applyNumberFormat="1" applyFont="1" applyFill="1" applyBorder="1" applyAlignment="1">
      <alignment horizontal="center"/>
    </xf>
    <xf numFmtId="0" fontId="0" fillId="8" borderId="27" xfId="0" applyFill="1" applyBorder="1"/>
    <xf numFmtId="4" fontId="0" fillId="8" borderId="28" xfId="0" applyNumberFormat="1" applyFont="1" applyFill="1" applyBorder="1" applyAlignment="1">
      <alignment vertical="center"/>
    </xf>
    <xf numFmtId="0" fontId="1" fillId="0" borderId="22" xfId="0" applyFont="1" applyFill="1" applyBorder="1" applyAlignment="1">
      <alignment horizontal="right" vertical="center"/>
    </xf>
    <xf numFmtId="4" fontId="1" fillId="0" borderId="2" xfId="0" applyNumberFormat="1" applyFont="1" applyFill="1" applyBorder="1" applyAlignment="1">
      <alignment horizontal="center"/>
    </xf>
    <xf numFmtId="0" fontId="0" fillId="0" borderId="2" xfId="0" applyFill="1" applyBorder="1"/>
    <xf numFmtId="4" fontId="0" fillId="0" borderId="2" xfId="0" applyNumberFormat="1" applyFill="1" applyBorder="1"/>
    <xf numFmtId="0" fontId="0" fillId="0" borderId="21" xfId="0" applyFill="1" applyBorder="1"/>
  </cellXfs>
  <cellStyles count="5">
    <cellStyle name="Moeda 2" xfId="1" xr:uid="{A3955CC8-3425-4A57-8C82-3C213CB22973}"/>
    <cellStyle name="Normal" xfId="0" builtinId="0"/>
    <cellStyle name="Normal 3" xfId="2" xr:uid="{D0EEB729-20E2-45D3-A62C-5F7FDD7FAE07}"/>
    <cellStyle name="Porcentagem 2" xfId="4" xr:uid="{FCE32878-C9F5-4578-A768-9BF3039D59AC}"/>
    <cellStyle name="Separador de milhares 2" xfId="3" xr:uid="{2FEAB8CF-42E7-4C2B-B2DB-1988E5C3D8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2017-2029\Estado%20-%20Programa%20Drenagem%20e%20Conex&#245;es\Encargos%20sociais%20e%20cronograma.xls" TargetMode="External"/><Relationship Id="rId1" Type="http://schemas.openxmlformats.org/officeDocument/2006/relationships/externalLinkPath" Target="Encargos%20sociais%20e%20cronogram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Orçamento"/>
      <sheetName val="2.BDI"/>
      <sheetName val="3. Encargos"/>
      <sheetName val="4. Memória de cálculo"/>
      <sheetName val="2.Ampliação Vó Marica"/>
      <sheetName val="4.Ampliação"/>
      <sheetName val="5.Cronograma"/>
      <sheetName val="6.Comp. Auxiliar Lixeira"/>
    </sheetNames>
    <sheetDataSet>
      <sheetData sheetId="0">
        <row r="2">
          <cell r="A2" t="str">
            <v>PREFEITURA MUNICIPAL DE BOM RETIRO DO SUL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AF76A-09CE-450B-9FBB-8DA953FC93A5}">
  <sheetPr>
    <pageSetUpPr fitToPage="1"/>
  </sheetPr>
  <dimension ref="A1:H40"/>
  <sheetViews>
    <sheetView zoomScaleNormal="100" workbookViewId="0">
      <selection sqref="A1:H34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250</v>
      </c>
      <c r="F2" s="51"/>
      <c r="G2" s="51"/>
      <c r="H2" s="52"/>
    </row>
    <row r="3" spans="1:8" ht="15.75" x14ac:dyDescent="0.25">
      <c r="A3" s="49" t="s">
        <v>4</v>
      </c>
      <c r="B3" s="49"/>
      <c r="C3" s="32" t="s">
        <v>249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ROUND((30*21.5),2)</f>
        <v>645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1489.95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21282.84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f>ROUND((80.37*6),2)</f>
        <v>482.22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4561.8</v>
      </c>
    </row>
    <row r="13" spans="1:8" ht="25.5" x14ac:dyDescent="0.25">
      <c r="A13" s="6" t="s">
        <v>152</v>
      </c>
      <c r="B13" s="6">
        <v>93589</v>
      </c>
      <c r="C13" s="10" t="s">
        <v>34</v>
      </c>
      <c r="D13" s="6" t="s">
        <v>29</v>
      </c>
      <c r="E13" s="7">
        <f>ROUND((E12*1.25*10.5),2)</f>
        <v>6329.14</v>
      </c>
      <c r="F13" s="8">
        <v>2.9</v>
      </c>
      <c r="G13" s="8">
        <f t="shared" si="2"/>
        <v>3.6</v>
      </c>
      <c r="H13" s="8">
        <f t="shared" si="3"/>
        <v>22784.9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f>E12</f>
        <v>482.22</v>
      </c>
      <c r="F14" s="8">
        <v>20.82</v>
      </c>
      <c r="G14" s="8">
        <f t="shared" si="2"/>
        <v>25.86</v>
      </c>
      <c r="H14" s="8">
        <f t="shared" si="3"/>
        <v>12470.2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39816.9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/>
      <c r="B17" s="6">
        <v>102281</v>
      </c>
      <c r="C17" s="10" t="s">
        <v>39</v>
      </c>
      <c r="D17" s="6" t="s">
        <v>31</v>
      </c>
      <c r="E17" s="7">
        <f>ROUND((2.2*1.5*E23),2)</f>
        <v>148.5</v>
      </c>
      <c r="F17" s="8">
        <v>6.19</v>
      </c>
      <c r="G17" s="8">
        <f>TRUNC((F17*1.2423),2)</f>
        <v>7.68</v>
      </c>
      <c r="H17" s="8">
        <f>TRUNC((E17*G17),2)</f>
        <v>1140.48</v>
      </c>
    </row>
    <row r="18" spans="1:8" ht="38.25" x14ac:dyDescent="0.25">
      <c r="A18" s="6"/>
      <c r="B18" s="6">
        <v>93368</v>
      </c>
      <c r="C18" s="10" t="s">
        <v>40</v>
      </c>
      <c r="D18" s="6" t="s">
        <v>31</v>
      </c>
      <c r="E18" s="7">
        <f>ROUND((E17-(E23*1.13)),2)</f>
        <v>97.65</v>
      </c>
      <c r="F18" s="8">
        <v>23.89</v>
      </c>
      <c r="G18" s="8">
        <f t="shared" ref="G18:G27" si="4">TRUNC((F18*1.2423),2)</f>
        <v>29.67</v>
      </c>
      <c r="H18" s="8">
        <f t="shared" ref="H18:H27" si="5">TRUNC((E18*G18),2)</f>
        <v>2897.27</v>
      </c>
    </row>
    <row r="19" spans="1:8" ht="25.5" x14ac:dyDescent="0.25">
      <c r="A19" s="6"/>
      <c r="B19" s="6" t="s">
        <v>159</v>
      </c>
      <c r="C19" s="10" t="s">
        <v>116</v>
      </c>
      <c r="D19" s="6" t="s">
        <v>31</v>
      </c>
      <c r="E19" s="7">
        <f>ROUND((10*1.5*0.3),2)</f>
        <v>4.5</v>
      </c>
      <c r="F19" s="8">
        <f>COMPOSIÇÕES!F73</f>
        <v>133.04</v>
      </c>
      <c r="G19" s="8">
        <f t="shared" si="4"/>
        <v>165.27</v>
      </c>
      <c r="H19" s="8">
        <f t="shared" ref="H19:H20" si="6">TRUNC((E19*G19),2)</f>
        <v>743.71</v>
      </c>
    </row>
    <row r="20" spans="1:8" ht="25.5" x14ac:dyDescent="0.25">
      <c r="A20" s="6"/>
      <c r="B20" s="6">
        <v>93589</v>
      </c>
      <c r="C20" s="10" t="s">
        <v>34</v>
      </c>
      <c r="D20" s="6" t="s">
        <v>29</v>
      </c>
      <c r="E20" s="7">
        <f>ROUND((E19*1.25*10.5),2)</f>
        <v>59.06</v>
      </c>
      <c r="F20" s="8">
        <v>2.9</v>
      </c>
      <c r="G20" s="8">
        <f t="shared" si="4"/>
        <v>3.6</v>
      </c>
      <c r="H20" s="8">
        <f t="shared" si="6"/>
        <v>212.61</v>
      </c>
    </row>
    <row r="21" spans="1:8" ht="25.5" x14ac:dyDescent="0.25">
      <c r="A21" s="6"/>
      <c r="B21" s="6">
        <v>101623</v>
      </c>
      <c r="C21" s="10" t="s">
        <v>41</v>
      </c>
      <c r="D21" s="6" t="s">
        <v>31</v>
      </c>
      <c r="E21" s="7">
        <f>ROUND((E23*1*0.1),2)</f>
        <v>4.5</v>
      </c>
      <c r="F21" s="8">
        <v>253.05</v>
      </c>
      <c r="G21" s="8">
        <f t="shared" si="4"/>
        <v>314.36</v>
      </c>
      <c r="H21" s="8">
        <f t="shared" si="5"/>
        <v>1414.62</v>
      </c>
    </row>
    <row r="22" spans="1:8" ht="25.5" x14ac:dyDescent="0.25">
      <c r="A22" s="6"/>
      <c r="B22" s="6">
        <v>93589</v>
      </c>
      <c r="C22" s="12" t="s">
        <v>42</v>
      </c>
      <c r="D22" s="6" t="s">
        <v>29</v>
      </c>
      <c r="E22" s="7">
        <f>ROUND((E21*20),2)</f>
        <v>90</v>
      </c>
      <c r="F22" s="8">
        <v>2.9</v>
      </c>
      <c r="G22" s="8">
        <f t="shared" si="4"/>
        <v>3.6</v>
      </c>
      <c r="H22" s="8">
        <f t="shared" si="5"/>
        <v>324</v>
      </c>
    </row>
    <row r="23" spans="1:8" ht="38.25" x14ac:dyDescent="0.25">
      <c r="A23" s="6"/>
      <c r="B23" s="6">
        <v>92216</v>
      </c>
      <c r="C23" s="10" t="s">
        <v>43</v>
      </c>
      <c r="D23" s="6" t="s">
        <v>44</v>
      </c>
      <c r="E23" s="7">
        <v>45</v>
      </c>
      <c r="F23" s="8">
        <v>620.05999999999995</v>
      </c>
      <c r="G23" s="8">
        <f t="shared" si="4"/>
        <v>770.3</v>
      </c>
      <c r="H23" s="8">
        <f t="shared" si="5"/>
        <v>34663.5</v>
      </c>
    </row>
    <row r="24" spans="1:8" ht="38.25" x14ac:dyDescent="0.25">
      <c r="A24" s="6"/>
      <c r="B24" s="6">
        <v>92214</v>
      </c>
      <c r="C24" s="10" t="s">
        <v>45</v>
      </c>
      <c r="D24" s="6" t="s">
        <v>44</v>
      </c>
      <c r="E24" s="7">
        <v>0</v>
      </c>
      <c r="F24" s="8">
        <v>520.55999999999995</v>
      </c>
      <c r="G24" s="8">
        <f t="shared" si="4"/>
        <v>646.69000000000005</v>
      </c>
      <c r="H24" s="8">
        <f t="shared" si="5"/>
        <v>0</v>
      </c>
    </row>
    <row r="25" spans="1:8" ht="25.5" x14ac:dyDescent="0.25">
      <c r="A25" s="6"/>
      <c r="B25" s="6">
        <v>100946</v>
      </c>
      <c r="C25" s="12" t="s">
        <v>46</v>
      </c>
      <c r="D25" s="6" t="s">
        <v>23</v>
      </c>
      <c r="E25" s="7">
        <f>ROUND((E23*1.08*21.5),2)</f>
        <v>1044.9000000000001</v>
      </c>
      <c r="F25" s="8">
        <v>2.6</v>
      </c>
      <c r="G25" s="8">
        <f t="shared" si="4"/>
        <v>3.22</v>
      </c>
      <c r="H25" s="8">
        <f t="shared" si="5"/>
        <v>3364.57</v>
      </c>
    </row>
    <row r="26" spans="1:8" ht="25.5" x14ac:dyDescent="0.25">
      <c r="A26" s="6"/>
      <c r="B26" s="6">
        <v>102740</v>
      </c>
      <c r="C26" s="10" t="s">
        <v>47</v>
      </c>
      <c r="D26" s="6" t="s">
        <v>25</v>
      </c>
      <c r="E26" s="7">
        <v>4</v>
      </c>
      <c r="F26" s="8">
        <v>5859.78</v>
      </c>
      <c r="G26" s="8">
        <f t="shared" si="4"/>
        <v>7279.6</v>
      </c>
      <c r="H26" s="8">
        <f t="shared" si="5"/>
        <v>29118.400000000001</v>
      </c>
    </row>
    <row r="27" spans="1:8" ht="25.5" x14ac:dyDescent="0.25">
      <c r="A27" s="6"/>
      <c r="B27" s="6">
        <v>102739</v>
      </c>
      <c r="C27" s="10" t="s">
        <v>48</v>
      </c>
      <c r="D27" s="6" t="s">
        <v>25</v>
      </c>
      <c r="E27" s="7">
        <v>1</v>
      </c>
      <c r="F27" s="8">
        <v>3913.7</v>
      </c>
      <c r="G27" s="8">
        <f t="shared" si="4"/>
        <v>4861.9799999999996</v>
      </c>
      <c r="H27" s="8">
        <f t="shared" si="5"/>
        <v>4861.9799999999996</v>
      </c>
    </row>
    <row r="28" spans="1:8" x14ac:dyDescent="0.25">
      <c r="A28" s="45" t="s">
        <v>49</v>
      </c>
      <c r="B28" s="46"/>
      <c r="C28" s="46"/>
      <c r="D28" s="46"/>
      <c r="E28" s="46"/>
      <c r="F28" s="46"/>
      <c r="G28" s="47"/>
      <c r="H28" s="9">
        <f>SUM(H17:H27)</f>
        <v>78741.14</v>
      </c>
    </row>
    <row r="29" spans="1:8" x14ac:dyDescent="0.25">
      <c r="A29" s="2">
        <v>4</v>
      </c>
      <c r="B29" s="54" t="s">
        <v>51</v>
      </c>
      <c r="C29" s="55"/>
      <c r="D29" s="55"/>
      <c r="E29" s="55"/>
      <c r="F29" s="55"/>
      <c r="G29" s="55"/>
      <c r="H29" s="56"/>
    </row>
    <row r="30" spans="1:8" x14ac:dyDescent="0.25">
      <c r="A30" s="6" t="s">
        <v>148</v>
      </c>
      <c r="B30" s="6" t="s">
        <v>21</v>
      </c>
      <c r="C30" s="10" t="s">
        <v>52</v>
      </c>
      <c r="D30" s="7" t="s">
        <v>23</v>
      </c>
      <c r="E30" s="7">
        <f>E8</f>
        <v>645</v>
      </c>
      <c r="F30" s="8">
        <f>COMPOSIÇÕES!F20</f>
        <v>1.8599999999999999</v>
      </c>
      <c r="G30" s="8">
        <f>TRUNC((F30*1.2423),2)</f>
        <v>2.31</v>
      </c>
      <c r="H30" s="8">
        <f>TRUNC((E30*G30),2)</f>
        <v>1489.95</v>
      </c>
    </row>
    <row r="31" spans="1:8" ht="25.5" x14ac:dyDescent="0.25">
      <c r="A31" s="6" t="s">
        <v>149</v>
      </c>
      <c r="B31" s="6">
        <v>88908</v>
      </c>
      <c r="C31" s="10" t="s">
        <v>155</v>
      </c>
      <c r="D31" s="7" t="s">
        <v>54</v>
      </c>
      <c r="E31" s="7">
        <v>30</v>
      </c>
      <c r="F31" s="8">
        <v>112.37</v>
      </c>
      <c r="G31" s="8">
        <f t="shared" ref="G31:G32" si="7">TRUNC((F31*1.2423),2)</f>
        <v>139.59</v>
      </c>
      <c r="H31" s="8">
        <f>TRUNC((E31*G31),2)</f>
        <v>4187.7</v>
      </c>
    </row>
    <row r="32" spans="1:8" ht="25.5" x14ac:dyDescent="0.25">
      <c r="A32" s="6" t="s">
        <v>150</v>
      </c>
      <c r="B32" s="6">
        <v>88907</v>
      </c>
      <c r="C32" s="10" t="s">
        <v>156</v>
      </c>
      <c r="D32" s="7" t="s">
        <v>56</v>
      </c>
      <c r="E32" s="7">
        <v>60</v>
      </c>
      <c r="F32" s="8">
        <v>275.02999999999997</v>
      </c>
      <c r="G32" s="8">
        <f t="shared" si="7"/>
        <v>341.66</v>
      </c>
      <c r="H32" s="8">
        <f>TRUNC((E32*G32),2)</f>
        <v>20499.599999999999</v>
      </c>
    </row>
    <row r="33" spans="1:8" x14ac:dyDescent="0.25">
      <c r="A33" s="45" t="s">
        <v>50</v>
      </c>
      <c r="B33" s="46"/>
      <c r="C33" s="46"/>
      <c r="D33" s="46"/>
      <c r="E33" s="46"/>
      <c r="F33" s="46"/>
      <c r="G33" s="47"/>
      <c r="H33" s="9">
        <f>SUM(H30:H32)</f>
        <v>26177.25</v>
      </c>
    </row>
    <row r="34" spans="1:8" x14ac:dyDescent="0.25">
      <c r="A34" s="45" t="s">
        <v>57</v>
      </c>
      <c r="B34" s="46"/>
      <c r="C34" s="46"/>
      <c r="D34" s="46"/>
      <c r="E34" s="46"/>
      <c r="F34" s="46"/>
      <c r="G34" s="47"/>
      <c r="H34" s="13">
        <f>H10+H15+H28+H33</f>
        <v>166018.13</v>
      </c>
    </row>
    <row r="37" spans="1:8" x14ac:dyDescent="0.25">
      <c r="C37" s="1" t="s">
        <v>240</v>
      </c>
    </row>
    <row r="38" spans="1:8" x14ac:dyDescent="0.25">
      <c r="G38" s="23"/>
      <c r="H38" s="23"/>
    </row>
    <row r="39" spans="1:8" x14ac:dyDescent="0.25">
      <c r="E39" s="57"/>
      <c r="F39" s="57"/>
      <c r="G39" s="57"/>
      <c r="H39" s="57"/>
    </row>
    <row r="40" spans="1:8" x14ac:dyDescent="0.25">
      <c r="E40" s="58" t="s">
        <v>241</v>
      </c>
      <c r="F40" s="58"/>
      <c r="G40" s="58"/>
      <c r="H40" s="58"/>
    </row>
  </sheetData>
  <mergeCells count="17">
    <mergeCell ref="E39:H39"/>
    <mergeCell ref="E40:H40"/>
    <mergeCell ref="B29:H29"/>
    <mergeCell ref="A33:G33"/>
    <mergeCell ref="A34:G34"/>
    <mergeCell ref="A28:G28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90564-3754-4213-89F1-039C9D0E1CDF}">
  <sheetPr>
    <pageSetUpPr fitToPage="1"/>
  </sheetPr>
  <dimension ref="A1:H38"/>
  <sheetViews>
    <sheetView zoomScaleNormal="100" workbookViewId="0">
      <selection activeCell="F19" sqref="F19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250</v>
      </c>
      <c r="F2" s="51"/>
      <c r="G2" s="51"/>
      <c r="H2" s="52"/>
    </row>
    <row r="3" spans="1:8" ht="15.75" x14ac:dyDescent="0.25">
      <c r="A3" s="49" t="s">
        <v>4</v>
      </c>
      <c r="B3" s="49"/>
      <c r="C3" s="32" t="s">
        <v>251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ROUND((30*24),2)</f>
        <v>720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1663.2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21456.09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f>ROUND((84.7*6),2)</f>
        <v>508.2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4807.57</v>
      </c>
    </row>
    <row r="13" spans="1:8" ht="25.5" x14ac:dyDescent="0.25">
      <c r="A13" s="6" t="s">
        <v>152</v>
      </c>
      <c r="B13" s="6">
        <v>93589</v>
      </c>
      <c r="C13" s="10" t="s">
        <v>34</v>
      </c>
      <c r="D13" s="6" t="s">
        <v>29</v>
      </c>
      <c r="E13" s="7">
        <f>ROUND((E12*1.25*10.5),2)</f>
        <v>6670.13</v>
      </c>
      <c r="F13" s="8">
        <v>2.9</v>
      </c>
      <c r="G13" s="8">
        <f t="shared" si="2"/>
        <v>3.6</v>
      </c>
      <c r="H13" s="8">
        <f t="shared" si="3"/>
        <v>24012.46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f>E12</f>
        <v>508.2</v>
      </c>
      <c r="F14" s="8">
        <v>20.82</v>
      </c>
      <c r="G14" s="8">
        <f t="shared" si="2"/>
        <v>25.86</v>
      </c>
      <c r="H14" s="8">
        <f t="shared" si="3"/>
        <v>13142.05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41962.080000000002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ROUND((2.8*3*E23),2)</f>
        <v>84</v>
      </c>
      <c r="F17" s="8">
        <v>6.19</v>
      </c>
      <c r="G17" s="8">
        <f>TRUNC((F17*1.2423),2)</f>
        <v>7.68</v>
      </c>
      <c r="H17" s="8">
        <f>TRUNC((E17*G17),2)</f>
        <v>645.12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f>ROUND((E17-(E23*2.54)),2)</f>
        <v>58.6</v>
      </c>
      <c r="F18" s="8">
        <v>23.89</v>
      </c>
      <c r="G18" s="8">
        <f t="shared" ref="G18:G25" si="4">TRUNC((F18*1.2423),2)</f>
        <v>29.67</v>
      </c>
      <c r="H18" s="8">
        <f t="shared" ref="H18:H25" si="5">TRUNC((E18*G18),2)</f>
        <v>1738.66</v>
      </c>
    </row>
    <row r="19" spans="1:8" ht="25.5" x14ac:dyDescent="0.25">
      <c r="A19" s="6" t="s">
        <v>100</v>
      </c>
      <c r="B19" s="6" t="s">
        <v>159</v>
      </c>
      <c r="C19" s="10" t="s">
        <v>116</v>
      </c>
      <c r="D19" s="6" t="s">
        <v>31</v>
      </c>
      <c r="E19" s="7">
        <f>ROUND((10*1.5*0.3),2)</f>
        <v>4.5</v>
      </c>
      <c r="F19" s="8">
        <f>COMPOSIÇÕES!F73</f>
        <v>133.04</v>
      </c>
      <c r="G19" s="8">
        <f t="shared" si="4"/>
        <v>165.27</v>
      </c>
      <c r="H19" s="8">
        <f t="shared" ref="H19:H20" si="6">TRUNC((E19*G19),2)</f>
        <v>743.71</v>
      </c>
    </row>
    <row r="20" spans="1:8" ht="25.5" x14ac:dyDescent="0.25">
      <c r="A20" s="6" t="s">
        <v>161</v>
      </c>
      <c r="B20" s="6">
        <v>93589</v>
      </c>
      <c r="C20" s="10" t="s">
        <v>34</v>
      </c>
      <c r="D20" s="6" t="s">
        <v>29</v>
      </c>
      <c r="E20" s="7">
        <f>ROUND((E19*1.25*10.5),2)</f>
        <v>59.06</v>
      </c>
      <c r="F20" s="8">
        <v>2.9</v>
      </c>
      <c r="G20" s="8">
        <f t="shared" si="4"/>
        <v>3.6</v>
      </c>
      <c r="H20" s="8">
        <f t="shared" si="6"/>
        <v>212.61</v>
      </c>
    </row>
    <row r="21" spans="1:8" ht="25.5" x14ac:dyDescent="0.25">
      <c r="A21" s="6" t="s">
        <v>162</v>
      </c>
      <c r="B21" s="6">
        <v>101623</v>
      </c>
      <c r="C21" s="10" t="s">
        <v>41</v>
      </c>
      <c r="D21" s="6" t="s">
        <v>31</v>
      </c>
      <c r="E21" s="7">
        <f>ROUND((E23*1*0.1),2)</f>
        <v>1</v>
      </c>
      <c r="F21" s="8">
        <v>253.05</v>
      </c>
      <c r="G21" s="8">
        <f t="shared" si="4"/>
        <v>314.36</v>
      </c>
      <c r="H21" s="8">
        <f t="shared" si="5"/>
        <v>314.36</v>
      </c>
    </row>
    <row r="22" spans="1:8" ht="25.5" x14ac:dyDescent="0.25">
      <c r="A22" s="6" t="s">
        <v>163</v>
      </c>
      <c r="B22" s="6">
        <v>93589</v>
      </c>
      <c r="C22" s="12" t="s">
        <v>58</v>
      </c>
      <c r="D22" s="6" t="s">
        <v>29</v>
      </c>
      <c r="E22" s="7">
        <f>ROUND((E21*22),2)</f>
        <v>22</v>
      </c>
      <c r="F22" s="8">
        <v>2.9</v>
      </c>
      <c r="G22" s="8">
        <f t="shared" si="4"/>
        <v>3.6</v>
      </c>
      <c r="H22" s="8">
        <f t="shared" si="5"/>
        <v>79.2</v>
      </c>
    </row>
    <row r="23" spans="1:8" ht="38.25" x14ac:dyDescent="0.25">
      <c r="A23" s="6" t="s">
        <v>164</v>
      </c>
      <c r="B23" s="6">
        <v>92818</v>
      </c>
      <c r="C23" s="10" t="s">
        <v>59</v>
      </c>
      <c r="D23" s="6" t="s">
        <v>44</v>
      </c>
      <c r="E23" s="7">
        <v>10</v>
      </c>
      <c r="F23" s="8">
        <v>1282.8900000000001</v>
      </c>
      <c r="G23" s="8">
        <f t="shared" si="4"/>
        <v>1593.73</v>
      </c>
      <c r="H23" s="8">
        <f t="shared" si="5"/>
        <v>15937.3</v>
      </c>
    </row>
    <row r="24" spans="1:8" ht="25.5" x14ac:dyDescent="0.25">
      <c r="A24" s="6" t="s">
        <v>165</v>
      </c>
      <c r="B24" s="6">
        <v>100946</v>
      </c>
      <c r="C24" s="12" t="s">
        <v>60</v>
      </c>
      <c r="D24" s="6" t="s">
        <v>23</v>
      </c>
      <c r="E24" s="7">
        <f>ROUND((E23*2.1*24),2)</f>
        <v>504</v>
      </c>
      <c r="F24" s="8">
        <v>2.6</v>
      </c>
      <c r="G24" s="8">
        <f t="shared" si="4"/>
        <v>3.22</v>
      </c>
      <c r="H24" s="8">
        <f t="shared" si="5"/>
        <v>1622.88</v>
      </c>
    </row>
    <row r="25" spans="1:8" ht="25.5" x14ac:dyDescent="0.25">
      <c r="A25" s="6" t="s">
        <v>160</v>
      </c>
      <c r="B25" s="6">
        <v>102742</v>
      </c>
      <c r="C25" s="10" t="s">
        <v>61</v>
      </c>
      <c r="D25" s="6" t="s">
        <v>25</v>
      </c>
      <c r="E25" s="7">
        <v>2</v>
      </c>
      <c r="F25" s="8">
        <v>14218.78</v>
      </c>
      <c r="G25" s="8">
        <f t="shared" si="4"/>
        <v>17663.990000000002</v>
      </c>
      <c r="H25" s="8">
        <f t="shared" si="5"/>
        <v>35327.980000000003</v>
      </c>
    </row>
    <row r="26" spans="1:8" x14ac:dyDescent="0.25">
      <c r="A26" s="45" t="s">
        <v>49</v>
      </c>
      <c r="B26" s="46"/>
      <c r="C26" s="46"/>
      <c r="D26" s="46"/>
      <c r="E26" s="46"/>
      <c r="F26" s="46"/>
      <c r="G26" s="47"/>
      <c r="H26" s="9">
        <f>SUM(H17:H25)</f>
        <v>56621.820000000007</v>
      </c>
    </row>
    <row r="27" spans="1:8" x14ac:dyDescent="0.25">
      <c r="A27" s="2">
        <v>4</v>
      </c>
      <c r="B27" s="54" t="s">
        <v>51</v>
      </c>
      <c r="C27" s="55"/>
      <c r="D27" s="55"/>
      <c r="E27" s="55"/>
      <c r="F27" s="55"/>
      <c r="G27" s="55"/>
      <c r="H27" s="56"/>
    </row>
    <row r="28" spans="1:8" x14ac:dyDescent="0.25">
      <c r="A28" s="6" t="s">
        <v>148</v>
      </c>
      <c r="B28" s="6" t="s">
        <v>21</v>
      </c>
      <c r="C28" s="10" t="s">
        <v>52</v>
      </c>
      <c r="D28" s="7" t="s">
        <v>23</v>
      </c>
      <c r="E28" s="7">
        <f>E8</f>
        <v>720</v>
      </c>
      <c r="F28" s="8">
        <f>COMPOSIÇÕES!F20</f>
        <v>1.8599999999999999</v>
      </c>
      <c r="G28" s="8">
        <f>TRUNC((F28*1.2423),2)</f>
        <v>2.31</v>
      </c>
      <c r="H28" s="8">
        <f>TRUNC((E28*G28),2)</f>
        <v>1663.2</v>
      </c>
    </row>
    <row r="29" spans="1:8" ht="25.5" x14ac:dyDescent="0.25">
      <c r="A29" s="6" t="s">
        <v>149</v>
      </c>
      <c r="B29" s="6">
        <v>88908</v>
      </c>
      <c r="C29" s="10" t="s">
        <v>155</v>
      </c>
      <c r="D29" s="7" t="s">
        <v>54</v>
      </c>
      <c r="E29" s="7">
        <v>0</v>
      </c>
      <c r="F29" s="8">
        <v>112.37</v>
      </c>
      <c r="G29" s="8">
        <f t="shared" ref="G29:G30" si="7">TRUNC((F29*1.2423),2)</f>
        <v>139.59</v>
      </c>
      <c r="H29" s="8">
        <f>TRUNC((E29*G29),2)</f>
        <v>0</v>
      </c>
    </row>
    <row r="30" spans="1:8" ht="25.5" x14ac:dyDescent="0.25">
      <c r="A30" s="6" t="s">
        <v>150</v>
      </c>
      <c r="B30" s="6">
        <v>88907</v>
      </c>
      <c r="C30" s="10" t="s">
        <v>156</v>
      </c>
      <c r="D30" s="7" t="s">
        <v>56</v>
      </c>
      <c r="E30" s="7">
        <v>0</v>
      </c>
      <c r="F30" s="8">
        <v>275.02999999999997</v>
      </c>
      <c r="G30" s="8">
        <f t="shared" si="7"/>
        <v>341.66</v>
      </c>
      <c r="H30" s="8">
        <f>TRUNC((E30*G30),2)</f>
        <v>0</v>
      </c>
    </row>
    <row r="31" spans="1:8" x14ac:dyDescent="0.25">
      <c r="A31" s="45" t="s">
        <v>50</v>
      </c>
      <c r="B31" s="46"/>
      <c r="C31" s="46"/>
      <c r="D31" s="46"/>
      <c r="E31" s="46"/>
      <c r="F31" s="46"/>
      <c r="G31" s="47"/>
      <c r="H31" s="9">
        <f>SUM(H28:H30)</f>
        <v>1663.2</v>
      </c>
    </row>
    <row r="32" spans="1:8" x14ac:dyDescent="0.25">
      <c r="A32" s="45" t="s">
        <v>57</v>
      </c>
      <c r="B32" s="46"/>
      <c r="C32" s="46"/>
      <c r="D32" s="46"/>
      <c r="E32" s="46"/>
      <c r="F32" s="46"/>
      <c r="G32" s="47"/>
      <c r="H32" s="13">
        <f>H10+H15+H26+H31</f>
        <v>121703.19</v>
      </c>
    </row>
    <row r="35" spans="3:8" x14ac:dyDescent="0.25">
      <c r="C35" s="1" t="s">
        <v>240</v>
      </c>
    </row>
    <row r="36" spans="3:8" x14ac:dyDescent="0.25">
      <c r="G36" s="23"/>
      <c r="H36" s="23"/>
    </row>
    <row r="37" spans="3:8" x14ac:dyDescent="0.25">
      <c r="E37" s="57"/>
      <c r="F37" s="57"/>
      <c r="G37" s="57"/>
      <c r="H37" s="57"/>
    </row>
    <row r="38" spans="3:8" x14ac:dyDescent="0.25">
      <c r="E38" s="58" t="s">
        <v>241</v>
      </c>
      <c r="F38" s="58"/>
      <c r="G38" s="58"/>
      <c r="H38" s="58"/>
    </row>
  </sheetData>
  <mergeCells count="17">
    <mergeCell ref="E37:H37"/>
    <mergeCell ref="E38:H38"/>
    <mergeCell ref="B27:H27"/>
    <mergeCell ref="A31:G31"/>
    <mergeCell ref="A32:G32"/>
    <mergeCell ref="A26:G26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01FAE-F08F-45D8-818E-8E09A7A574FC}">
  <sheetPr>
    <pageSetUpPr fitToPage="1"/>
  </sheetPr>
  <dimension ref="A1:H39"/>
  <sheetViews>
    <sheetView topLeftCell="A8" zoomScaleNormal="100" workbookViewId="0">
      <selection activeCell="F19" sqref="F19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253</v>
      </c>
      <c r="F2" s="51"/>
      <c r="G2" s="51"/>
      <c r="H2" s="52"/>
    </row>
    <row r="3" spans="1:8" ht="15.75" x14ac:dyDescent="0.25">
      <c r="A3" s="49" t="s">
        <v>4</v>
      </c>
      <c r="B3" s="49"/>
      <c r="C3" s="32" t="s">
        <v>252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ROUND((30*27.5),2)</f>
        <v>825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1905.75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21698.639999999999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v>0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0</v>
      </c>
    </row>
    <row r="13" spans="1:8" ht="25.5" x14ac:dyDescent="0.25">
      <c r="A13" s="6" t="s">
        <v>152</v>
      </c>
      <c r="B13" s="6">
        <v>93589</v>
      </c>
      <c r="C13" s="10" t="s">
        <v>62</v>
      </c>
      <c r="D13" s="6" t="s">
        <v>29</v>
      </c>
      <c r="E13" s="7">
        <v>0</v>
      </c>
      <c r="F13" s="8">
        <v>2.9</v>
      </c>
      <c r="G13" s="8">
        <f t="shared" si="2"/>
        <v>3.6</v>
      </c>
      <c r="H13" s="8">
        <f t="shared" si="3"/>
        <v>0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v>0</v>
      </c>
      <c r="F14" s="8">
        <v>20.82</v>
      </c>
      <c r="G14" s="8">
        <f t="shared" si="2"/>
        <v>25.86</v>
      </c>
      <c r="H14" s="8">
        <f t="shared" si="3"/>
        <v>0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0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ROUND((2.8*3*E23),2)</f>
        <v>151.19999999999999</v>
      </c>
      <c r="F17" s="8">
        <v>6.19</v>
      </c>
      <c r="G17" s="8">
        <f>TRUNC((F17*1.2423),2)</f>
        <v>7.68</v>
      </c>
      <c r="H17" s="8">
        <f>TRUNC((E17*G17),2)</f>
        <v>1161.21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f>ROUND((E17-(E23*2.54)),2)</f>
        <v>105.48</v>
      </c>
      <c r="F18" s="8">
        <v>23.89</v>
      </c>
      <c r="G18" s="8">
        <f t="shared" ref="G18:G27" si="4">TRUNC((F18*1.2423),2)</f>
        <v>29.67</v>
      </c>
      <c r="H18" s="8">
        <f t="shared" ref="H18:H27" si="5">TRUNC((E18*G18),2)</f>
        <v>3129.59</v>
      </c>
    </row>
    <row r="19" spans="1:8" ht="25.5" x14ac:dyDescent="0.25">
      <c r="A19" s="6" t="s">
        <v>100</v>
      </c>
      <c r="B19" s="6" t="s">
        <v>159</v>
      </c>
      <c r="C19" s="10" t="s">
        <v>116</v>
      </c>
      <c r="D19" s="6" t="s">
        <v>31</v>
      </c>
      <c r="E19" s="7">
        <f>ROUND((18*1.5*0.8),2)</f>
        <v>21.6</v>
      </c>
      <c r="F19" s="8">
        <f>COMPOSIÇÕES!F73</f>
        <v>133.04</v>
      </c>
      <c r="G19" s="8">
        <f t="shared" si="4"/>
        <v>165.27</v>
      </c>
      <c r="H19" s="8">
        <f t="shared" ref="H19:H20" si="6">TRUNC((E19*G19),2)</f>
        <v>3569.83</v>
      </c>
    </row>
    <row r="20" spans="1:8" ht="25.5" x14ac:dyDescent="0.25">
      <c r="A20" s="6" t="s">
        <v>161</v>
      </c>
      <c r="B20" s="6">
        <v>93589</v>
      </c>
      <c r="C20" s="10" t="s">
        <v>62</v>
      </c>
      <c r="D20" s="6" t="s">
        <v>29</v>
      </c>
      <c r="E20" s="7">
        <f>ROUND((E19*1.25*9),2)</f>
        <v>243</v>
      </c>
      <c r="F20" s="8">
        <v>2.9</v>
      </c>
      <c r="G20" s="8">
        <f t="shared" si="4"/>
        <v>3.6</v>
      </c>
      <c r="H20" s="8">
        <f t="shared" si="6"/>
        <v>874.8</v>
      </c>
    </row>
    <row r="21" spans="1:8" ht="25.5" x14ac:dyDescent="0.25">
      <c r="A21" s="6" t="s">
        <v>162</v>
      </c>
      <c r="B21" s="6">
        <v>101623</v>
      </c>
      <c r="C21" s="10" t="s">
        <v>41</v>
      </c>
      <c r="D21" s="6" t="s">
        <v>31</v>
      </c>
      <c r="E21" s="7">
        <f>ROUND((E23*1*0.1),2)</f>
        <v>1.8</v>
      </c>
      <c r="F21" s="8">
        <v>253.05</v>
      </c>
      <c r="G21" s="8">
        <f t="shared" si="4"/>
        <v>314.36</v>
      </c>
      <c r="H21" s="8">
        <f t="shared" si="5"/>
        <v>565.84</v>
      </c>
    </row>
    <row r="22" spans="1:8" ht="25.5" x14ac:dyDescent="0.25">
      <c r="A22" s="6" t="s">
        <v>163</v>
      </c>
      <c r="B22" s="6">
        <v>93589</v>
      </c>
      <c r="C22" s="12" t="s">
        <v>63</v>
      </c>
      <c r="D22" s="6" t="s">
        <v>29</v>
      </c>
      <c r="E22" s="7">
        <f>ROUND((E21*24),2)</f>
        <v>43.2</v>
      </c>
      <c r="F22" s="8">
        <v>2.9</v>
      </c>
      <c r="G22" s="8">
        <f t="shared" si="4"/>
        <v>3.6</v>
      </c>
      <c r="H22" s="8">
        <f t="shared" si="5"/>
        <v>155.52000000000001</v>
      </c>
    </row>
    <row r="23" spans="1:8" ht="38.25" x14ac:dyDescent="0.25">
      <c r="A23" s="6" t="s">
        <v>164</v>
      </c>
      <c r="B23" s="6">
        <v>92818</v>
      </c>
      <c r="C23" s="10" t="s">
        <v>59</v>
      </c>
      <c r="D23" s="6" t="s">
        <v>44</v>
      </c>
      <c r="E23" s="7">
        <v>18</v>
      </c>
      <c r="F23" s="8">
        <v>1282.8900000000001</v>
      </c>
      <c r="G23" s="8">
        <f t="shared" si="4"/>
        <v>1593.73</v>
      </c>
      <c r="H23" s="8">
        <f t="shared" si="5"/>
        <v>28687.14</v>
      </c>
    </row>
    <row r="24" spans="1:8" ht="38.25" x14ac:dyDescent="0.25">
      <c r="A24" s="6" t="s">
        <v>165</v>
      </c>
      <c r="B24" s="6">
        <v>92214</v>
      </c>
      <c r="C24" s="10" t="s">
        <v>45</v>
      </c>
      <c r="D24" s="6" t="s">
        <v>44</v>
      </c>
      <c r="E24" s="7">
        <v>5</v>
      </c>
      <c r="F24" s="8">
        <v>520.55999999999995</v>
      </c>
      <c r="G24" s="8">
        <f t="shared" si="4"/>
        <v>646.69000000000005</v>
      </c>
      <c r="H24" s="8">
        <f t="shared" si="5"/>
        <v>3233.45</v>
      </c>
    </row>
    <row r="25" spans="1:8" ht="25.5" x14ac:dyDescent="0.25">
      <c r="A25" s="6" t="s">
        <v>160</v>
      </c>
      <c r="B25" s="6">
        <v>100946</v>
      </c>
      <c r="C25" s="12" t="s">
        <v>64</v>
      </c>
      <c r="D25" s="6" t="s">
        <v>23</v>
      </c>
      <c r="E25" s="7">
        <f>ROUND((((E23*2.1)+(E24*0.57))*27.5),2)</f>
        <v>1117.8800000000001</v>
      </c>
      <c r="F25" s="8">
        <v>2.6</v>
      </c>
      <c r="G25" s="8">
        <f t="shared" si="4"/>
        <v>3.22</v>
      </c>
      <c r="H25" s="8">
        <f t="shared" si="5"/>
        <v>3599.57</v>
      </c>
    </row>
    <row r="26" spans="1:8" ht="25.5" x14ac:dyDescent="0.25">
      <c r="A26" s="6" t="s">
        <v>166</v>
      </c>
      <c r="B26" s="6">
        <v>102746</v>
      </c>
      <c r="C26" s="10" t="s">
        <v>65</v>
      </c>
      <c r="D26" s="6" t="s">
        <v>25</v>
      </c>
      <c r="E26" s="7">
        <v>2</v>
      </c>
      <c r="F26" s="8">
        <v>17302.740000000002</v>
      </c>
      <c r="G26" s="8">
        <f t="shared" si="4"/>
        <v>21495.19</v>
      </c>
      <c r="H26" s="8">
        <f t="shared" si="5"/>
        <v>42990.38</v>
      </c>
    </row>
    <row r="27" spans="1:8" ht="25.5" x14ac:dyDescent="0.25">
      <c r="A27" s="6" t="s">
        <v>167</v>
      </c>
      <c r="B27" s="6">
        <v>102739</v>
      </c>
      <c r="C27" s="10" t="s">
        <v>48</v>
      </c>
      <c r="D27" s="6" t="s">
        <v>25</v>
      </c>
      <c r="E27" s="7">
        <v>1</v>
      </c>
      <c r="F27" s="8">
        <v>3913.7</v>
      </c>
      <c r="G27" s="8">
        <f t="shared" si="4"/>
        <v>4861.9799999999996</v>
      </c>
      <c r="H27" s="8">
        <f t="shared" si="5"/>
        <v>4861.9799999999996</v>
      </c>
    </row>
    <row r="28" spans="1:8" x14ac:dyDescent="0.25">
      <c r="A28" s="45" t="s">
        <v>49</v>
      </c>
      <c r="B28" s="46"/>
      <c r="C28" s="46"/>
      <c r="D28" s="46"/>
      <c r="E28" s="46"/>
      <c r="F28" s="46"/>
      <c r="G28" s="47"/>
      <c r="H28" s="9">
        <f>SUM(H17:H27)</f>
        <v>92829.309999999983</v>
      </c>
    </row>
    <row r="29" spans="1:8" x14ac:dyDescent="0.25">
      <c r="A29" s="2">
        <v>4</v>
      </c>
      <c r="B29" s="54" t="s">
        <v>51</v>
      </c>
      <c r="C29" s="55"/>
      <c r="D29" s="55"/>
      <c r="E29" s="55"/>
      <c r="F29" s="55"/>
      <c r="G29" s="55"/>
      <c r="H29" s="56"/>
    </row>
    <row r="30" spans="1:8" x14ac:dyDescent="0.25">
      <c r="A30" s="6" t="s">
        <v>148</v>
      </c>
      <c r="B30" s="6" t="s">
        <v>21</v>
      </c>
      <c r="C30" s="10" t="s">
        <v>52</v>
      </c>
      <c r="D30" s="7" t="s">
        <v>23</v>
      </c>
      <c r="E30" s="7">
        <f>E8</f>
        <v>825</v>
      </c>
      <c r="F30" s="8">
        <f>COMPOSIÇÕES!F20</f>
        <v>1.8599999999999999</v>
      </c>
      <c r="G30" s="8">
        <f>TRUNC((F30*1.2423),2)</f>
        <v>2.31</v>
      </c>
      <c r="H30" s="8">
        <f>TRUNC((E30*G30),2)</f>
        <v>1905.75</v>
      </c>
    </row>
    <row r="31" spans="1:8" ht="25.5" x14ac:dyDescent="0.25">
      <c r="A31" s="6" t="s">
        <v>149</v>
      </c>
      <c r="B31" s="6">
        <v>88908</v>
      </c>
      <c r="C31" s="10" t="s">
        <v>155</v>
      </c>
      <c r="D31" s="7" t="s">
        <v>54</v>
      </c>
      <c r="E31" s="7">
        <v>0</v>
      </c>
      <c r="F31" s="8">
        <v>112.37</v>
      </c>
      <c r="G31" s="8">
        <f t="shared" ref="G31:G32" si="7">TRUNC((F31*1.2423),2)</f>
        <v>139.59</v>
      </c>
      <c r="H31" s="8">
        <f>TRUNC((E31*G31),2)</f>
        <v>0</v>
      </c>
    </row>
    <row r="32" spans="1:8" ht="25.5" x14ac:dyDescent="0.25">
      <c r="A32" s="6" t="s">
        <v>150</v>
      </c>
      <c r="B32" s="6">
        <v>88907</v>
      </c>
      <c r="C32" s="10" t="s">
        <v>156</v>
      </c>
      <c r="D32" s="7" t="s">
        <v>56</v>
      </c>
      <c r="E32" s="7">
        <v>0</v>
      </c>
      <c r="F32" s="8">
        <v>275.02999999999997</v>
      </c>
      <c r="G32" s="8">
        <f t="shared" si="7"/>
        <v>341.66</v>
      </c>
      <c r="H32" s="8">
        <f>TRUNC((E32*G32),2)</f>
        <v>0</v>
      </c>
    </row>
    <row r="33" spans="1:8" x14ac:dyDescent="0.25">
      <c r="A33" s="45" t="s">
        <v>50</v>
      </c>
      <c r="B33" s="46"/>
      <c r="C33" s="46"/>
      <c r="D33" s="46"/>
      <c r="E33" s="46"/>
      <c r="F33" s="46"/>
      <c r="G33" s="47"/>
      <c r="H33" s="9">
        <f>SUM(H30:H32)</f>
        <v>1905.75</v>
      </c>
    </row>
    <row r="34" spans="1:8" x14ac:dyDescent="0.25">
      <c r="A34" s="45" t="s">
        <v>57</v>
      </c>
      <c r="B34" s="46"/>
      <c r="C34" s="46"/>
      <c r="D34" s="46"/>
      <c r="E34" s="46"/>
      <c r="F34" s="46"/>
      <c r="G34" s="47"/>
      <c r="H34" s="13">
        <f>H10+H15+H28+H33</f>
        <v>116433.69999999998</v>
      </c>
    </row>
    <row r="36" spans="1:8" x14ac:dyDescent="0.25">
      <c r="C36" s="1" t="s">
        <v>240</v>
      </c>
    </row>
    <row r="37" spans="1:8" x14ac:dyDescent="0.25">
      <c r="G37" s="23"/>
      <c r="H37" s="23"/>
    </row>
    <row r="38" spans="1:8" x14ac:dyDescent="0.25">
      <c r="E38" s="57"/>
      <c r="F38" s="57"/>
      <c r="G38" s="57"/>
      <c r="H38" s="57"/>
    </row>
    <row r="39" spans="1:8" x14ac:dyDescent="0.25">
      <c r="E39" s="58" t="s">
        <v>241</v>
      </c>
      <c r="F39" s="58"/>
      <c r="G39" s="58"/>
      <c r="H39" s="58"/>
    </row>
  </sheetData>
  <mergeCells count="17">
    <mergeCell ref="E38:H38"/>
    <mergeCell ref="E39:H39"/>
    <mergeCell ref="B29:H29"/>
    <mergeCell ref="A33:G33"/>
    <mergeCell ref="A34:G34"/>
    <mergeCell ref="A28:G28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EF6FF-94C0-46FA-BB33-18C2FF3C066B}">
  <sheetPr>
    <pageSetUpPr fitToPage="1"/>
  </sheetPr>
  <dimension ref="A1:H39"/>
  <sheetViews>
    <sheetView topLeftCell="A13" zoomScaleNormal="100" workbookViewId="0">
      <selection activeCell="A34" sqref="A34:G34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253</v>
      </c>
      <c r="F2" s="51"/>
      <c r="G2" s="51"/>
      <c r="H2" s="52"/>
    </row>
    <row r="3" spans="1:8" ht="15.75" x14ac:dyDescent="0.25">
      <c r="A3" s="49" t="s">
        <v>4</v>
      </c>
      <c r="B3" s="49"/>
      <c r="C3" s="32" t="s">
        <v>254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ROUND((30*27.5),2)</f>
        <v>825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1905.75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21698.639999999999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f>ROUND((39.43*6),2)</f>
        <v>236.58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2238.04</v>
      </c>
    </row>
    <row r="13" spans="1:8" ht="25.5" x14ac:dyDescent="0.25">
      <c r="A13" s="6" t="s">
        <v>152</v>
      </c>
      <c r="B13" s="6">
        <v>93589</v>
      </c>
      <c r="C13" s="10" t="s">
        <v>66</v>
      </c>
      <c r="D13" s="6" t="s">
        <v>29</v>
      </c>
      <c r="E13" s="7">
        <f>ROUND((E12*1.25*9.5),2)</f>
        <v>2809.39</v>
      </c>
      <c r="F13" s="8">
        <v>2.9</v>
      </c>
      <c r="G13" s="8">
        <f t="shared" si="2"/>
        <v>3.6</v>
      </c>
      <c r="H13" s="8">
        <f t="shared" si="3"/>
        <v>10113.799999999999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f>E12</f>
        <v>236.58</v>
      </c>
      <c r="F14" s="8">
        <v>20.82</v>
      </c>
      <c r="G14" s="8">
        <f t="shared" si="2"/>
        <v>25.86</v>
      </c>
      <c r="H14" s="8">
        <f t="shared" si="3"/>
        <v>6117.95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18469.79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ROUND((2.2*1.5*E23),2)</f>
        <v>33</v>
      </c>
      <c r="F17" s="8">
        <v>6.19</v>
      </c>
      <c r="G17" s="8">
        <f>TRUNC((F17*1.2423),2)</f>
        <v>7.68</v>
      </c>
      <c r="H17" s="8">
        <f>TRUNC((E17*G17),2)</f>
        <v>253.44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f>ROUND((E17-(E23*1.13)),2)</f>
        <v>21.7</v>
      </c>
      <c r="F18" s="8">
        <v>23.89</v>
      </c>
      <c r="G18" s="8">
        <f t="shared" ref="G18:G27" si="4">TRUNC((F18*1.2423),2)</f>
        <v>29.67</v>
      </c>
      <c r="H18" s="8">
        <f t="shared" ref="H18:H27" si="5">TRUNC((E18*G18),2)</f>
        <v>643.83000000000004</v>
      </c>
    </row>
    <row r="19" spans="1:8" ht="25.5" x14ac:dyDescent="0.25">
      <c r="A19" s="6" t="s">
        <v>100</v>
      </c>
      <c r="B19" s="6" t="s">
        <v>159</v>
      </c>
      <c r="C19" s="10" t="s">
        <v>116</v>
      </c>
      <c r="D19" s="6" t="s">
        <v>31</v>
      </c>
      <c r="E19" s="7">
        <f>ROUND((10*1.5*0.8),2)</f>
        <v>12</v>
      </c>
      <c r="F19" s="8">
        <f>COMPOSIÇÕES!F73</f>
        <v>133.04</v>
      </c>
      <c r="G19" s="8">
        <f t="shared" si="4"/>
        <v>165.27</v>
      </c>
      <c r="H19" s="8">
        <f t="shared" ref="H19:H20" si="6">TRUNC((E19*G19),2)</f>
        <v>1983.24</v>
      </c>
    </row>
    <row r="20" spans="1:8" ht="25.5" x14ac:dyDescent="0.25">
      <c r="A20" s="6" t="s">
        <v>161</v>
      </c>
      <c r="B20" s="6">
        <v>93589</v>
      </c>
      <c r="C20" s="10" t="s">
        <v>66</v>
      </c>
      <c r="D20" s="6" t="s">
        <v>29</v>
      </c>
      <c r="E20" s="7">
        <f>ROUND((E19*1.25*9),2)</f>
        <v>135</v>
      </c>
      <c r="F20" s="8">
        <v>2.9</v>
      </c>
      <c r="G20" s="8">
        <f t="shared" si="4"/>
        <v>3.6</v>
      </c>
      <c r="H20" s="8">
        <f t="shared" si="6"/>
        <v>486</v>
      </c>
    </row>
    <row r="21" spans="1:8" ht="25.5" x14ac:dyDescent="0.25">
      <c r="A21" s="6" t="s">
        <v>162</v>
      </c>
      <c r="B21" s="6">
        <v>101623</v>
      </c>
      <c r="C21" s="10" t="s">
        <v>41</v>
      </c>
      <c r="D21" s="6" t="s">
        <v>31</v>
      </c>
      <c r="E21" s="7">
        <f>ROUND((E23*1*0.1),2)</f>
        <v>1</v>
      </c>
      <c r="F21" s="8">
        <v>253.05</v>
      </c>
      <c r="G21" s="8">
        <f t="shared" si="4"/>
        <v>314.36</v>
      </c>
      <c r="H21" s="8">
        <f t="shared" si="5"/>
        <v>314.36</v>
      </c>
    </row>
    <row r="22" spans="1:8" ht="25.5" x14ac:dyDescent="0.25">
      <c r="A22" s="6" t="s">
        <v>163</v>
      </c>
      <c r="B22" s="6">
        <v>93589</v>
      </c>
      <c r="C22" s="12" t="s">
        <v>67</v>
      </c>
      <c r="D22" s="6" t="s">
        <v>29</v>
      </c>
      <c r="E22" s="7">
        <f>ROUND((E21*24.5),2)</f>
        <v>24.5</v>
      </c>
      <c r="F22" s="8">
        <v>2.9</v>
      </c>
      <c r="G22" s="8">
        <f t="shared" si="4"/>
        <v>3.6</v>
      </c>
      <c r="H22" s="8">
        <f t="shared" si="5"/>
        <v>88.2</v>
      </c>
    </row>
    <row r="23" spans="1:8" ht="38.25" x14ac:dyDescent="0.25">
      <c r="A23" s="6" t="s">
        <v>164</v>
      </c>
      <c r="B23" s="6">
        <v>92815</v>
      </c>
      <c r="C23" s="10" t="s">
        <v>168</v>
      </c>
      <c r="D23" s="6" t="s">
        <v>44</v>
      </c>
      <c r="E23" s="7">
        <v>10</v>
      </c>
      <c r="F23" s="8">
        <v>107.01</v>
      </c>
      <c r="G23" s="8">
        <f t="shared" si="4"/>
        <v>132.93</v>
      </c>
      <c r="H23" s="8">
        <f t="shared" si="5"/>
        <v>1329.3</v>
      </c>
    </row>
    <row r="24" spans="1:8" ht="38.25" x14ac:dyDescent="0.25">
      <c r="A24" s="6" t="s">
        <v>165</v>
      </c>
      <c r="B24" s="6">
        <v>92216</v>
      </c>
      <c r="C24" s="10" t="s">
        <v>43</v>
      </c>
      <c r="D24" s="6" t="s">
        <v>44</v>
      </c>
      <c r="E24" s="7">
        <v>10</v>
      </c>
      <c r="F24" s="8">
        <v>620.05999999999995</v>
      </c>
      <c r="G24" s="8">
        <f t="shared" ref="G24:G25" si="7">TRUNC((F24*1.2423),2)</f>
        <v>770.3</v>
      </c>
      <c r="H24" s="8">
        <f t="shared" ref="H24:H25" si="8">TRUNC((E24*G24),2)</f>
        <v>7703</v>
      </c>
    </row>
    <row r="25" spans="1:8" ht="25.5" x14ac:dyDescent="0.25">
      <c r="A25" s="6" t="s">
        <v>160</v>
      </c>
      <c r="B25" s="6">
        <v>100946</v>
      </c>
      <c r="C25" s="12" t="s">
        <v>64</v>
      </c>
      <c r="D25" s="6" t="s">
        <v>23</v>
      </c>
      <c r="E25" s="7">
        <f>ROUND((E24*1.08*27.5),2)</f>
        <v>297</v>
      </c>
      <c r="F25" s="8">
        <v>2.6</v>
      </c>
      <c r="G25" s="8">
        <f t="shared" si="7"/>
        <v>3.22</v>
      </c>
      <c r="H25" s="8">
        <f t="shared" si="8"/>
        <v>956.34</v>
      </c>
    </row>
    <row r="26" spans="1:8" ht="25.5" x14ac:dyDescent="0.25">
      <c r="A26" s="6" t="s">
        <v>166</v>
      </c>
      <c r="B26" s="6">
        <v>100946</v>
      </c>
      <c r="C26" s="12" t="s">
        <v>227</v>
      </c>
      <c r="D26" s="6" t="s">
        <v>23</v>
      </c>
      <c r="E26" s="7">
        <f>ROUND((E23*1.08*2),2)</f>
        <v>21.6</v>
      </c>
      <c r="F26" s="8">
        <v>2.6</v>
      </c>
      <c r="G26" s="8">
        <f t="shared" si="4"/>
        <v>3.22</v>
      </c>
      <c r="H26" s="8">
        <f t="shared" si="5"/>
        <v>69.55</v>
      </c>
    </row>
    <row r="27" spans="1:8" ht="25.5" x14ac:dyDescent="0.25">
      <c r="A27" s="6" t="s">
        <v>167</v>
      </c>
      <c r="B27" s="6">
        <v>102744</v>
      </c>
      <c r="C27" s="10" t="s">
        <v>226</v>
      </c>
      <c r="D27" s="6" t="s">
        <v>25</v>
      </c>
      <c r="E27" s="7">
        <v>2</v>
      </c>
      <c r="F27" s="8">
        <v>7113.94</v>
      </c>
      <c r="G27" s="8">
        <f t="shared" si="4"/>
        <v>8837.64</v>
      </c>
      <c r="H27" s="8">
        <f t="shared" si="5"/>
        <v>17675.28</v>
      </c>
    </row>
    <row r="28" spans="1:8" x14ac:dyDescent="0.25">
      <c r="A28" s="45" t="s">
        <v>49</v>
      </c>
      <c r="B28" s="46"/>
      <c r="C28" s="46"/>
      <c r="D28" s="46"/>
      <c r="E28" s="46"/>
      <c r="F28" s="46"/>
      <c r="G28" s="47"/>
      <c r="H28" s="9">
        <f>SUM(H17:H27)</f>
        <v>31502.539999999997</v>
      </c>
    </row>
    <row r="29" spans="1:8" x14ac:dyDescent="0.25">
      <c r="A29" s="2">
        <v>4</v>
      </c>
      <c r="B29" s="54" t="s">
        <v>51</v>
      </c>
      <c r="C29" s="55"/>
      <c r="D29" s="55"/>
      <c r="E29" s="55"/>
      <c r="F29" s="55"/>
      <c r="G29" s="55"/>
      <c r="H29" s="56"/>
    </row>
    <row r="30" spans="1:8" x14ac:dyDescent="0.25">
      <c r="A30" s="6" t="s">
        <v>148</v>
      </c>
      <c r="B30" s="6" t="s">
        <v>21</v>
      </c>
      <c r="C30" s="10" t="s">
        <v>52</v>
      </c>
      <c r="D30" s="7" t="s">
        <v>23</v>
      </c>
      <c r="E30" s="7">
        <f>E8</f>
        <v>825</v>
      </c>
      <c r="F30" s="8">
        <f>COMPOSIÇÕES!F20</f>
        <v>1.8599999999999999</v>
      </c>
      <c r="G30" s="8">
        <f>TRUNC((F30*1.2423),2)</f>
        <v>2.31</v>
      </c>
      <c r="H30" s="8">
        <f>TRUNC((E30*G30),2)</f>
        <v>1905.75</v>
      </c>
    </row>
    <row r="31" spans="1:8" ht="25.5" x14ac:dyDescent="0.25">
      <c r="A31" s="6" t="s">
        <v>149</v>
      </c>
      <c r="B31" s="6">
        <v>88908</v>
      </c>
      <c r="C31" s="10" t="s">
        <v>155</v>
      </c>
      <c r="D31" s="7" t="s">
        <v>54</v>
      </c>
      <c r="E31" s="7">
        <v>0</v>
      </c>
      <c r="F31" s="8">
        <v>112.37</v>
      </c>
      <c r="G31" s="8">
        <f t="shared" ref="G31:G32" si="9">TRUNC((F31*1.2423),2)</f>
        <v>139.59</v>
      </c>
      <c r="H31" s="8">
        <f>TRUNC((E31*G31),2)</f>
        <v>0</v>
      </c>
    </row>
    <row r="32" spans="1:8" ht="25.5" x14ac:dyDescent="0.25">
      <c r="A32" s="6" t="s">
        <v>150</v>
      </c>
      <c r="B32" s="6">
        <v>88907</v>
      </c>
      <c r="C32" s="10" t="s">
        <v>156</v>
      </c>
      <c r="D32" s="7" t="s">
        <v>56</v>
      </c>
      <c r="E32" s="7">
        <v>0</v>
      </c>
      <c r="F32" s="8">
        <v>275.02999999999997</v>
      </c>
      <c r="G32" s="8">
        <f t="shared" si="9"/>
        <v>341.66</v>
      </c>
      <c r="H32" s="8">
        <f>TRUNC((E32*G32),2)</f>
        <v>0</v>
      </c>
    </row>
    <row r="33" spans="1:8" x14ac:dyDescent="0.25">
      <c r="A33" s="45" t="s">
        <v>50</v>
      </c>
      <c r="B33" s="46"/>
      <c r="C33" s="46"/>
      <c r="D33" s="46"/>
      <c r="E33" s="46"/>
      <c r="F33" s="46"/>
      <c r="G33" s="47"/>
      <c r="H33" s="9">
        <f>SUM(H30:H32)</f>
        <v>1905.75</v>
      </c>
    </row>
    <row r="34" spans="1:8" x14ac:dyDescent="0.25">
      <c r="A34" s="45" t="s">
        <v>57</v>
      </c>
      <c r="B34" s="46"/>
      <c r="C34" s="46"/>
      <c r="D34" s="46"/>
      <c r="E34" s="46"/>
      <c r="F34" s="46"/>
      <c r="G34" s="47"/>
      <c r="H34" s="13">
        <f>H10+H15+H28+H33</f>
        <v>73576.72</v>
      </c>
    </row>
    <row r="36" spans="1:8" x14ac:dyDescent="0.25">
      <c r="C36" s="1" t="s">
        <v>240</v>
      </c>
    </row>
    <row r="37" spans="1:8" x14ac:dyDescent="0.25">
      <c r="G37" s="23"/>
      <c r="H37" s="23"/>
    </row>
    <row r="38" spans="1:8" x14ac:dyDescent="0.25">
      <c r="E38" s="57"/>
      <c r="F38" s="57"/>
      <c r="G38" s="57"/>
      <c r="H38" s="57"/>
    </row>
    <row r="39" spans="1:8" x14ac:dyDescent="0.25">
      <c r="E39" s="58" t="s">
        <v>241</v>
      </c>
      <c r="F39" s="58"/>
      <c r="G39" s="58"/>
      <c r="H39" s="58"/>
    </row>
  </sheetData>
  <mergeCells count="17">
    <mergeCell ref="E38:H38"/>
    <mergeCell ref="E39:H39"/>
    <mergeCell ref="B29:H29"/>
    <mergeCell ref="A33:G33"/>
    <mergeCell ref="A34:G34"/>
    <mergeCell ref="A28:G28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FC27-C66A-464C-8B74-67DE9DC679A9}">
  <sheetPr>
    <pageSetUpPr fitToPage="1"/>
  </sheetPr>
  <dimension ref="A1:H36"/>
  <sheetViews>
    <sheetView zoomScaleNormal="100" workbookViewId="0">
      <selection activeCell="F9" sqref="F9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242</v>
      </c>
      <c r="D2" s="2" t="s">
        <v>3</v>
      </c>
      <c r="E2" s="50" t="s">
        <v>76</v>
      </c>
      <c r="F2" s="51"/>
      <c r="G2" s="51"/>
      <c r="H2" s="52"/>
    </row>
    <row r="3" spans="1:8" x14ac:dyDescent="0.25">
      <c r="A3" s="49" t="s">
        <v>4</v>
      </c>
      <c r="B3" s="49"/>
      <c r="C3" s="3" t="s">
        <v>239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ROUND((30*30),2)</f>
        <v>900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2079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21871.89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f>ROUND((81*6),2)</f>
        <v>486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4597.5600000000004</v>
      </c>
    </row>
    <row r="13" spans="1:8" ht="25.5" x14ac:dyDescent="0.25">
      <c r="A13" s="6" t="s">
        <v>152</v>
      </c>
      <c r="B13" s="6">
        <v>93589</v>
      </c>
      <c r="C13" s="10" t="s">
        <v>68</v>
      </c>
      <c r="D13" s="6" t="s">
        <v>29</v>
      </c>
      <c r="E13" s="7">
        <f>ROUND((E12*1.25*11.5),2)</f>
        <v>6986.25</v>
      </c>
      <c r="F13" s="8">
        <v>2.9</v>
      </c>
      <c r="G13" s="8">
        <f t="shared" si="2"/>
        <v>3.6</v>
      </c>
      <c r="H13" s="8">
        <f t="shared" si="3"/>
        <v>25150.5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f>E12</f>
        <v>486</v>
      </c>
      <c r="F14" s="8">
        <v>20.82</v>
      </c>
      <c r="G14" s="8">
        <f t="shared" si="2"/>
        <v>25.86</v>
      </c>
      <c r="H14" s="8">
        <f t="shared" si="3"/>
        <v>12567.96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42316.020000000004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ROUND((10*3*3),2)</f>
        <v>90</v>
      </c>
      <c r="F17" s="8">
        <v>6.19</v>
      </c>
      <c r="G17" s="8">
        <f>TRUNC((F17*1.2423),2)</f>
        <v>7.68</v>
      </c>
      <c r="H17" s="8">
        <f>TRUNC((E17*G17),2)</f>
        <v>691.2</v>
      </c>
    </row>
    <row r="18" spans="1:8" ht="25.5" x14ac:dyDescent="0.25">
      <c r="A18" s="6" t="s">
        <v>96</v>
      </c>
      <c r="B18" s="11" t="s">
        <v>169</v>
      </c>
      <c r="C18" s="10" t="s">
        <v>170</v>
      </c>
      <c r="D18" s="6" t="s">
        <v>44</v>
      </c>
      <c r="E18" s="7">
        <v>18</v>
      </c>
      <c r="F18" s="8">
        <v>11.5</v>
      </c>
      <c r="G18" s="8">
        <f>TRUNC((F18*1.2423),2)</f>
        <v>14.28</v>
      </c>
      <c r="H18" s="8">
        <f>TRUNC((E18*G18),2)</f>
        <v>257.04000000000002</v>
      </c>
    </row>
    <row r="19" spans="1:8" ht="51" x14ac:dyDescent="0.25">
      <c r="A19" s="6" t="s">
        <v>100</v>
      </c>
      <c r="B19" s="6">
        <v>93368</v>
      </c>
      <c r="C19" s="10" t="s">
        <v>171</v>
      </c>
      <c r="D19" s="6" t="s">
        <v>31</v>
      </c>
      <c r="E19" s="7">
        <f>ROUND((E17-(E21*9)),2)</f>
        <v>0</v>
      </c>
      <c r="F19" s="8">
        <v>23.89</v>
      </c>
      <c r="G19" s="8">
        <f t="shared" ref="G19:G24" si="4">TRUNC((F19*1.2423),2)</f>
        <v>29.67</v>
      </c>
      <c r="H19" s="8">
        <f t="shared" ref="H19:H24" si="5">TRUNC((E19*G19),2)</f>
        <v>0</v>
      </c>
    </row>
    <row r="20" spans="1:8" ht="25.5" x14ac:dyDescent="0.25">
      <c r="A20" s="6" t="s">
        <v>161</v>
      </c>
      <c r="B20" s="6">
        <v>97103</v>
      </c>
      <c r="C20" s="10" t="s">
        <v>69</v>
      </c>
      <c r="D20" s="6" t="s">
        <v>17</v>
      </c>
      <c r="E20" s="7">
        <f>ROUND((10*3.5),2)</f>
        <v>35</v>
      </c>
      <c r="F20" s="8">
        <v>274.74</v>
      </c>
      <c r="G20" s="8">
        <f t="shared" si="4"/>
        <v>341.3</v>
      </c>
      <c r="H20" s="8">
        <f t="shared" si="5"/>
        <v>11945.5</v>
      </c>
    </row>
    <row r="21" spans="1:8" ht="38.25" x14ac:dyDescent="0.25">
      <c r="A21" s="6" t="s">
        <v>162</v>
      </c>
      <c r="B21" s="6">
        <v>104497</v>
      </c>
      <c r="C21" s="10" t="s">
        <v>70</v>
      </c>
      <c r="D21" s="6" t="s">
        <v>44</v>
      </c>
      <c r="E21" s="7">
        <v>10</v>
      </c>
      <c r="F21" s="8">
        <v>8880.93</v>
      </c>
      <c r="G21" s="8">
        <f t="shared" si="4"/>
        <v>11032.77</v>
      </c>
      <c r="H21" s="8">
        <f t="shared" si="5"/>
        <v>110327.7</v>
      </c>
    </row>
    <row r="22" spans="1:8" ht="25.5" x14ac:dyDescent="0.25">
      <c r="A22" s="6" t="s">
        <v>163</v>
      </c>
      <c r="B22" s="6">
        <v>100947</v>
      </c>
      <c r="C22" s="12" t="s">
        <v>71</v>
      </c>
      <c r="D22" s="6" t="s">
        <v>23</v>
      </c>
      <c r="E22" s="7">
        <f>ROUND((E21*6.2*30),2)</f>
        <v>1860</v>
      </c>
      <c r="F22" s="8">
        <v>2.4</v>
      </c>
      <c r="G22" s="8">
        <f t="shared" si="4"/>
        <v>2.98</v>
      </c>
      <c r="H22" s="8">
        <f t="shared" si="5"/>
        <v>5542.8</v>
      </c>
    </row>
    <row r="23" spans="1:8" ht="25.5" x14ac:dyDescent="0.25">
      <c r="A23" s="6" t="s">
        <v>164</v>
      </c>
      <c r="B23" s="6">
        <v>100948</v>
      </c>
      <c r="C23" s="12" t="s">
        <v>72</v>
      </c>
      <c r="D23" s="6" t="s">
        <v>23</v>
      </c>
      <c r="E23" s="7">
        <f>ROUND((E21*6.2*75),2)</f>
        <v>4650</v>
      </c>
      <c r="F23" s="8">
        <v>0.95</v>
      </c>
      <c r="G23" s="8">
        <f t="shared" si="4"/>
        <v>1.18</v>
      </c>
      <c r="H23" s="8">
        <f t="shared" si="5"/>
        <v>5487</v>
      </c>
    </row>
    <row r="24" spans="1:8" ht="25.5" x14ac:dyDescent="0.25">
      <c r="A24" s="6" t="s">
        <v>165</v>
      </c>
      <c r="B24" s="6">
        <v>102764</v>
      </c>
      <c r="C24" s="10" t="s">
        <v>73</v>
      </c>
      <c r="D24" s="6" t="s">
        <v>25</v>
      </c>
      <c r="E24" s="7">
        <v>2</v>
      </c>
      <c r="F24" s="8">
        <v>41074.629999999997</v>
      </c>
      <c r="G24" s="8">
        <f t="shared" si="4"/>
        <v>51027.01</v>
      </c>
      <c r="H24" s="8">
        <f t="shared" si="5"/>
        <v>102054.02</v>
      </c>
    </row>
    <row r="25" spans="1:8" x14ac:dyDescent="0.25">
      <c r="A25" s="45" t="s">
        <v>49</v>
      </c>
      <c r="B25" s="46"/>
      <c r="C25" s="46"/>
      <c r="D25" s="46"/>
      <c r="E25" s="46"/>
      <c r="F25" s="46"/>
      <c r="G25" s="47"/>
      <c r="H25" s="9">
        <f>SUM(H17:H24)</f>
        <v>236305.26</v>
      </c>
    </row>
    <row r="26" spans="1:8" x14ac:dyDescent="0.25">
      <c r="A26" s="2">
        <v>4</v>
      </c>
      <c r="B26" s="54" t="s">
        <v>51</v>
      </c>
      <c r="C26" s="55"/>
      <c r="D26" s="55"/>
      <c r="E26" s="55"/>
      <c r="F26" s="55"/>
      <c r="G26" s="55"/>
      <c r="H26" s="56"/>
    </row>
    <row r="27" spans="1:8" x14ac:dyDescent="0.25">
      <c r="A27" s="6" t="s">
        <v>148</v>
      </c>
      <c r="B27" s="6" t="s">
        <v>21</v>
      </c>
      <c r="C27" s="10" t="s">
        <v>52</v>
      </c>
      <c r="D27" s="7" t="s">
        <v>23</v>
      </c>
      <c r="E27" s="7">
        <f>E8</f>
        <v>900</v>
      </c>
      <c r="F27" s="8">
        <f>COMPOSIÇÕES!F20</f>
        <v>1.8599999999999999</v>
      </c>
      <c r="G27" s="8">
        <f>TRUNC((F27*1.2423),2)</f>
        <v>2.31</v>
      </c>
      <c r="H27" s="8">
        <f>TRUNC((E27*G27),2)</f>
        <v>2079</v>
      </c>
    </row>
    <row r="28" spans="1:8" ht="25.5" x14ac:dyDescent="0.25">
      <c r="A28" s="6" t="s">
        <v>149</v>
      </c>
      <c r="B28" s="6">
        <v>88908</v>
      </c>
      <c r="C28" s="10" t="s">
        <v>155</v>
      </c>
      <c r="D28" s="7" t="s">
        <v>54</v>
      </c>
      <c r="E28" s="7">
        <v>0</v>
      </c>
      <c r="F28" s="8">
        <v>112.37</v>
      </c>
      <c r="G28" s="8">
        <f t="shared" ref="G28:G29" si="6">TRUNC((F28*1.2423),2)</f>
        <v>139.59</v>
      </c>
      <c r="H28" s="8">
        <f>TRUNC((E28*G28),2)</f>
        <v>0</v>
      </c>
    </row>
    <row r="29" spans="1:8" ht="25.5" x14ac:dyDescent="0.25">
      <c r="A29" s="6" t="s">
        <v>150</v>
      </c>
      <c r="B29" s="6">
        <v>88907</v>
      </c>
      <c r="C29" s="10" t="s">
        <v>156</v>
      </c>
      <c r="D29" s="7" t="s">
        <v>56</v>
      </c>
      <c r="E29" s="7">
        <v>0</v>
      </c>
      <c r="F29" s="8">
        <v>275.02999999999997</v>
      </c>
      <c r="G29" s="8">
        <f t="shared" si="6"/>
        <v>341.66</v>
      </c>
      <c r="H29" s="8">
        <f>TRUNC((E29*G29),2)</f>
        <v>0</v>
      </c>
    </row>
    <row r="30" spans="1:8" x14ac:dyDescent="0.25">
      <c r="A30" s="45" t="s">
        <v>50</v>
      </c>
      <c r="B30" s="46"/>
      <c r="C30" s="46"/>
      <c r="D30" s="46"/>
      <c r="E30" s="46"/>
      <c r="F30" s="46"/>
      <c r="G30" s="47"/>
      <c r="H30" s="9">
        <f>SUM(H27:H29)</f>
        <v>2079</v>
      </c>
    </row>
    <row r="31" spans="1:8" x14ac:dyDescent="0.25">
      <c r="A31" s="45" t="s">
        <v>57</v>
      </c>
      <c r="B31" s="46"/>
      <c r="C31" s="46"/>
      <c r="D31" s="46"/>
      <c r="E31" s="46"/>
      <c r="F31" s="46"/>
      <c r="G31" s="47"/>
      <c r="H31" s="13">
        <f>H10+H15+H25+H30</f>
        <v>302572.17000000004</v>
      </c>
    </row>
    <row r="33" spans="3:8" x14ac:dyDescent="0.25">
      <c r="C33" s="1" t="s">
        <v>240</v>
      </c>
    </row>
    <row r="34" spans="3:8" x14ac:dyDescent="0.25">
      <c r="G34" s="23"/>
      <c r="H34" s="23"/>
    </row>
    <row r="35" spans="3:8" x14ac:dyDescent="0.25">
      <c r="E35" s="57"/>
      <c r="F35" s="57"/>
      <c r="G35" s="57"/>
      <c r="H35" s="57"/>
    </row>
    <row r="36" spans="3:8" x14ac:dyDescent="0.25">
      <c r="E36" s="58" t="s">
        <v>241</v>
      </c>
      <c r="F36" s="58"/>
      <c r="G36" s="58"/>
      <c r="H36" s="58"/>
    </row>
  </sheetData>
  <mergeCells count="17">
    <mergeCell ref="A25:G25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  <mergeCell ref="E35:H35"/>
    <mergeCell ref="E36:H36"/>
    <mergeCell ref="B26:H26"/>
    <mergeCell ref="A30:G30"/>
    <mergeCell ref="A31:G31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5D45F-C079-4046-ACE0-7C35C129C483}">
  <sheetPr>
    <pageSetUpPr fitToPage="1"/>
  </sheetPr>
  <dimension ref="A1:H35"/>
  <sheetViews>
    <sheetView topLeftCell="A8" zoomScaleNormal="100" workbookViewId="0">
      <selection sqref="A1:H30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256</v>
      </c>
      <c r="F2" s="51"/>
      <c r="G2" s="51"/>
      <c r="H2" s="52"/>
    </row>
    <row r="3" spans="1:8" ht="15.75" x14ac:dyDescent="0.25">
      <c r="A3" s="49" t="s">
        <v>4</v>
      </c>
      <c r="B3" s="49"/>
      <c r="C3" s="32" t="s">
        <v>255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ROUND((30*30),2)</f>
        <v>900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2079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21871.89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f>ROUND((185.75*6),2)</f>
        <v>1114.5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10543.17</v>
      </c>
    </row>
    <row r="13" spans="1:8" ht="25.5" x14ac:dyDescent="0.25">
      <c r="A13" s="6" t="s">
        <v>152</v>
      </c>
      <c r="B13" s="6">
        <v>93589</v>
      </c>
      <c r="C13" s="10" t="s">
        <v>74</v>
      </c>
      <c r="D13" s="6" t="s">
        <v>29</v>
      </c>
      <c r="E13" s="7">
        <f>ROUND((E12*1.25*2),2)</f>
        <v>2786.25</v>
      </c>
      <c r="F13" s="8">
        <v>2.9</v>
      </c>
      <c r="G13" s="8">
        <f t="shared" si="2"/>
        <v>3.6</v>
      </c>
      <c r="H13" s="8">
        <f t="shared" si="3"/>
        <v>10030.5</v>
      </c>
    </row>
    <row r="14" spans="1:8" ht="25.5" x14ac:dyDescent="0.25">
      <c r="A14" s="6" t="s">
        <v>153</v>
      </c>
      <c r="B14" s="11" t="s">
        <v>35</v>
      </c>
      <c r="C14" s="10" t="s">
        <v>36</v>
      </c>
      <c r="D14" s="6" t="s">
        <v>31</v>
      </c>
      <c r="E14" s="7">
        <f>E12</f>
        <v>1114.5</v>
      </c>
      <c r="F14" s="8">
        <v>20.82</v>
      </c>
      <c r="G14" s="8">
        <f t="shared" si="2"/>
        <v>25.86</v>
      </c>
      <c r="H14" s="8">
        <f t="shared" si="3"/>
        <v>28820.97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49394.64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ROUND((20*3*3),2)</f>
        <v>180</v>
      </c>
      <c r="F17" s="8">
        <v>6.19</v>
      </c>
      <c r="G17" s="8">
        <f>TRUNC((F17*1.2423),2)</f>
        <v>7.68</v>
      </c>
      <c r="H17" s="8">
        <f>TRUNC((E17*G17),2)</f>
        <v>1382.4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v>0</v>
      </c>
      <c r="F18" s="8">
        <v>23.89</v>
      </c>
      <c r="G18" s="8">
        <f t="shared" ref="G18:G23" si="4">TRUNC((F18*1.2423),2)</f>
        <v>29.67</v>
      </c>
      <c r="H18" s="8">
        <f t="shared" ref="H18:H23" si="5">TRUNC((E18*G18),2)</f>
        <v>0</v>
      </c>
    </row>
    <row r="19" spans="1:8" ht="25.5" x14ac:dyDescent="0.25">
      <c r="A19" s="6" t="s">
        <v>100</v>
      </c>
      <c r="B19" s="6">
        <v>97103</v>
      </c>
      <c r="C19" s="10" t="s">
        <v>69</v>
      </c>
      <c r="D19" s="6" t="s">
        <v>17</v>
      </c>
      <c r="E19" s="7">
        <f>ROUND((10*7),2)</f>
        <v>70</v>
      </c>
      <c r="F19" s="8">
        <v>274.74</v>
      </c>
      <c r="G19" s="8">
        <f t="shared" si="4"/>
        <v>341.3</v>
      </c>
      <c r="H19" s="8">
        <f t="shared" si="5"/>
        <v>23891</v>
      </c>
    </row>
    <row r="20" spans="1:8" ht="38.25" x14ac:dyDescent="0.25">
      <c r="A20" s="6" t="s">
        <v>161</v>
      </c>
      <c r="B20" s="6">
        <v>104497</v>
      </c>
      <c r="C20" s="10" t="s">
        <v>70</v>
      </c>
      <c r="D20" s="6" t="s">
        <v>44</v>
      </c>
      <c r="E20" s="7">
        <v>20</v>
      </c>
      <c r="F20" s="8">
        <v>8880.93</v>
      </c>
      <c r="G20" s="8">
        <f t="shared" si="4"/>
        <v>11032.77</v>
      </c>
      <c r="H20" s="8">
        <f t="shared" si="5"/>
        <v>220655.4</v>
      </c>
    </row>
    <row r="21" spans="1:8" ht="25.5" x14ac:dyDescent="0.25">
      <c r="A21" s="6" t="s">
        <v>162</v>
      </c>
      <c r="B21" s="6">
        <v>100947</v>
      </c>
      <c r="C21" s="12" t="s">
        <v>71</v>
      </c>
      <c r="D21" s="6" t="s">
        <v>23</v>
      </c>
      <c r="E21" s="7">
        <f>ROUND((E20*6.2*30),2)</f>
        <v>3720</v>
      </c>
      <c r="F21" s="8">
        <v>2.4</v>
      </c>
      <c r="G21" s="8">
        <f t="shared" si="4"/>
        <v>2.98</v>
      </c>
      <c r="H21" s="8">
        <f t="shared" si="5"/>
        <v>11085.6</v>
      </c>
    </row>
    <row r="22" spans="1:8" ht="25.5" x14ac:dyDescent="0.25">
      <c r="A22" s="6" t="s">
        <v>163</v>
      </c>
      <c r="B22" s="6">
        <v>100948</v>
      </c>
      <c r="C22" s="12" t="s">
        <v>75</v>
      </c>
      <c r="D22" s="6" t="s">
        <v>23</v>
      </c>
      <c r="E22" s="7">
        <f>ROUND((E20*6.2*85),2)</f>
        <v>10540</v>
      </c>
      <c r="F22" s="8">
        <v>0.95</v>
      </c>
      <c r="G22" s="8">
        <f t="shared" si="4"/>
        <v>1.18</v>
      </c>
      <c r="H22" s="8">
        <f t="shared" si="5"/>
        <v>12437.2</v>
      </c>
    </row>
    <row r="23" spans="1:8" ht="25.5" x14ac:dyDescent="0.25">
      <c r="A23" s="6" t="s">
        <v>164</v>
      </c>
      <c r="B23" s="6">
        <v>102768</v>
      </c>
      <c r="C23" s="10" t="s">
        <v>228</v>
      </c>
      <c r="D23" s="6" t="s">
        <v>25</v>
      </c>
      <c r="E23" s="7">
        <v>2</v>
      </c>
      <c r="F23" s="8">
        <v>49846.879999999997</v>
      </c>
      <c r="G23" s="8">
        <f t="shared" si="4"/>
        <v>61924.77</v>
      </c>
      <c r="H23" s="8">
        <f t="shared" si="5"/>
        <v>123849.54</v>
      </c>
    </row>
    <row r="24" spans="1:8" x14ac:dyDescent="0.25">
      <c r="A24" s="45" t="s">
        <v>49</v>
      </c>
      <c r="B24" s="46"/>
      <c r="C24" s="46"/>
      <c r="D24" s="46"/>
      <c r="E24" s="46"/>
      <c r="F24" s="46"/>
      <c r="G24" s="47"/>
      <c r="H24" s="9">
        <f>SUM(H17:H23)</f>
        <v>393301.13999999996</v>
      </c>
    </row>
    <row r="25" spans="1:8" x14ac:dyDescent="0.25">
      <c r="A25" s="2">
        <v>4</v>
      </c>
      <c r="B25" s="54" t="s">
        <v>51</v>
      </c>
      <c r="C25" s="55"/>
      <c r="D25" s="55"/>
      <c r="E25" s="55"/>
      <c r="F25" s="55"/>
      <c r="G25" s="55"/>
      <c r="H25" s="56"/>
    </row>
    <row r="26" spans="1:8" x14ac:dyDescent="0.25">
      <c r="A26" s="6" t="s">
        <v>148</v>
      </c>
      <c r="B26" s="6" t="s">
        <v>21</v>
      </c>
      <c r="C26" s="10" t="s">
        <v>52</v>
      </c>
      <c r="D26" s="7" t="s">
        <v>23</v>
      </c>
      <c r="E26" s="7">
        <f>E8</f>
        <v>900</v>
      </c>
      <c r="F26" s="8">
        <f>COMPOSIÇÕES!F20</f>
        <v>1.8599999999999999</v>
      </c>
      <c r="G26" s="8">
        <f t="shared" ref="G26:G28" si="6">TRUNC((F26*1.2423),2)</f>
        <v>2.31</v>
      </c>
      <c r="H26" s="8">
        <f>TRUNC((E26*G26),2)</f>
        <v>2079</v>
      </c>
    </row>
    <row r="27" spans="1:8" ht="25.5" x14ac:dyDescent="0.25">
      <c r="A27" s="6" t="s">
        <v>149</v>
      </c>
      <c r="B27" s="6">
        <v>88908</v>
      </c>
      <c r="C27" s="10" t="s">
        <v>155</v>
      </c>
      <c r="D27" s="7" t="s">
        <v>54</v>
      </c>
      <c r="E27" s="7">
        <v>30</v>
      </c>
      <c r="F27" s="8">
        <v>112.37</v>
      </c>
      <c r="G27" s="8">
        <f t="shared" si="6"/>
        <v>139.59</v>
      </c>
      <c r="H27" s="8">
        <f>TRUNC((E27*G27),2)</f>
        <v>4187.7</v>
      </c>
    </row>
    <row r="28" spans="1:8" ht="25.5" x14ac:dyDescent="0.25">
      <c r="A28" s="6" t="s">
        <v>150</v>
      </c>
      <c r="B28" s="6">
        <v>88907</v>
      </c>
      <c r="C28" s="10" t="s">
        <v>156</v>
      </c>
      <c r="D28" s="7" t="s">
        <v>56</v>
      </c>
      <c r="E28" s="7">
        <v>60</v>
      </c>
      <c r="F28" s="8">
        <v>275.02999999999997</v>
      </c>
      <c r="G28" s="8">
        <f t="shared" si="6"/>
        <v>341.66</v>
      </c>
      <c r="H28" s="8">
        <f>TRUNC((E28*G28),2)</f>
        <v>20499.599999999999</v>
      </c>
    </row>
    <row r="29" spans="1:8" x14ac:dyDescent="0.25">
      <c r="A29" s="45" t="s">
        <v>50</v>
      </c>
      <c r="B29" s="46"/>
      <c r="C29" s="46"/>
      <c r="D29" s="46"/>
      <c r="E29" s="46"/>
      <c r="F29" s="46"/>
      <c r="G29" s="47"/>
      <c r="H29" s="9">
        <f>SUM(H26:H28)</f>
        <v>26766.3</v>
      </c>
    </row>
    <row r="30" spans="1:8" x14ac:dyDescent="0.25">
      <c r="A30" s="45" t="s">
        <v>57</v>
      </c>
      <c r="B30" s="46"/>
      <c r="C30" s="46"/>
      <c r="D30" s="46"/>
      <c r="E30" s="46"/>
      <c r="F30" s="46"/>
      <c r="G30" s="47"/>
      <c r="H30" s="13">
        <f>H10+H15+H24+H29</f>
        <v>491333.96999999991</v>
      </c>
    </row>
    <row r="32" spans="1:8" x14ac:dyDescent="0.25">
      <c r="C32" s="1" t="s">
        <v>240</v>
      </c>
    </row>
    <row r="33" spans="5:8" x14ac:dyDescent="0.25">
      <c r="G33" s="23"/>
      <c r="H33" s="23"/>
    </row>
    <row r="34" spans="5:8" x14ac:dyDescent="0.25">
      <c r="E34" s="57"/>
      <c r="F34" s="57"/>
      <c r="G34" s="57"/>
      <c r="H34" s="57"/>
    </row>
    <row r="35" spans="5:8" x14ac:dyDescent="0.25">
      <c r="E35" s="58" t="s">
        <v>241</v>
      </c>
      <c r="F35" s="58"/>
      <c r="G35" s="58"/>
      <c r="H35" s="58"/>
    </row>
  </sheetData>
  <mergeCells count="17">
    <mergeCell ref="E34:H34"/>
    <mergeCell ref="E35:H35"/>
    <mergeCell ref="B25:H25"/>
    <mergeCell ref="A29:G29"/>
    <mergeCell ref="A30:G30"/>
    <mergeCell ref="A24:G24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44359-6C8A-471C-8F8C-CC0D745612C3}">
  <sheetPr>
    <pageSetUpPr fitToPage="1"/>
  </sheetPr>
  <dimension ref="A1:H36"/>
  <sheetViews>
    <sheetView topLeftCell="A11" zoomScaleNormal="100" workbookViewId="0">
      <selection sqref="A1:H31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76</v>
      </c>
      <c r="F2" s="51"/>
      <c r="G2" s="51"/>
      <c r="H2" s="52"/>
    </row>
    <row r="3" spans="1:8" x14ac:dyDescent="0.25">
      <c r="A3" s="49" t="s">
        <v>4</v>
      </c>
      <c r="B3" s="49"/>
      <c r="C3" s="3" t="s">
        <v>243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ROUND((30*30),2)</f>
        <v>900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2079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21871.89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v>0</v>
      </c>
      <c r="F12" s="8">
        <v>7.62</v>
      </c>
      <c r="G12" s="8">
        <f>TRUNC((F12*1.2423),2)</f>
        <v>9.4600000000000009</v>
      </c>
      <c r="H12" s="8">
        <f t="shared" ref="H12:H14" si="2">TRUNC((E12*G12),2)</f>
        <v>0</v>
      </c>
    </row>
    <row r="13" spans="1:8" ht="25.5" x14ac:dyDescent="0.25">
      <c r="A13" s="6" t="s">
        <v>152</v>
      </c>
      <c r="B13" s="6">
        <v>93589</v>
      </c>
      <c r="C13" s="10" t="s">
        <v>77</v>
      </c>
      <c r="D13" s="6" t="s">
        <v>29</v>
      </c>
      <c r="E13" s="7">
        <v>0</v>
      </c>
      <c r="F13" s="8">
        <v>2.9</v>
      </c>
      <c r="G13" s="8">
        <f t="shared" ref="G13:G14" si="3">TRUNC((F13*1.2423),2)</f>
        <v>3.6</v>
      </c>
      <c r="H13" s="8">
        <f t="shared" si="2"/>
        <v>0</v>
      </c>
    </row>
    <row r="14" spans="1:8" ht="25.5" x14ac:dyDescent="0.25">
      <c r="A14" s="6" t="s">
        <v>153</v>
      </c>
      <c r="B14" s="11" t="s">
        <v>35</v>
      </c>
      <c r="C14" s="10" t="s">
        <v>36</v>
      </c>
      <c r="D14" s="6" t="s">
        <v>31</v>
      </c>
      <c r="E14" s="7">
        <v>0</v>
      </c>
      <c r="F14" s="8">
        <v>20.82</v>
      </c>
      <c r="G14" s="8">
        <f t="shared" si="3"/>
        <v>25.86</v>
      </c>
      <c r="H14" s="8">
        <f t="shared" si="2"/>
        <v>0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0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ROUND((E21*3*3),2)</f>
        <v>45</v>
      </c>
      <c r="F17" s="8">
        <v>6.19</v>
      </c>
      <c r="G17" s="8">
        <f>TRUNC((F17*1.2423),2)</f>
        <v>7.68</v>
      </c>
      <c r="H17" s="8">
        <f>TRUNC((E17*G17),2)</f>
        <v>345.6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v>0</v>
      </c>
      <c r="F18" s="8">
        <v>23.89</v>
      </c>
      <c r="G18" s="8">
        <f t="shared" ref="G18:G24" si="4">TRUNC((F18*1.2423),2)</f>
        <v>29.67</v>
      </c>
      <c r="H18" s="8">
        <f t="shared" ref="H18:H24" si="5">TRUNC((E18*G18),2)</f>
        <v>0</v>
      </c>
    </row>
    <row r="19" spans="1:8" ht="25.5" x14ac:dyDescent="0.25">
      <c r="A19" s="6" t="s">
        <v>100</v>
      </c>
      <c r="B19" s="6">
        <v>97625</v>
      </c>
      <c r="C19" s="10" t="s">
        <v>172</v>
      </c>
      <c r="D19" s="6" t="s">
        <v>31</v>
      </c>
      <c r="E19" s="7">
        <f>ROUND((2.6*1.6*5),2)</f>
        <v>20.8</v>
      </c>
      <c r="F19" s="8">
        <v>58.37</v>
      </c>
      <c r="G19" s="8">
        <f t="shared" si="4"/>
        <v>72.510000000000005</v>
      </c>
      <c r="H19" s="8">
        <f t="shared" ref="H19" si="6">TRUNC((E19*G19),2)</f>
        <v>1508.2</v>
      </c>
    </row>
    <row r="20" spans="1:8" ht="25.5" x14ac:dyDescent="0.25">
      <c r="A20" s="6" t="s">
        <v>161</v>
      </c>
      <c r="B20" s="6">
        <v>97103</v>
      </c>
      <c r="C20" s="10" t="s">
        <v>69</v>
      </c>
      <c r="D20" s="6" t="s">
        <v>17</v>
      </c>
      <c r="E20" s="7">
        <f>ROUND((5*3.5),2)</f>
        <v>17.5</v>
      </c>
      <c r="F20" s="8">
        <v>274.74</v>
      </c>
      <c r="G20" s="8">
        <f t="shared" si="4"/>
        <v>341.3</v>
      </c>
      <c r="H20" s="8">
        <f t="shared" si="5"/>
        <v>5972.75</v>
      </c>
    </row>
    <row r="21" spans="1:8" ht="38.25" x14ac:dyDescent="0.25">
      <c r="A21" s="6" t="s">
        <v>162</v>
      </c>
      <c r="B21" s="6">
        <v>104494</v>
      </c>
      <c r="C21" s="10" t="s">
        <v>173</v>
      </c>
      <c r="D21" s="6" t="s">
        <v>44</v>
      </c>
      <c r="E21" s="7">
        <v>5</v>
      </c>
      <c r="F21" s="8">
        <v>7406.74</v>
      </c>
      <c r="G21" s="8">
        <f t="shared" si="4"/>
        <v>9201.39</v>
      </c>
      <c r="H21" s="8">
        <f t="shared" si="5"/>
        <v>46006.95</v>
      </c>
    </row>
    <row r="22" spans="1:8" ht="25.5" x14ac:dyDescent="0.25">
      <c r="A22" s="6" t="s">
        <v>163</v>
      </c>
      <c r="B22" s="6">
        <v>100947</v>
      </c>
      <c r="C22" s="12" t="s">
        <v>71</v>
      </c>
      <c r="D22" s="6" t="s">
        <v>23</v>
      </c>
      <c r="E22" s="7">
        <f>ROUND((E21*6.2*30),2)</f>
        <v>930</v>
      </c>
      <c r="F22" s="8">
        <v>2.4</v>
      </c>
      <c r="G22" s="8">
        <f t="shared" si="4"/>
        <v>2.98</v>
      </c>
      <c r="H22" s="8">
        <f t="shared" si="5"/>
        <v>2771.4</v>
      </c>
    </row>
    <row r="23" spans="1:8" ht="25.5" x14ac:dyDescent="0.25">
      <c r="A23" s="6" t="s">
        <v>164</v>
      </c>
      <c r="B23" s="6">
        <v>100948</v>
      </c>
      <c r="C23" s="12" t="s">
        <v>75</v>
      </c>
      <c r="D23" s="6" t="s">
        <v>23</v>
      </c>
      <c r="E23" s="7">
        <f>ROUND((E21*6.2*85),2)</f>
        <v>2635</v>
      </c>
      <c r="F23" s="8">
        <v>0.95</v>
      </c>
      <c r="G23" s="8">
        <f t="shared" si="4"/>
        <v>1.18</v>
      </c>
      <c r="H23" s="8">
        <f t="shared" si="5"/>
        <v>3109.3</v>
      </c>
    </row>
    <row r="24" spans="1:8" ht="25.5" x14ac:dyDescent="0.25">
      <c r="A24" s="6" t="s">
        <v>165</v>
      </c>
      <c r="B24" s="6">
        <v>102763</v>
      </c>
      <c r="C24" s="10" t="s">
        <v>174</v>
      </c>
      <c r="D24" s="6" t="s">
        <v>25</v>
      </c>
      <c r="E24" s="7">
        <v>2</v>
      </c>
      <c r="F24" s="8">
        <v>29141.200000000001</v>
      </c>
      <c r="G24" s="8">
        <f t="shared" si="4"/>
        <v>36202.11</v>
      </c>
      <c r="H24" s="8">
        <f t="shared" si="5"/>
        <v>72404.22</v>
      </c>
    </row>
    <row r="25" spans="1:8" x14ac:dyDescent="0.25">
      <c r="A25" s="45" t="s">
        <v>49</v>
      </c>
      <c r="B25" s="46"/>
      <c r="C25" s="46"/>
      <c r="D25" s="46"/>
      <c r="E25" s="46"/>
      <c r="F25" s="46"/>
      <c r="G25" s="47"/>
      <c r="H25" s="9">
        <f>SUM(H17:H24)</f>
        <v>132118.42000000001</v>
      </c>
    </row>
    <row r="26" spans="1:8" x14ac:dyDescent="0.25">
      <c r="A26" s="2">
        <v>4</v>
      </c>
      <c r="B26" s="54" t="s">
        <v>51</v>
      </c>
      <c r="C26" s="55"/>
      <c r="D26" s="55"/>
      <c r="E26" s="55"/>
      <c r="F26" s="55"/>
      <c r="G26" s="55"/>
      <c r="H26" s="56"/>
    </row>
    <row r="27" spans="1:8" x14ac:dyDescent="0.25">
      <c r="A27" s="6" t="s">
        <v>148</v>
      </c>
      <c r="B27" s="6" t="s">
        <v>21</v>
      </c>
      <c r="C27" s="10" t="s">
        <v>52</v>
      </c>
      <c r="D27" s="7" t="s">
        <v>23</v>
      </c>
      <c r="E27" s="7">
        <f>E8</f>
        <v>900</v>
      </c>
      <c r="F27" s="8">
        <f>COMPOSIÇÕES!F20</f>
        <v>1.8599999999999999</v>
      </c>
      <c r="G27" s="8">
        <f>TRUNC((F27*1.2423),2)</f>
        <v>2.31</v>
      </c>
      <c r="H27" s="8">
        <f>TRUNC((E27*G27),2)</f>
        <v>2079</v>
      </c>
    </row>
    <row r="28" spans="1:8" ht="25.5" x14ac:dyDescent="0.25">
      <c r="A28" s="6" t="s">
        <v>149</v>
      </c>
      <c r="B28" s="6">
        <v>88908</v>
      </c>
      <c r="C28" s="10" t="s">
        <v>155</v>
      </c>
      <c r="D28" s="7" t="s">
        <v>54</v>
      </c>
      <c r="E28" s="7">
        <v>30</v>
      </c>
      <c r="F28" s="8">
        <v>112.37</v>
      </c>
      <c r="G28" s="8">
        <f t="shared" ref="G28:G29" si="7">TRUNC((F28*1.2423),2)</f>
        <v>139.59</v>
      </c>
      <c r="H28" s="8">
        <f>TRUNC((E28*G28),2)</f>
        <v>4187.7</v>
      </c>
    </row>
    <row r="29" spans="1:8" ht="25.5" x14ac:dyDescent="0.25">
      <c r="A29" s="6" t="s">
        <v>150</v>
      </c>
      <c r="B29" s="6">
        <v>88907</v>
      </c>
      <c r="C29" s="10" t="s">
        <v>156</v>
      </c>
      <c r="D29" s="7" t="s">
        <v>56</v>
      </c>
      <c r="E29" s="7">
        <v>60</v>
      </c>
      <c r="F29" s="8">
        <v>275.02999999999997</v>
      </c>
      <c r="G29" s="8">
        <f t="shared" si="7"/>
        <v>341.66</v>
      </c>
      <c r="H29" s="8">
        <f>TRUNC((E29*G29),2)</f>
        <v>20499.599999999999</v>
      </c>
    </row>
    <row r="30" spans="1:8" x14ac:dyDescent="0.25">
      <c r="A30" s="45" t="s">
        <v>50</v>
      </c>
      <c r="B30" s="46"/>
      <c r="C30" s="46"/>
      <c r="D30" s="46"/>
      <c r="E30" s="46"/>
      <c r="F30" s="46"/>
      <c r="G30" s="47"/>
      <c r="H30" s="9">
        <f>SUM(H27:H29)</f>
        <v>26766.3</v>
      </c>
    </row>
    <row r="31" spans="1:8" x14ac:dyDescent="0.25">
      <c r="A31" s="45" t="s">
        <v>57</v>
      </c>
      <c r="B31" s="46"/>
      <c r="C31" s="46"/>
      <c r="D31" s="46"/>
      <c r="E31" s="46"/>
      <c r="F31" s="46"/>
      <c r="G31" s="47"/>
      <c r="H31" s="13">
        <f>H10+H15+H25+H30</f>
        <v>180756.61</v>
      </c>
    </row>
    <row r="33" spans="3:8" x14ac:dyDescent="0.25">
      <c r="C33" s="1" t="s">
        <v>240</v>
      </c>
    </row>
    <row r="34" spans="3:8" x14ac:dyDescent="0.25">
      <c r="G34" s="23"/>
      <c r="H34" s="23"/>
    </row>
    <row r="35" spans="3:8" x14ac:dyDescent="0.25">
      <c r="E35" s="57"/>
      <c r="F35" s="57"/>
      <c r="G35" s="57"/>
      <c r="H35" s="57"/>
    </row>
    <row r="36" spans="3:8" x14ac:dyDescent="0.25">
      <c r="E36" s="58" t="s">
        <v>241</v>
      </c>
      <c r="F36" s="58"/>
      <c r="G36" s="58"/>
      <c r="H36" s="58"/>
    </row>
  </sheetData>
  <mergeCells count="17">
    <mergeCell ref="A25:G25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  <mergeCell ref="E35:H35"/>
    <mergeCell ref="E36:H36"/>
    <mergeCell ref="B26:H26"/>
    <mergeCell ref="A30:G30"/>
    <mergeCell ref="A31:G31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EAC56-6583-4F1E-A14B-B3BB58F7AA62}">
  <sheetPr>
    <pageSetUpPr fitToPage="1"/>
  </sheetPr>
  <dimension ref="A1:H38"/>
  <sheetViews>
    <sheetView topLeftCell="A16" zoomScaleNormal="100" workbookViewId="0">
      <selection activeCell="O14" sqref="O14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256</v>
      </c>
      <c r="F2" s="51"/>
      <c r="G2" s="51"/>
      <c r="H2" s="52"/>
    </row>
    <row r="3" spans="1:8" ht="15.75" x14ac:dyDescent="0.25">
      <c r="A3" s="49" t="s">
        <v>4</v>
      </c>
      <c r="B3" s="49"/>
      <c r="C3" s="32" t="s">
        <v>257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ROUND((30*35),2)</f>
        <v>1050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2425.5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22218.39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v>0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0</v>
      </c>
    </row>
    <row r="13" spans="1:8" ht="25.5" x14ac:dyDescent="0.25">
      <c r="A13" s="6" t="s">
        <v>152</v>
      </c>
      <c r="B13" s="6">
        <v>93589</v>
      </c>
      <c r="C13" s="10" t="s">
        <v>66</v>
      </c>
      <c r="D13" s="6" t="s">
        <v>29</v>
      </c>
      <c r="E13" s="7">
        <v>0</v>
      </c>
      <c r="F13" s="8">
        <v>2.9</v>
      </c>
      <c r="G13" s="8">
        <f t="shared" si="2"/>
        <v>3.6</v>
      </c>
      <c r="H13" s="8">
        <f t="shared" si="3"/>
        <v>0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v>0</v>
      </c>
      <c r="F14" s="8">
        <v>20.82</v>
      </c>
      <c r="G14" s="8">
        <f t="shared" si="2"/>
        <v>25.86</v>
      </c>
      <c r="H14" s="8">
        <f t="shared" si="3"/>
        <v>0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0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ROUND((2.2*1.5*(E21+E22)),2)</f>
        <v>85.8</v>
      </c>
      <c r="F17" s="8">
        <v>6.19</v>
      </c>
      <c r="G17" s="8">
        <f>TRUNC((F17*1.2423),2)</f>
        <v>7.68</v>
      </c>
      <c r="H17" s="8">
        <f>TRUNC((E17*G17),2)</f>
        <v>658.94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f>ROUND((E17-((E21+E22)*1.13)),2)</f>
        <v>56.42</v>
      </c>
      <c r="F18" s="8">
        <v>23.89</v>
      </c>
      <c r="G18" s="8">
        <f t="shared" ref="G18:G26" si="4">TRUNC((F18*1.2423),2)</f>
        <v>29.67</v>
      </c>
      <c r="H18" s="8">
        <f t="shared" ref="H18:H26" si="5">TRUNC((E18*G18),2)</f>
        <v>1673.98</v>
      </c>
    </row>
    <row r="19" spans="1:8" ht="25.5" x14ac:dyDescent="0.25">
      <c r="A19" s="6" t="s">
        <v>100</v>
      </c>
      <c r="B19" s="6">
        <v>101623</v>
      </c>
      <c r="C19" s="10" t="s">
        <v>41</v>
      </c>
      <c r="D19" s="6" t="s">
        <v>31</v>
      </c>
      <c r="E19" s="7">
        <f>ROUND(((E21+E22)*1*0.1),2)</f>
        <v>2.6</v>
      </c>
      <c r="F19" s="8">
        <v>253.05</v>
      </c>
      <c r="G19" s="8">
        <f t="shared" si="4"/>
        <v>314.36</v>
      </c>
      <c r="H19" s="8">
        <f t="shared" si="5"/>
        <v>817.33</v>
      </c>
    </row>
    <row r="20" spans="1:8" ht="25.5" x14ac:dyDescent="0.25">
      <c r="A20" s="6" t="s">
        <v>161</v>
      </c>
      <c r="B20" s="6">
        <v>93589</v>
      </c>
      <c r="C20" s="12" t="s">
        <v>78</v>
      </c>
      <c r="D20" s="6" t="s">
        <v>29</v>
      </c>
      <c r="E20" s="7">
        <f>ROUND((E19*25),2)</f>
        <v>65</v>
      </c>
      <c r="F20" s="8">
        <v>2.9</v>
      </c>
      <c r="G20" s="8">
        <f t="shared" si="4"/>
        <v>3.6</v>
      </c>
      <c r="H20" s="8">
        <f t="shared" si="5"/>
        <v>234</v>
      </c>
    </row>
    <row r="21" spans="1:8" ht="38.25" x14ac:dyDescent="0.25">
      <c r="A21" s="6" t="s">
        <v>162</v>
      </c>
      <c r="B21" s="6">
        <v>92216</v>
      </c>
      <c r="C21" s="10" t="s">
        <v>43</v>
      </c>
      <c r="D21" s="6" t="s">
        <v>44</v>
      </c>
      <c r="E21" s="7">
        <f>5+13</f>
        <v>18</v>
      </c>
      <c r="F21" s="8">
        <v>620.05999999999995</v>
      </c>
      <c r="G21" s="8">
        <f t="shared" si="4"/>
        <v>770.3</v>
      </c>
      <c r="H21" s="8">
        <f t="shared" si="5"/>
        <v>13865.4</v>
      </c>
    </row>
    <row r="22" spans="1:8" ht="38.25" x14ac:dyDescent="0.25">
      <c r="A22" s="6" t="s">
        <v>163</v>
      </c>
      <c r="B22" s="6">
        <v>92815</v>
      </c>
      <c r="C22" s="10" t="s">
        <v>175</v>
      </c>
      <c r="D22" s="6" t="s">
        <v>44</v>
      </c>
      <c r="E22" s="7">
        <v>8</v>
      </c>
      <c r="F22" s="8">
        <v>107.01</v>
      </c>
      <c r="G22" s="8">
        <f t="shared" si="4"/>
        <v>132.93</v>
      </c>
      <c r="H22" s="8">
        <f t="shared" si="5"/>
        <v>1063.44</v>
      </c>
    </row>
    <row r="23" spans="1:8" ht="25.5" x14ac:dyDescent="0.25">
      <c r="A23" s="6" t="s">
        <v>164</v>
      </c>
      <c r="B23" s="6">
        <v>100947</v>
      </c>
      <c r="C23" s="10" t="s">
        <v>71</v>
      </c>
      <c r="D23" s="6" t="s">
        <v>23</v>
      </c>
      <c r="E23" s="7">
        <f>ROUND((E21*1.08*30),2)</f>
        <v>583.20000000000005</v>
      </c>
      <c r="F23" s="8">
        <v>2.4</v>
      </c>
      <c r="G23" s="8">
        <f t="shared" si="4"/>
        <v>2.98</v>
      </c>
      <c r="H23" s="8">
        <f t="shared" ref="H23:H24" si="6">TRUNC((E23*G23),2)</f>
        <v>1737.93</v>
      </c>
    </row>
    <row r="24" spans="1:8" ht="25.5" x14ac:dyDescent="0.25">
      <c r="A24" s="6" t="s">
        <v>165</v>
      </c>
      <c r="B24" s="6">
        <v>100948</v>
      </c>
      <c r="C24" s="10" t="s">
        <v>79</v>
      </c>
      <c r="D24" s="6" t="s">
        <v>23</v>
      </c>
      <c r="E24" s="7">
        <f>ROUND((E21*1.08*5),2)</f>
        <v>97.2</v>
      </c>
      <c r="F24" s="8">
        <v>0.95</v>
      </c>
      <c r="G24" s="8">
        <f t="shared" si="4"/>
        <v>1.18</v>
      </c>
      <c r="H24" s="8">
        <f t="shared" si="6"/>
        <v>114.69</v>
      </c>
    </row>
    <row r="25" spans="1:8" ht="25.5" x14ac:dyDescent="0.25">
      <c r="A25" s="6" t="s">
        <v>160</v>
      </c>
      <c r="B25" s="6">
        <v>100946</v>
      </c>
      <c r="C25" s="12" t="s">
        <v>176</v>
      </c>
      <c r="D25" s="6" t="s">
        <v>23</v>
      </c>
      <c r="E25" s="7">
        <f>ROUND((E22*1.08*9),2)</f>
        <v>77.760000000000005</v>
      </c>
      <c r="F25" s="8">
        <v>2.6</v>
      </c>
      <c r="G25" s="8">
        <f t="shared" si="4"/>
        <v>3.22</v>
      </c>
      <c r="H25" s="8">
        <f t="shared" si="5"/>
        <v>250.38</v>
      </c>
    </row>
    <row r="26" spans="1:8" ht="25.5" x14ac:dyDescent="0.25">
      <c r="A26" s="6" t="s">
        <v>166</v>
      </c>
      <c r="B26" s="6">
        <v>102744</v>
      </c>
      <c r="C26" s="10" t="s">
        <v>226</v>
      </c>
      <c r="D26" s="6" t="s">
        <v>25</v>
      </c>
      <c r="E26" s="7">
        <v>2</v>
      </c>
      <c r="F26" s="8">
        <v>7113.94</v>
      </c>
      <c r="G26" s="8">
        <f t="shared" si="4"/>
        <v>8837.64</v>
      </c>
      <c r="H26" s="8">
        <f t="shared" si="5"/>
        <v>17675.28</v>
      </c>
    </row>
    <row r="27" spans="1:8" x14ac:dyDescent="0.25">
      <c r="A27" s="45" t="s">
        <v>49</v>
      </c>
      <c r="B27" s="46"/>
      <c r="C27" s="46"/>
      <c r="D27" s="46"/>
      <c r="E27" s="46"/>
      <c r="F27" s="46"/>
      <c r="G27" s="47"/>
      <c r="H27" s="9">
        <f>SUM(H17:H26)</f>
        <v>38091.369999999995</v>
      </c>
    </row>
    <row r="28" spans="1:8" x14ac:dyDescent="0.25">
      <c r="A28" s="2">
        <v>4</v>
      </c>
      <c r="B28" s="54" t="s">
        <v>51</v>
      </c>
      <c r="C28" s="55"/>
      <c r="D28" s="55"/>
      <c r="E28" s="55"/>
      <c r="F28" s="55"/>
      <c r="G28" s="55"/>
      <c r="H28" s="56"/>
    </row>
    <row r="29" spans="1:8" x14ac:dyDescent="0.25">
      <c r="A29" s="6" t="s">
        <v>148</v>
      </c>
      <c r="B29" s="6" t="s">
        <v>21</v>
      </c>
      <c r="C29" s="10" t="s">
        <v>52</v>
      </c>
      <c r="D29" s="7" t="s">
        <v>23</v>
      </c>
      <c r="E29" s="7">
        <f>E8</f>
        <v>1050</v>
      </c>
      <c r="F29" s="8">
        <f>COMPOSIÇÕES!F20</f>
        <v>1.8599999999999999</v>
      </c>
      <c r="G29" s="8">
        <f t="shared" ref="G29:G31" si="7">TRUNC((F29*1.2423),2)</f>
        <v>2.31</v>
      </c>
      <c r="H29" s="8">
        <f>TRUNC((E29*G29),2)</f>
        <v>2425.5</v>
      </c>
    </row>
    <row r="30" spans="1:8" ht="25.5" x14ac:dyDescent="0.25">
      <c r="A30" s="6" t="s">
        <v>149</v>
      </c>
      <c r="B30" s="6">
        <v>88908</v>
      </c>
      <c r="C30" s="10" t="s">
        <v>53</v>
      </c>
      <c r="D30" s="7" t="s">
        <v>54</v>
      </c>
      <c r="E30" s="7">
        <v>30</v>
      </c>
      <c r="F30" s="8">
        <v>112.37</v>
      </c>
      <c r="G30" s="8">
        <f t="shared" si="7"/>
        <v>139.59</v>
      </c>
      <c r="H30" s="8">
        <f>TRUNC((E30*G30),2)</f>
        <v>4187.7</v>
      </c>
    </row>
    <row r="31" spans="1:8" ht="25.5" x14ac:dyDescent="0.25">
      <c r="A31" s="6" t="s">
        <v>150</v>
      </c>
      <c r="B31" s="6">
        <v>88907</v>
      </c>
      <c r="C31" s="10" t="s">
        <v>55</v>
      </c>
      <c r="D31" s="7" t="s">
        <v>56</v>
      </c>
      <c r="E31" s="7">
        <v>60</v>
      </c>
      <c r="F31" s="8">
        <v>275.02999999999997</v>
      </c>
      <c r="G31" s="8">
        <f t="shared" si="7"/>
        <v>341.66</v>
      </c>
      <c r="H31" s="8">
        <f>TRUNC((E31*G31),2)</f>
        <v>20499.599999999999</v>
      </c>
    </row>
    <row r="32" spans="1:8" x14ac:dyDescent="0.25">
      <c r="A32" s="45" t="s">
        <v>50</v>
      </c>
      <c r="B32" s="46"/>
      <c r="C32" s="46"/>
      <c r="D32" s="46"/>
      <c r="E32" s="46"/>
      <c r="F32" s="46"/>
      <c r="G32" s="47"/>
      <c r="H32" s="9">
        <f>SUM(H29:H31)</f>
        <v>27112.799999999999</v>
      </c>
    </row>
    <row r="33" spans="1:8" x14ac:dyDescent="0.25">
      <c r="A33" s="45" t="s">
        <v>57</v>
      </c>
      <c r="B33" s="46"/>
      <c r="C33" s="46"/>
      <c r="D33" s="46"/>
      <c r="E33" s="46"/>
      <c r="F33" s="46"/>
      <c r="G33" s="47"/>
      <c r="H33" s="13">
        <f>H10+H15+H27+H32</f>
        <v>87422.56</v>
      </c>
    </row>
    <row r="35" spans="1:8" x14ac:dyDescent="0.25">
      <c r="C35" s="1" t="s">
        <v>240</v>
      </c>
    </row>
    <row r="36" spans="1:8" x14ac:dyDescent="0.25">
      <c r="G36" s="23"/>
      <c r="H36" s="23"/>
    </row>
    <row r="37" spans="1:8" x14ac:dyDescent="0.25">
      <c r="E37" s="57"/>
      <c r="F37" s="57"/>
      <c r="G37" s="57"/>
      <c r="H37" s="57"/>
    </row>
    <row r="38" spans="1:8" x14ac:dyDescent="0.25">
      <c r="E38" s="58" t="s">
        <v>241</v>
      </c>
      <c r="F38" s="58"/>
      <c r="G38" s="58"/>
      <c r="H38" s="58"/>
    </row>
  </sheetData>
  <mergeCells count="17">
    <mergeCell ref="E37:H37"/>
    <mergeCell ref="E38:H38"/>
    <mergeCell ref="B28:H28"/>
    <mergeCell ref="A32:G32"/>
    <mergeCell ref="A33:G33"/>
    <mergeCell ref="A27:G27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71A10-F833-4731-B61B-6ABEF69A8DA9}">
  <sheetPr>
    <pageSetUpPr fitToPage="1"/>
  </sheetPr>
  <dimension ref="A1:H37"/>
  <sheetViews>
    <sheetView topLeftCell="A10" zoomScaleNormal="100" workbookViewId="0">
      <selection sqref="A1:H31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256</v>
      </c>
      <c r="F2" s="51"/>
      <c r="G2" s="51"/>
      <c r="H2" s="52"/>
    </row>
    <row r="3" spans="1:8" ht="15.75" x14ac:dyDescent="0.25">
      <c r="A3" s="49" t="s">
        <v>4</v>
      </c>
      <c r="B3" s="49"/>
      <c r="C3" s="32" t="s">
        <v>258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ROUND((30*34),2)</f>
        <v>1020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2356.1999999999998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22149.09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f>ROUND((63.36*6),2)</f>
        <v>380.16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3596.31</v>
      </c>
    </row>
    <row r="13" spans="1:8" ht="25.5" x14ac:dyDescent="0.25">
      <c r="A13" s="6" t="s">
        <v>152</v>
      </c>
      <c r="B13" s="6">
        <v>93589</v>
      </c>
      <c r="C13" s="10" t="s">
        <v>74</v>
      </c>
      <c r="D13" s="6" t="s">
        <v>29</v>
      </c>
      <c r="E13" s="7">
        <f>ROUND((E12*1.25*2),2)</f>
        <v>950.4</v>
      </c>
      <c r="F13" s="8">
        <v>2.9</v>
      </c>
      <c r="G13" s="8">
        <f t="shared" si="2"/>
        <v>3.6</v>
      </c>
      <c r="H13" s="8">
        <f t="shared" si="3"/>
        <v>3421.44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f>E12</f>
        <v>380.16</v>
      </c>
      <c r="F14" s="8">
        <v>20.82</v>
      </c>
      <c r="G14" s="8">
        <f t="shared" si="2"/>
        <v>25.86</v>
      </c>
      <c r="H14" s="8">
        <f t="shared" si="3"/>
        <v>9830.93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16848.68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ROUND((2.8*3*E21),2)</f>
        <v>84</v>
      </c>
      <c r="F17" s="8">
        <v>6.19</v>
      </c>
      <c r="G17" s="8">
        <f>TRUNC((F17*1.2423),2)</f>
        <v>7.68</v>
      </c>
      <c r="H17" s="8">
        <f>TRUNC((E17*G17),2)</f>
        <v>645.12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f>ROUND((E17-(E21*2.54)),2)</f>
        <v>58.6</v>
      </c>
      <c r="F18" s="8">
        <v>23.89</v>
      </c>
      <c r="G18" s="8">
        <f t="shared" ref="G18:G24" si="4">TRUNC((F18*1.2423),2)</f>
        <v>29.67</v>
      </c>
      <c r="H18" s="8">
        <f t="shared" ref="H18:H24" si="5">TRUNC((E18*G18),2)</f>
        <v>1738.66</v>
      </c>
    </row>
    <row r="19" spans="1:8" ht="25.5" x14ac:dyDescent="0.25">
      <c r="A19" s="6" t="s">
        <v>100</v>
      </c>
      <c r="B19" s="6">
        <v>101623</v>
      </c>
      <c r="C19" s="10" t="s">
        <v>41</v>
      </c>
      <c r="D19" s="6" t="s">
        <v>31</v>
      </c>
      <c r="E19" s="7">
        <f>ROUND((E21*1*0.1),2)</f>
        <v>1</v>
      </c>
      <c r="F19" s="8">
        <v>253.05</v>
      </c>
      <c r="G19" s="8">
        <f t="shared" si="4"/>
        <v>314.36</v>
      </c>
      <c r="H19" s="8">
        <f t="shared" si="5"/>
        <v>314.36</v>
      </c>
    </row>
    <row r="20" spans="1:8" ht="25.5" x14ac:dyDescent="0.25">
      <c r="A20" s="6" t="s">
        <v>161</v>
      </c>
      <c r="B20" s="6">
        <v>93589</v>
      </c>
      <c r="C20" s="12" t="s">
        <v>67</v>
      </c>
      <c r="D20" s="6" t="s">
        <v>29</v>
      </c>
      <c r="E20" s="7">
        <f>ROUND((E19*24.5),2)</f>
        <v>24.5</v>
      </c>
      <c r="F20" s="8">
        <v>2.9</v>
      </c>
      <c r="G20" s="8">
        <f t="shared" si="4"/>
        <v>3.6</v>
      </c>
      <c r="H20" s="8">
        <f t="shared" si="5"/>
        <v>88.2</v>
      </c>
    </row>
    <row r="21" spans="1:8" ht="38.25" x14ac:dyDescent="0.25">
      <c r="A21" s="6" t="s">
        <v>162</v>
      </c>
      <c r="B21" s="6">
        <v>92818</v>
      </c>
      <c r="C21" s="10" t="s">
        <v>59</v>
      </c>
      <c r="D21" s="6" t="s">
        <v>44</v>
      </c>
      <c r="E21" s="7">
        <v>10</v>
      </c>
      <c r="F21" s="8">
        <v>1282.8900000000001</v>
      </c>
      <c r="G21" s="8">
        <f t="shared" si="4"/>
        <v>1593.73</v>
      </c>
      <c r="H21" s="8">
        <f t="shared" si="5"/>
        <v>15937.3</v>
      </c>
    </row>
    <row r="22" spans="1:8" ht="25.5" x14ac:dyDescent="0.25">
      <c r="A22" s="6" t="s">
        <v>163</v>
      </c>
      <c r="B22" s="6">
        <v>100947</v>
      </c>
      <c r="C22" s="10" t="s">
        <v>71</v>
      </c>
      <c r="D22" s="6" t="s">
        <v>23</v>
      </c>
      <c r="E22" s="7">
        <f>ROUND((E21*2.1*30),2)</f>
        <v>630</v>
      </c>
      <c r="F22" s="8">
        <v>2.4</v>
      </c>
      <c r="G22" s="8">
        <f t="shared" si="4"/>
        <v>2.98</v>
      </c>
      <c r="H22" s="8">
        <f t="shared" si="5"/>
        <v>1877.4</v>
      </c>
    </row>
    <row r="23" spans="1:8" ht="25.5" x14ac:dyDescent="0.25">
      <c r="A23" s="6" t="s">
        <v>164</v>
      </c>
      <c r="B23" s="6">
        <v>100948</v>
      </c>
      <c r="C23" s="10" t="s">
        <v>80</v>
      </c>
      <c r="D23" s="6" t="s">
        <v>23</v>
      </c>
      <c r="E23" s="7">
        <f>ROUND((E21*2.1*4),2)</f>
        <v>84</v>
      </c>
      <c r="F23" s="8">
        <v>0.95</v>
      </c>
      <c r="G23" s="8">
        <f t="shared" si="4"/>
        <v>1.18</v>
      </c>
      <c r="H23" s="8">
        <f t="shared" si="5"/>
        <v>99.12</v>
      </c>
    </row>
    <row r="24" spans="1:8" ht="25.5" x14ac:dyDescent="0.25">
      <c r="A24" s="6" t="s">
        <v>165</v>
      </c>
      <c r="B24" s="6">
        <v>102742</v>
      </c>
      <c r="C24" s="10" t="s">
        <v>61</v>
      </c>
      <c r="D24" s="6" t="s">
        <v>25</v>
      </c>
      <c r="E24" s="7">
        <v>2</v>
      </c>
      <c r="F24" s="8">
        <v>14218.78</v>
      </c>
      <c r="G24" s="8">
        <f t="shared" si="4"/>
        <v>17663.990000000002</v>
      </c>
      <c r="H24" s="8">
        <f t="shared" si="5"/>
        <v>35327.980000000003</v>
      </c>
    </row>
    <row r="25" spans="1:8" x14ac:dyDescent="0.25">
      <c r="A25" s="45" t="s">
        <v>49</v>
      </c>
      <c r="B25" s="46"/>
      <c r="C25" s="46"/>
      <c r="D25" s="46"/>
      <c r="E25" s="46"/>
      <c r="F25" s="46"/>
      <c r="G25" s="47"/>
      <c r="H25" s="9">
        <f>SUM(H17:H24)</f>
        <v>56028.14</v>
      </c>
    </row>
    <row r="26" spans="1:8" x14ac:dyDescent="0.25">
      <c r="A26" s="2">
        <v>4</v>
      </c>
      <c r="B26" s="54" t="s">
        <v>51</v>
      </c>
      <c r="C26" s="55"/>
      <c r="D26" s="55"/>
      <c r="E26" s="55"/>
      <c r="F26" s="55"/>
      <c r="G26" s="55"/>
      <c r="H26" s="56"/>
    </row>
    <row r="27" spans="1:8" x14ac:dyDescent="0.25">
      <c r="A27" s="6" t="s">
        <v>148</v>
      </c>
      <c r="B27" s="6" t="s">
        <v>21</v>
      </c>
      <c r="C27" s="10" t="s">
        <v>52</v>
      </c>
      <c r="D27" s="7" t="s">
        <v>23</v>
      </c>
      <c r="E27" s="7">
        <f>E8</f>
        <v>1020</v>
      </c>
      <c r="F27" s="8">
        <f>COMPOSIÇÕES!F20</f>
        <v>1.8599999999999999</v>
      </c>
      <c r="G27" s="8">
        <f t="shared" ref="G27:G29" si="6">TRUNC((F27*1.2423),2)</f>
        <v>2.31</v>
      </c>
      <c r="H27" s="8">
        <f>TRUNC((E27*G27),2)</f>
        <v>2356.1999999999998</v>
      </c>
    </row>
    <row r="28" spans="1:8" ht="25.5" x14ac:dyDescent="0.25">
      <c r="A28" s="6" t="s">
        <v>149</v>
      </c>
      <c r="B28" s="6">
        <v>88908</v>
      </c>
      <c r="C28" s="10" t="s">
        <v>53</v>
      </c>
      <c r="D28" s="7" t="s">
        <v>54</v>
      </c>
      <c r="E28" s="7">
        <v>30</v>
      </c>
      <c r="F28" s="8">
        <v>112.37</v>
      </c>
      <c r="G28" s="8">
        <f t="shared" si="6"/>
        <v>139.59</v>
      </c>
      <c r="H28" s="8">
        <f>TRUNC((E28*G28),2)</f>
        <v>4187.7</v>
      </c>
    </row>
    <row r="29" spans="1:8" ht="25.5" x14ac:dyDescent="0.25">
      <c r="A29" s="6" t="s">
        <v>150</v>
      </c>
      <c r="B29" s="6">
        <v>88907</v>
      </c>
      <c r="C29" s="10" t="s">
        <v>55</v>
      </c>
      <c r="D29" s="7" t="s">
        <v>56</v>
      </c>
      <c r="E29" s="7">
        <v>60</v>
      </c>
      <c r="F29" s="8">
        <v>275.02999999999997</v>
      </c>
      <c r="G29" s="8">
        <f t="shared" si="6"/>
        <v>341.66</v>
      </c>
      <c r="H29" s="8">
        <f>TRUNC((E29*G29),2)</f>
        <v>20499.599999999999</v>
      </c>
    </row>
    <row r="30" spans="1:8" x14ac:dyDescent="0.25">
      <c r="A30" s="45" t="s">
        <v>50</v>
      </c>
      <c r="B30" s="46"/>
      <c r="C30" s="46"/>
      <c r="D30" s="46"/>
      <c r="E30" s="46"/>
      <c r="F30" s="46"/>
      <c r="G30" s="47"/>
      <c r="H30" s="9">
        <f>SUM(H27:H29)</f>
        <v>27043.5</v>
      </c>
    </row>
    <row r="31" spans="1:8" x14ac:dyDescent="0.25">
      <c r="A31" s="45" t="s">
        <v>57</v>
      </c>
      <c r="B31" s="46"/>
      <c r="C31" s="46"/>
      <c r="D31" s="46"/>
      <c r="E31" s="46"/>
      <c r="F31" s="46"/>
      <c r="G31" s="47"/>
      <c r="H31" s="13">
        <f>H10+H15+H25+H30</f>
        <v>122069.41</v>
      </c>
    </row>
    <row r="34" spans="3:8" x14ac:dyDescent="0.25">
      <c r="C34" s="1" t="s">
        <v>240</v>
      </c>
    </row>
    <row r="35" spans="3:8" x14ac:dyDescent="0.25">
      <c r="G35" s="23"/>
      <c r="H35" s="23"/>
    </row>
    <row r="36" spans="3:8" x14ac:dyDescent="0.25">
      <c r="E36" s="57"/>
      <c r="F36" s="57"/>
      <c r="G36" s="57"/>
      <c r="H36" s="57"/>
    </row>
    <row r="37" spans="3:8" x14ac:dyDescent="0.25">
      <c r="E37" s="58" t="s">
        <v>241</v>
      </c>
      <c r="F37" s="58"/>
      <c r="G37" s="58"/>
      <c r="H37" s="58"/>
    </row>
  </sheetData>
  <mergeCells count="17">
    <mergeCell ref="E36:H36"/>
    <mergeCell ref="E37:H37"/>
    <mergeCell ref="B26:H26"/>
    <mergeCell ref="A30:G30"/>
    <mergeCell ref="A31:G31"/>
    <mergeCell ref="A25:G25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83B5C-93CC-468A-8048-E264646EA47A}">
  <sheetPr>
    <pageSetUpPr fitToPage="1"/>
  </sheetPr>
  <dimension ref="A1:H41"/>
  <sheetViews>
    <sheetView topLeftCell="A10" zoomScaleNormal="100" workbookViewId="0">
      <selection activeCell="F18" sqref="F18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</v>
      </c>
      <c r="D2" s="2" t="s">
        <v>3</v>
      </c>
      <c r="E2" s="50" t="s">
        <v>245</v>
      </c>
      <c r="F2" s="51"/>
      <c r="G2" s="51"/>
      <c r="H2" s="52"/>
    </row>
    <row r="3" spans="1:8" x14ac:dyDescent="0.25">
      <c r="A3" s="49" t="s">
        <v>4</v>
      </c>
      <c r="B3" s="49"/>
      <c r="C3" s="3" t="s">
        <v>244</v>
      </c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ROUND((30*26),2)</f>
        <v>780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1801.8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21594.69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f>ROUND((40.01*6),2)</f>
        <v>240.06</v>
      </c>
      <c r="F12" s="8">
        <v>7.62</v>
      </c>
      <c r="G12" s="8">
        <f t="shared" ref="G12:G14" si="2">TRUNC((F12*1.2423),2)</f>
        <v>9.4600000000000009</v>
      </c>
      <c r="H12" s="8">
        <f t="shared" ref="H12:H14" si="3">TRUNC((E12*G12),2)</f>
        <v>2270.96</v>
      </c>
    </row>
    <row r="13" spans="1:8" ht="25.5" x14ac:dyDescent="0.25">
      <c r="A13" s="6" t="s">
        <v>152</v>
      </c>
      <c r="B13" s="6">
        <v>93589</v>
      </c>
      <c r="C13" s="10" t="s">
        <v>81</v>
      </c>
      <c r="D13" s="6" t="s">
        <v>29</v>
      </c>
      <c r="E13" s="7">
        <f>ROUND((E12*1.25*7.5),2)</f>
        <v>2250.56</v>
      </c>
      <c r="F13" s="8">
        <v>2.9</v>
      </c>
      <c r="G13" s="8">
        <f t="shared" si="2"/>
        <v>3.6</v>
      </c>
      <c r="H13" s="8">
        <f t="shared" si="3"/>
        <v>8102.01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f>E12</f>
        <v>240.06</v>
      </c>
      <c r="F14" s="8">
        <v>20.82</v>
      </c>
      <c r="G14" s="8">
        <f t="shared" si="2"/>
        <v>25.86</v>
      </c>
      <c r="H14" s="8">
        <f t="shared" si="3"/>
        <v>6207.95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16580.920000000002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ht="38.25" x14ac:dyDescent="0.25">
      <c r="A17" s="6" t="s">
        <v>85</v>
      </c>
      <c r="B17" s="6">
        <v>102281</v>
      </c>
      <c r="C17" s="10" t="s">
        <v>39</v>
      </c>
      <c r="D17" s="6" t="s">
        <v>31</v>
      </c>
      <c r="E17" s="7">
        <f>ROUND((10*2*2),2)</f>
        <v>40</v>
      </c>
      <c r="F17" s="8">
        <v>6.19</v>
      </c>
      <c r="G17" s="8">
        <f>TRUNC((F17*1.2423),2)</f>
        <v>7.68</v>
      </c>
      <c r="H17" s="8">
        <f>TRUNC((E17*G17),2)</f>
        <v>307.2</v>
      </c>
    </row>
    <row r="18" spans="1:8" ht="38.25" x14ac:dyDescent="0.25">
      <c r="A18" s="6" t="s">
        <v>96</v>
      </c>
      <c r="B18" s="6">
        <v>93368</v>
      </c>
      <c r="C18" s="10" t="s">
        <v>40</v>
      </c>
      <c r="D18" s="6" t="s">
        <v>31</v>
      </c>
      <c r="E18" s="7">
        <v>0</v>
      </c>
      <c r="F18" s="8">
        <v>23.89</v>
      </c>
      <c r="G18" s="8">
        <f t="shared" ref="G18:G28" si="4">TRUNC((F18*1.2423),2)</f>
        <v>29.67</v>
      </c>
      <c r="H18" s="8">
        <f t="shared" ref="H18:H28" si="5">TRUNC((E18*G18),2)</f>
        <v>0</v>
      </c>
    </row>
    <row r="19" spans="1:8" ht="25.5" x14ac:dyDescent="0.25">
      <c r="A19" s="6" t="s">
        <v>100</v>
      </c>
      <c r="B19" s="6">
        <v>97103</v>
      </c>
      <c r="C19" s="10" t="s">
        <v>69</v>
      </c>
      <c r="D19" s="6" t="s">
        <v>17</v>
      </c>
      <c r="E19" s="7">
        <f>ROUND((10*2.5),2)</f>
        <v>25</v>
      </c>
      <c r="F19" s="8">
        <v>274.74</v>
      </c>
      <c r="G19" s="8">
        <f t="shared" si="4"/>
        <v>341.3</v>
      </c>
      <c r="H19" s="8">
        <f t="shared" si="5"/>
        <v>8532.5</v>
      </c>
    </row>
    <row r="20" spans="1:8" ht="38.25" x14ac:dyDescent="0.25">
      <c r="A20" s="6" t="s">
        <v>161</v>
      </c>
      <c r="B20" s="6">
        <v>104492</v>
      </c>
      <c r="C20" s="10" t="s">
        <v>82</v>
      </c>
      <c r="D20" s="6" t="s">
        <v>44</v>
      </c>
      <c r="E20" s="7">
        <v>10</v>
      </c>
      <c r="F20" s="8">
        <v>5483.5</v>
      </c>
      <c r="G20" s="8">
        <f t="shared" si="4"/>
        <v>6812.15</v>
      </c>
      <c r="H20" s="8">
        <f t="shared" si="5"/>
        <v>68121.5</v>
      </c>
    </row>
    <row r="21" spans="1:8" ht="25.5" x14ac:dyDescent="0.25">
      <c r="A21" s="6" t="s">
        <v>162</v>
      </c>
      <c r="B21" s="6">
        <v>100947</v>
      </c>
      <c r="C21" s="12" t="s">
        <v>71</v>
      </c>
      <c r="D21" s="6" t="s">
        <v>23</v>
      </c>
      <c r="E21" s="7">
        <f>ROUND((E20*3.3*30),2)</f>
        <v>990</v>
      </c>
      <c r="F21" s="8">
        <v>2.4</v>
      </c>
      <c r="G21" s="8">
        <f t="shared" si="4"/>
        <v>2.98</v>
      </c>
      <c r="H21" s="8">
        <f t="shared" si="5"/>
        <v>2950.2</v>
      </c>
    </row>
    <row r="22" spans="1:8" ht="25.5" x14ac:dyDescent="0.25">
      <c r="A22" s="6" t="s">
        <v>163</v>
      </c>
      <c r="B22" s="6">
        <v>100948</v>
      </c>
      <c r="C22" s="12" t="s">
        <v>83</v>
      </c>
      <c r="D22" s="6" t="s">
        <v>23</v>
      </c>
      <c r="E22" s="7">
        <f>ROUND((E20*3.3*87),2)</f>
        <v>2871</v>
      </c>
      <c r="F22" s="8">
        <v>0.95</v>
      </c>
      <c r="G22" s="8">
        <f t="shared" si="4"/>
        <v>1.18</v>
      </c>
      <c r="H22" s="8">
        <f t="shared" si="5"/>
        <v>3387.78</v>
      </c>
    </row>
    <row r="23" spans="1:8" ht="38.25" x14ac:dyDescent="0.25">
      <c r="A23" s="6" t="s">
        <v>164</v>
      </c>
      <c r="B23" s="6">
        <v>92210</v>
      </c>
      <c r="C23" s="12" t="s">
        <v>89</v>
      </c>
      <c r="D23" s="6" t="s">
        <v>44</v>
      </c>
      <c r="E23" s="7">
        <v>24</v>
      </c>
      <c r="F23" s="8">
        <v>173.44</v>
      </c>
      <c r="G23" s="8">
        <f t="shared" ref="G23:G27" si="6">TRUNC((F23*1.2423),2)</f>
        <v>215.46</v>
      </c>
      <c r="H23" s="8">
        <f t="shared" ref="H23:H27" si="7">TRUNC((E23*G23),2)</f>
        <v>5171.04</v>
      </c>
    </row>
    <row r="24" spans="1:8" ht="25.5" x14ac:dyDescent="0.25">
      <c r="A24" s="6" t="s">
        <v>165</v>
      </c>
      <c r="B24" s="6">
        <v>100947</v>
      </c>
      <c r="C24" s="10" t="s">
        <v>221</v>
      </c>
      <c r="D24" s="6" t="s">
        <v>23</v>
      </c>
      <c r="E24" s="7">
        <f>ROUND((E23*0.19*26.5),2)</f>
        <v>120.84</v>
      </c>
      <c r="F24" s="8">
        <v>2.4</v>
      </c>
      <c r="G24" s="8">
        <f t="shared" si="6"/>
        <v>2.98</v>
      </c>
      <c r="H24" s="8">
        <f t="shared" si="7"/>
        <v>360.1</v>
      </c>
    </row>
    <row r="25" spans="1:8" ht="25.5" x14ac:dyDescent="0.25">
      <c r="A25" s="6" t="s">
        <v>160</v>
      </c>
      <c r="B25" s="6">
        <v>97956</v>
      </c>
      <c r="C25" s="10" t="s">
        <v>90</v>
      </c>
      <c r="D25" s="6" t="s">
        <v>25</v>
      </c>
      <c r="E25" s="7">
        <v>1</v>
      </c>
      <c r="F25" s="8">
        <v>1683.94</v>
      </c>
      <c r="G25" s="8">
        <f t="shared" ref="G25:G26" si="8">TRUNC((F25*1.2423),2)</f>
        <v>2091.9499999999998</v>
      </c>
      <c r="H25" s="8">
        <f t="shared" ref="H25:H26" si="9">TRUNC((E25*G25),2)</f>
        <v>2091.9499999999998</v>
      </c>
    </row>
    <row r="26" spans="1:8" x14ac:dyDescent="0.25">
      <c r="A26" s="6" t="s">
        <v>166</v>
      </c>
      <c r="B26" s="6" t="s">
        <v>224</v>
      </c>
      <c r="C26" s="10" t="s">
        <v>225</v>
      </c>
      <c r="D26" s="6" t="s">
        <v>25</v>
      </c>
      <c r="E26" s="7">
        <v>1</v>
      </c>
      <c r="F26" s="8">
        <f>COMPOSIÇÕES!F51</f>
        <v>874.63</v>
      </c>
      <c r="G26" s="8">
        <f t="shared" si="8"/>
        <v>1086.55</v>
      </c>
      <c r="H26" s="8">
        <f t="shared" si="9"/>
        <v>1086.55</v>
      </c>
    </row>
    <row r="27" spans="1:8" ht="25.5" x14ac:dyDescent="0.25">
      <c r="A27" s="6" t="s">
        <v>167</v>
      </c>
      <c r="B27" s="6">
        <v>102737</v>
      </c>
      <c r="C27" s="12" t="s">
        <v>222</v>
      </c>
      <c r="D27" s="6" t="s">
        <v>25</v>
      </c>
      <c r="E27" s="7">
        <v>1</v>
      </c>
      <c r="F27" s="8">
        <v>1144.42</v>
      </c>
      <c r="G27" s="8">
        <f t="shared" si="6"/>
        <v>1421.71</v>
      </c>
      <c r="H27" s="8">
        <f t="shared" si="7"/>
        <v>1421.71</v>
      </c>
    </row>
    <row r="28" spans="1:8" ht="25.5" x14ac:dyDescent="0.25">
      <c r="A28" s="6" t="s">
        <v>223</v>
      </c>
      <c r="B28" s="6">
        <v>102762</v>
      </c>
      <c r="C28" s="10" t="s">
        <v>84</v>
      </c>
      <c r="D28" s="6" t="s">
        <v>25</v>
      </c>
      <c r="E28" s="7">
        <v>2</v>
      </c>
      <c r="F28" s="8">
        <v>20981.78</v>
      </c>
      <c r="G28" s="8">
        <f t="shared" si="4"/>
        <v>26065.66</v>
      </c>
      <c r="H28" s="8">
        <f t="shared" si="5"/>
        <v>52131.32</v>
      </c>
    </row>
    <row r="29" spans="1:8" x14ac:dyDescent="0.25">
      <c r="A29" s="45" t="s">
        <v>49</v>
      </c>
      <c r="B29" s="46"/>
      <c r="C29" s="46"/>
      <c r="D29" s="46"/>
      <c r="E29" s="46"/>
      <c r="F29" s="46"/>
      <c r="G29" s="47"/>
      <c r="H29" s="9">
        <f>SUM(H17:H28)</f>
        <v>145561.85</v>
      </c>
    </row>
    <row r="30" spans="1:8" x14ac:dyDescent="0.25">
      <c r="A30" s="2">
        <v>4</v>
      </c>
      <c r="B30" s="54" t="s">
        <v>51</v>
      </c>
      <c r="C30" s="55"/>
      <c r="D30" s="55"/>
      <c r="E30" s="55"/>
      <c r="F30" s="55"/>
      <c r="G30" s="55"/>
      <c r="H30" s="56"/>
    </row>
    <row r="31" spans="1:8" x14ac:dyDescent="0.25">
      <c r="A31" s="6" t="s">
        <v>148</v>
      </c>
      <c r="B31" s="6" t="s">
        <v>21</v>
      </c>
      <c r="C31" s="10" t="s">
        <v>52</v>
      </c>
      <c r="D31" s="7" t="s">
        <v>23</v>
      </c>
      <c r="E31" s="7">
        <f>E8</f>
        <v>780</v>
      </c>
      <c r="F31" s="8">
        <f>COMPOSIÇÕES!F20</f>
        <v>1.8599999999999999</v>
      </c>
      <c r="G31" s="8">
        <f t="shared" ref="G31:G33" si="10">TRUNC((F31*1.2423),2)</f>
        <v>2.31</v>
      </c>
      <c r="H31" s="8">
        <f>TRUNC((E31*G31),2)</f>
        <v>1801.8</v>
      </c>
    </row>
    <row r="32" spans="1:8" ht="25.5" x14ac:dyDescent="0.25">
      <c r="A32" s="6" t="s">
        <v>149</v>
      </c>
      <c r="B32" s="6">
        <v>88908</v>
      </c>
      <c r="C32" s="10" t="s">
        <v>53</v>
      </c>
      <c r="D32" s="7" t="s">
        <v>54</v>
      </c>
      <c r="E32" s="7">
        <v>0</v>
      </c>
      <c r="F32" s="8">
        <v>112.37</v>
      </c>
      <c r="G32" s="8">
        <f t="shared" si="10"/>
        <v>139.59</v>
      </c>
      <c r="H32" s="8">
        <f>TRUNC((E32*G32),2)</f>
        <v>0</v>
      </c>
    </row>
    <row r="33" spans="1:8" ht="25.5" x14ac:dyDescent="0.25">
      <c r="A33" s="6" t="s">
        <v>150</v>
      </c>
      <c r="B33" s="6">
        <v>88907</v>
      </c>
      <c r="C33" s="10" t="s">
        <v>55</v>
      </c>
      <c r="D33" s="7" t="s">
        <v>56</v>
      </c>
      <c r="E33" s="7">
        <v>0</v>
      </c>
      <c r="F33" s="8">
        <v>275.02999999999997</v>
      </c>
      <c r="G33" s="8">
        <f t="shared" si="10"/>
        <v>341.66</v>
      </c>
      <c r="H33" s="8">
        <f>TRUNC((E33*G33),2)</f>
        <v>0</v>
      </c>
    </row>
    <row r="34" spans="1:8" x14ac:dyDescent="0.25">
      <c r="A34" s="45" t="s">
        <v>50</v>
      </c>
      <c r="B34" s="46"/>
      <c r="C34" s="46"/>
      <c r="D34" s="46"/>
      <c r="E34" s="46"/>
      <c r="F34" s="46"/>
      <c r="G34" s="47"/>
      <c r="H34" s="9">
        <f>SUM(H31:H33)</f>
        <v>1801.8</v>
      </c>
    </row>
    <row r="35" spans="1:8" x14ac:dyDescent="0.25">
      <c r="A35" s="45" t="s">
        <v>57</v>
      </c>
      <c r="B35" s="46"/>
      <c r="C35" s="46"/>
      <c r="D35" s="46"/>
      <c r="E35" s="46"/>
      <c r="F35" s="46"/>
      <c r="G35" s="47"/>
      <c r="H35" s="40">
        <f>H10+H15+H29+H34</f>
        <v>185539.26</v>
      </c>
    </row>
    <row r="38" spans="1:8" x14ac:dyDescent="0.25">
      <c r="C38" s="1" t="s">
        <v>240</v>
      </c>
    </row>
    <row r="39" spans="1:8" x14ac:dyDescent="0.25">
      <c r="G39" s="23"/>
      <c r="H39" s="23"/>
    </row>
    <row r="40" spans="1:8" x14ac:dyDescent="0.25">
      <c r="E40" s="57"/>
      <c r="F40" s="57"/>
      <c r="G40" s="57"/>
      <c r="H40" s="57"/>
    </row>
    <row r="41" spans="1:8" x14ac:dyDescent="0.25">
      <c r="E41" s="58" t="s">
        <v>241</v>
      </c>
      <c r="F41" s="58"/>
      <c r="G41" s="58"/>
      <c r="H41" s="58"/>
    </row>
  </sheetData>
  <mergeCells count="17">
    <mergeCell ref="A29:G29"/>
    <mergeCell ref="A1:H1"/>
    <mergeCell ref="A2:B2"/>
    <mergeCell ref="E2:H2"/>
    <mergeCell ref="A3:B3"/>
    <mergeCell ref="E3:H3"/>
    <mergeCell ref="A4:H4"/>
    <mergeCell ref="B6:H6"/>
    <mergeCell ref="A10:G10"/>
    <mergeCell ref="B11:H11"/>
    <mergeCell ref="A15:G15"/>
    <mergeCell ref="B16:H16"/>
    <mergeCell ref="E40:H40"/>
    <mergeCell ref="E41:H41"/>
    <mergeCell ref="B30:H30"/>
    <mergeCell ref="A34:G34"/>
    <mergeCell ref="A35:G35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A7C2-F208-49CF-8D0B-BAE44B25AD5C}">
  <sheetPr>
    <pageSetUpPr fitToPage="1"/>
  </sheetPr>
  <dimension ref="A1:J85"/>
  <sheetViews>
    <sheetView topLeftCell="A49" zoomScaleNormal="100" workbookViewId="0">
      <selection activeCell="C57" sqref="C57:H61"/>
    </sheetView>
  </sheetViews>
  <sheetFormatPr defaultColWidth="9.140625" defaultRowHeight="15" x14ac:dyDescent="0.25"/>
  <cols>
    <col min="1" max="1" width="7.28515625" style="1" bestFit="1" customWidth="1"/>
    <col min="2" max="2" width="12.7109375" style="1" customWidth="1"/>
    <col min="3" max="3" width="80.7109375" style="1" customWidth="1"/>
    <col min="4" max="7" width="12.7109375" style="1" customWidth="1"/>
    <col min="8" max="8" width="14.28515625" style="1" bestFit="1" customWidth="1"/>
    <col min="9" max="9" width="11.5703125" style="1" customWidth="1"/>
    <col min="10" max="10" width="13.85546875" style="1" customWidth="1"/>
    <col min="11" max="16384" width="9.140625" style="1"/>
  </cols>
  <sheetData>
    <row r="1" spans="1:8" ht="15.75" x14ac:dyDescent="0.25">
      <c r="A1" s="48" t="s">
        <v>0</v>
      </c>
      <c r="B1" s="48"/>
      <c r="C1" s="48"/>
      <c r="D1" s="48"/>
      <c r="E1" s="48"/>
      <c r="F1" s="48"/>
      <c r="G1" s="48"/>
      <c r="H1" s="48"/>
    </row>
    <row r="2" spans="1:8" x14ac:dyDescent="0.25">
      <c r="A2" s="49" t="s">
        <v>1</v>
      </c>
      <c r="B2" s="49"/>
      <c r="C2" s="3" t="s">
        <v>246</v>
      </c>
      <c r="D2" s="2" t="s">
        <v>3</v>
      </c>
      <c r="E2" s="50" t="s">
        <v>247</v>
      </c>
      <c r="F2" s="51"/>
      <c r="G2" s="51"/>
      <c r="H2" s="52"/>
    </row>
    <row r="3" spans="1:8" x14ac:dyDescent="0.25">
      <c r="A3" s="49" t="s">
        <v>4</v>
      </c>
      <c r="B3" s="49"/>
      <c r="C3" s="3"/>
      <c r="D3" s="2" t="s">
        <v>5</v>
      </c>
      <c r="E3" s="50" t="s">
        <v>154</v>
      </c>
      <c r="F3" s="51"/>
      <c r="G3" s="51"/>
      <c r="H3" s="52"/>
    </row>
    <row r="4" spans="1:8" x14ac:dyDescent="0.25">
      <c r="A4" s="53" t="s">
        <v>6</v>
      </c>
      <c r="B4" s="53"/>
      <c r="C4" s="53"/>
      <c r="D4" s="53"/>
      <c r="E4" s="53"/>
      <c r="F4" s="53"/>
      <c r="G4" s="53"/>
      <c r="H4" s="53"/>
    </row>
    <row r="5" spans="1:8" ht="30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2">
        <v>1</v>
      </c>
      <c r="B6" s="54" t="s">
        <v>14</v>
      </c>
      <c r="C6" s="55"/>
      <c r="D6" s="55"/>
      <c r="E6" s="55"/>
      <c r="F6" s="55"/>
      <c r="G6" s="55"/>
      <c r="H6" s="56"/>
    </row>
    <row r="7" spans="1:8" ht="25.5" x14ac:dyDescent="0.25">
      <c r="A7" s="6" t="s">
        <v>15</v>
      </c>
      <c r="B7" s="6">
        <v>103689</v>
      </c>
      <c r="C7" s="10" t="s">
        <v>145</v>
      </c>
      <c r="D7" s="6" t="s">
        <v>17</v>
      </c>
      <c r="E7" s="7">
        <v>2.88</v>
      </c>
      <c r="F7" s="8">
        <v>462.39</v>
      </c>
      <c r="G7" s="8">
        <f>TRUNC((F7*1.2423),2)</f>
        <v>574.41999999999996</v>
      </c>
      <c r="H7" s="8">
        <f>TRUNC((E7*G7),2)</f>
        <v>1654.32</v>
      </c>
    </row>
    <row r="8" spans="1:8" x14ac:dyDescent="0.25">
      <c r="A8" s="6" t="s">
        <v>18</v>
      </c>
      <c r="B8" s="6" t="s">
        <v>16</v>
      </c>
      <c r="C8" s="10" t="s">
        <v>22</v>
      </c>
      <c r="D8" s="6" t="s">
        <v>23</v>
      </c>
      <c r="E8" s="7">
        <f>ROUND((30*26),2)</f>
        <v>780</v>
      </c>
      <c r="F8" s="8">
        <f>COMPOSIÇÕES!F5</f>
        <v>1.8599999999999999</v>
      </c>
      <c r="G8" s="8">
        <f t="shared" ref="G8:G9" si="0">TRUNC((F8*1.2423),2)</f>
        <v>2.31</v>
      </c>
      <c r="H8" s="8">
        <f t="shared" ref="H8:H9" si="1">TRUNC((E8*G8),2)</f>
        <v>1801.8</v>
      </c>
    </row>
    <row r="9" spans="1:8" x14ac:dyDescent="0.25">
      <c r="A9" s="6" t="s">
        <v>20</v>
      </c>
      <c r="B9" s="6" t="s">
        <v>19</v>
      </c>
      <c r="C9" s="10" t="s">
        <v>146</v>
      </c>
      <c r="D9" s="6" t="s">
        <v>147</v>
      </c>
      <c r="E9" s="7">
        <v>1</v>
      </c>
      <c r="F9" s="8">
        <f>COMPOSIÇÕES!F14</f>
        <v>14600.800000000001</v>
      </c>
      <c r="G9" s="8">
        <f t="shared" si="0"/>
        <v>18138.57</v>
      </c>
      <c r="H9" s="8">
        <f t="shared" si="1"/>
        <v>18138.57</v>
      </c>
    </row>
    <row r="10" spans="1:8" x14ac:dyDescent="0.25">
      <c r="A10" s="45" t="s">
        <v>26</v>
      </c>
      <c r="B10" s="46"/>
      <c r="C10" s="46"/>
      <c r="D10" s="46"/>
      <c r="E10" s="46"/>
      <c r="F10" s="46"/>
      <c r="G10" s="47"/>
      <c r="H10" s="9">
        <f>SUM(H7:H9)</f>
        <v>21594.69</v>
      </c>
    </row>
    <row r="11" spans="1:8" x14ac:dyDescent="0.25">
      <c r="A11" s="2">
        <v>2</v>
      </c>
      <c r="B11" s="54" t="s">
        <v>27</v>
      </c>
      <c r="C11" s="55"/>
      <c r="D11" s="55"/>
      <c r="E11" s="55"/>
      <c r="F11" s="55"/>
      <c r="G11" s="55"/>
      <c r="H11" s="56"/>
    </row>
    <row r="12" spans="1:8" ht="38.25" x14ac:dyDescent="0.25">
      <c r="A12" s="6" t="s">
        <v>151</v>
      </c>
      <c r="B12" s="6">
        <v>100978</v>
      </c>
      <c r="C12" s="10" t="s">
        <v>33</v>
      </c>
      <c r="D12" s="6" t="s">
        <v>31</v>
      </c>
      <c r="E12" s="7">
        <v>0</v>
      </c>
      <c r="F12" s="8">
        <v>7.62</v>
      </c>
      <c r="G12" s="8">
        <f>TRUNC((F12*1.2423),2)</f>
        <v>9.4600000000000009</v>
      </c>
      <c r="H12" s="8">
        <f t="shared" ref="H12:H14" si="2">TRUNC((E12*G12),2)</f>
        <v>0</v>
      </c>
    </row>
    <row r="13" spans="1:8" ht="25.5" x14ac:dyDescent="0.25">
      <c r="A13" s="6" t="s">
        <v>152</v>
      </c>
      <c r="B13" s="6">
        <v>93589</v>
      </c>
      <c r="C13" s="10" t="s">
        <v>81</v>
      </c>
      <c r="D13" s="6" t="s">
        <v>29</v>
      </c>
      <c r="E13" s="7">
        <v>0</v>
      </c>
      <c r="F13" s="8">
        <v>2.9</v>
      </c>
      <c r="G13" s="8">
        <f t="shared" ref="G13:G14" si="3">TRUNC((F13*1.2423),2)</f>
        <v>3.6</v>
      </c>
      <c r="H13" s="8">
        <f t="shared" si="2"/>
        <v>0</v>
      </c>
    </row>
    <row r="14" spans="1:8" ht="25.5" x14ac:dyDescent="0.25">
      <c r="A14" s="6" t="s">
        <v>153</v>
      </c>
      <c r="B14" s="11" t="s">
        <v>24</v>
      </c>
      <c r="C14" s="10" t="s">
        <v>36</v>
      </c>
      <c r="D14" s="6" t="s">
        <v>31</v>
      </c>
      <c r="E14" s="7">
        <v>0</v>
      </c>
      <c r="F14" s="8">
        <v>20.82</v>
      </c>
      <c r="G14" s="8">
        <f t="shared" si="3"/>
        <v>25.86</v>
      </c>
      <c r="H14" s="8">
        <f t="shared" si="2"/>
        <v>0</v>
      </c>
    </row>
    <row r="15" spans="1:8" x14ac:dyDescent="0.25">
      <c r="A15" s="45" t="s">
        <v>37</v>
      </c>
      <c r="B15" s="46"/>
      <c r="C15" s="46"/>
      <c r="D15" s="46"/>
      <c r="E15" s="46"/>
      <c r="F15" s="46"/>
      <c r="G15" s="47"/>
      <c r="H15" s="9">
        <f>SUM(H12:H14)</f>
        <v>0</v>
      </c>
    </row>
    <row r="16" spans="1:8" x14ac:dyDescent="0.25">
      <c r="A16" s="2">
        <v>3</v>
      </c>
      <c r="B16" s="54" t="s">
        <v>38</v>
      </c>
      <c r="C16" s="55"/>
      <c r="D16" s="55"/>
      <c r="E16" s="55"/>
      <c r="F16" s="55"/>
      <c r="G16" s="55"/>
      <c r="H16" s="56"/>
    </row>
    <row r="17" spans="1:8" x14ac:dyDescent="0.25">
      <c r="A17" s="2" t="s">
        <v>85</v>
      </c>
      <c r="B17" s="54" t="s">
        <v>248</v>
      </c>
      <c r="C17" s="55"/>
      <c r="D17" s="55"/>
      <c r="E17" s="55"/>
      <c r="F17" s="55"/>
      <c r="G17" s="55"/>
      <c r="H17" s="56"/>
    </row>
    <row r="18" spans="1:8" ht="25.5" x14ac:dyDescent="0.25">
      <c r="A18" s="6" t="s">
        <v>183</v>
      </c>
      <c r="B18" s="6">
        <v>102098</v>
      </c>
      <c r="C18" s="14" t="s">
        <v>86</v>
      </c>
      <c r="D18" s="6" t="s">
        <v>31</v>
      </c>
      <c r="E18" s="7">
        <f>ROUND((53*1.5*0.05),2)</f>
        <v>3.98</v>
      </c>
      <c r="F18" s="8">
        <v>2723.2</v>
      </c>
      <c r="G18" s="8">
        <f>TRUNC((F18*1.2423),2)</f>
        <v>3383.03</v>
      </c>
      <c r="H18" s="8">
        <f>TRUNC((E18*G18),2)</f>
        <v>13464.45</v>
      </c>
    </row>
    <row r="19" spans="1:8" ht="25.5" x14ac:dyDescent="0.25">
      <c r="A19" s="6" t="s">
        <v>184</v>
      </c>
      <c r="B19" s="6">
        <v>102332</v>
      </c>
      <c r="C19" s="10" t="s">
        <v>93</v>
      </c>
      <c r="D19" s="6" t="s">
        <v>23</v>
      </c>
      <c r="E19" s="7">
        <f>ROUND((E18*2.5548*12.5),2)</f>
        <v>127.1</v>
      </c>
      <c r="F19" s="8">
        <v>1.93</v>
      </c>
      <c r="G19" s="8">
        <f t="shared" ref="G19:G33" si="4">TRUNC((F19*1.2423),2)</f>
        <v>2.39</v>
      </c>
      <c r="H19" s="8">
        <f t="shared" ref="H19:H26" si="5">TRUNC((E19*G19),2)</f>
        <v>303.76</v>
      </c>
    </row>
    <row r="20" spans="1:8" ht="38.25" x14ac:dyDescent="0.25">
      <c r="A20" s="6" t="s">
        <v>185</v>
      </c>
      <c r="B20" s="6">
        <v>94273</v>
      </c>
      <c r="C20" s="10" t="s">
        <v>87</v>
      </c>
      <c r="D20" s="6" t="s">
        <v>44</v>
      </c>
      <c r="E20" s="7">
        <v>41</v>
      </c>
      <c r="F20" s="8">
        <v>50.87</v>
      </c>
      <c r="G20" s="8">
        <f t="shared" si="4"/>
        <v>63.19</v>
      </c>
      <c r="H20" s="8">
        <f t="shared" si="5"/>
        <v>2590.79</v>
      </c>
    </row>
    <row r="21" spans="1:8" ht="25.5" x14ac:dyDescent="0.25">
      <c r="A21" s="6" t="s">
        <v>186</v>
      </c>
      <c r="B21" s="6">
        <v>100947</v>
      </c>
      <c r="C21" s="10" t="s">
        <v>94</v>
      </c>
      <c r="D21" s="6" t="s">
        <v>23</v>
      </c>
      <c r="E21" s="7">
        <f>ROUND((E20*0.9*26),2)</f>
        <v>959.4</v>
      </c>
      <c r="F21" s="8">
        <v>2.4</v>
      </c>
      <c r="G21" s="8">
        <f t="shared" si="4"/>
        <v>2.98</v>
      </c>
      <c r="H21" s="8">
        <f t="shared" ref="H21" si="6">TRUNC((E21*G21),2)</f>
        <v>2859.01</v>
      </c>
    </row>
    <row r="22" spans="1:8" ht="38.25" x14ac:dyDescent="0.25">
      <c r="A22" s="6" t="s">
        <v>187</v>
      </c>
      <c r="B22" s="6">
        <v>102281</v>
      </c>
      <c r="C22" s="10" t="s">
        <v>39</v>
      </c>
      <c r="D22" s="6" t="s">
        <v>31</v>
      </c>
      <c r="E22" s="7">
        <f>ROUND(((E27*1.5*1.5)+(E26*1*1)),2)</f>
        <v>185.5</v>
      </c>
      <c r="F22" s="8">
        <v>6.19</v>
      </c>
      <c r="G22" s="8">
        <f t="shared" si="4"/>
        <v>7.68</v>
      </c>
      <c r="H22" s="8">
        <f t="shared" si="5"/>
        <v>1424.64</v>
      </c>
    </row>
    <row r="23" spans="1:8" ht="38.25" x14ac:dyDescent="0.25">
      <c r="A23" s="6" t="s">
        <v>188</v>
      </c>
      <c r="B23" s="6">
        <v>93368</v>
      </c>
      <c r="C23" s="10" t="s">
        <v>40</v>
      </c>
      <c r="D23" s="6" t="s">
        <v>31</v>
      </c>
      <c r="E23" s="7">
        <f>ROUND((E22-((E26*0.18)+(E27*0.72))),2)</f>
        <v>127.54</v>
      </c>
      <c r="F23" s="8">
        <v>23.89</v>
      </c>
      <c r="G23" s="8">
        <f t="shared" si="4"/>
        <v>29.67</v>
      </c>
      <c r="H23" s="8">
        <f t="shared" si="5"/>
        <v>3784.11</v>
      </c>
    </row>
    <row r="24" spans="1:8" ht="25.5" x14ac:dyDescent="0.25">
      <c r="A24" s="6" t="s">
        <v>189</v>
      </c>
      <c r="B24" s="6">
        <v>101623</v>
      </c>
      <c r="C24" s="10" t="s">
        <v>41</v>
      </c>
      <c r="D24" s="6" t="s">
        <v>31</v>
      </c>
      <c r="E24" s="7">
        <f>ROUND(((E26*0.5*0.1)+(E27*1*0.1)),2)</f>
        <v>8.3000000000000007</v>
      </c>
      <c r="F24" s="8">
        <v>253.05</v>
      </c>
      <c r="G24" s="8">
        <f t="shared" si="4"/>
        <v>314.36</v>
      </c>
      <c r="H24" s="8">
        <f t="shared" si="5"/>
        <v>2609.1799999999998</v>
      </c>
    </row>
    <row r="25" spans="1:8" ht="25.5" x14ac:dyDescent="0.25">
      <c r="A25" s="6" t="s">
        <v>190</v>
      </c>
      <c r="B25" s="6">
        <v>93589</v>
      </c>
      <c r="C25" s="12" t="s">
        <v>95</v>
      </c>
      <c r="D25" s="6" t="s">
        <v>29</v>
      </c>
      <c r="E25" s="7">
        <f>ROUND((E24*12.5),2)</f>
        <v>103.75</v>
      </c>
      <c r="F25" s="8">
        <v>2.9</v>
      </c>
      <c r="G25" s="8">
        <f t="shared" si="4"/>
        <v>3.6</v>
      </c>
      <c r="H25" s="8">
        <f t="shared" si="5"/>
        <v>373.5</v>
      </c>
    </row>
    <row r="26" spans="1:8" ht="38.25" x14ac:dyDescent="0.25">
      <c r="A26" s="6" t="s">
        <v>191</v>
      </c>
      <c r="B26" s="6">
        <v>92210</v>
      </c>
      <c r="C26" s="12" t="s">
        <v>89</v>
      </c>
      <c r="D26" s="6" t="s">
        <v>44</v>
      </c>
      <c r="E26" s="7">
        <v>10</v>
      </c>
      <c r="F26" s="8">
        <v>173.44</v>
      </c>
      <c r="G26" s="8">
        <f t="shared" si="4"/>
        <v>215.46</v>
      </c>
      <c r="H26" s="8">
        <f t="shared" si="5"/>
        <v>2154.6</v>
      </c>
    </row>
    <row r="27" spans="1:8" ht="38.25" x14ac:dyDescent="0.25">
      <c r="A27" s="6" t="s">
        <v>192</v>
      </c>
      <c r="B27" s="6">
        <v>92214</v>
      </c>
      <c r="C27" s="10" t="s">
        <v>45</v>
      </c>
      <c r="D27" s="6" t="s">
        <v>44</v>
      </c>
      <c r="E27" s="7">
        <f>23+55</f>
        <v>78</v>
      </c>
      <c r="F27" s="8">
        <v>520.55999999999995</v>
      </c>
      <c r="G27" s="8">
        <f t="shared" si="4"/>
        <v>646.69000000000005</v>
      </c>
      <c r="H27" s="8">
        <f t="shared" ref="H27:H33" si="7">TRUNC((E27*G27),2)</f>
        <v>50441.82</v>
      </c>
    </row>
    <row r="28" spans="1:8" ht="25.5" x14ac:dyDescent="0.25">
      <c r="A28" s="6" t="s">
        <v>193</v>
      </c>
      <c r="B28" s="6">
        <v>100947</v>
      </c>
      <c r="C28" s="10" t="s">
        <v>94</v>
      </c>
      <c r="D28" s="6" t="s">
        <v>23</v>
      </c>
      <c r="E28" s="7">
        <f>ROUND((((E26*0.19)+(E27*0.57))*26),2)</f>
        <v>1205.3599999999999</v>
      </c>
      <c r="F28" s="8">
        <v>2.4</v>
      </c>
      <c r="G28" s="8">
        <f t="shared" si="4"/>
        <v>2.98</v>
      </c>
      <c r="H28" s="8">
        <f t="shared" si="7"/>
        <v>3591.97</v>
      </c>
    </row>
    <row r="29" spans="1:8" ht="25.5" x14ac:dyDescent="0.25">
      <c r="A29" s="6" t="s">
        <v>194</v>
      </c>
      <c r="B29" s="6">
        <v>102739</v>
      </c>
      <c r="C29" s="10" t="s">
        <v>48</v>
      </c>
      <c r="D29" s="6" t="s">
        <v>25</v>
      </c>
      <c r="E29" s="7">
        <v>1</v>
      </c>
      <c r="F29" s="8">
        <v>3913.7</v>
      </c>
      <c r="G29" s="8">
        <f t="shared" si="4"/>
        <v>4861.9799999999996</v>
      </c>
      <c r="H29" s="8">
        <f t="shared" si="7"/>
        <v>4861.9799999999996</v>
      </c>
    </row>
    <row r="30" spans="1:8" ht="25.5" x14ac:dyDescent="0.25">
      <c r="A30" s="6" t="s">
        <v>195</v>
      </c>
      <c r="B30" s="6">
        <v>97956</v>
      </c>
      <c r="C30" s="10" t="s">
        <v>90</v>
      </c>
      <c r="D30" s="6" t="s">
        <v>25</v>
      </c>
      <c r="E30" s="7">
        <v>1</v>
      </c>
      <c r="F30" s="8">
        <v>1683.94</v>
      </c>
      <c r="G30" s="8">
        <f t="shared" si="4"/>
        <v>2091.9499999999998</v>
      </c>
      <c r="H30" s="8">
        <f t="shared" si="7"/>
        <v>2091.9499999999998</v>
      </c>
    </row>
    <row r="31" spans="1:8" ht="38.25" x14ac:dyDescent="0.25">
      <c r="A31" s="6" t="s">
        <v>196</v>
      </c>
      <c r="B31" s="6">
        <v>99290</v>
      </c>
      <c r="C31" s="12" t="s">
        <v>91</v>
      </c>
      <c r="D31" s="6" t="s">
        <v>25</v>
      </c>
      <c r="E31" s="7">
        <v>2</v>
      </c>
      <c r="F31" s="8">
        <v>4475.13</v>
      </c>
      <c r="G31" s="8">
        <f t="shared" si="4"/>
        <v>5559.45</v>
      </c>
      <c r="H31" s="8">
        <f t="shared" si="7"/>
        <v>11118.9</v>
      </c>
    </row>
    <row r="32" spans="1:8" ht="25.5" x14ac:dyDescent="0.25">
      <c r="A32" s="6" t="s">
        <v>197</v>
      </c>
      <c r="B32" s="6">
        <v>99241</v>
      </c>
      <c r="C32" s="10" t="s">
        <v>92</v>
      </c>
      <c r="D32" s="6" t="s">
        <v>44</v>
      </c>
      <c r="E32" s="7">
        <v>1</v>
      </c>
      <c r="F32" s="8">
        <v>2045.58</v>
      </c>
      <c r="G32" s="8">
        <f t="shared" si="4"/>
        <v>2541.2199999999998</v>
      </c>
      <c r="H32" s="8">
        <f t="shared" si="7"/>
        <v>2541.2199999999998</v>
      </c>
    </row>
    <row r="33" spans="1:8" x14ac:dyDescent="0.25">
      <c r="A33" s="6" t="s">
        <v>198</v>
      </c>
      <c r="B33" s="6" t="s">
        <v>181</v>
      </c>
      <c r="C33" s="12" t="s">
        <v>182</v>
      </c>
      <c r="D33" s="6" t="s">
        <v>25</v>
      </c>
      <c r="E33" s="7">
        <v>2</v>
      </c>
      <c r="F33" s="8">
        <f>COMPOSIÇÕES!F83</f>
        <v>2013.6100000000001</v>
      </c>
      <c r="G33" s="8">
        <f t="shared" si="4"/>
        <v>2501.5</v>
      </c>
      <c r="H33" s="8">
        <f t="shared" si="7"/>
        <v>5003</v>
      </c>
    </row>
    <row r="34" spans="1:8" x14ac:dyDescent="0.25">
      <c r="A34" s="45" t="s">
        <v>97</v>
      </c>
      <c r="B34" s="46"/>
      <c r="C34" s="46"/>
      <c r="D34" s="46"/>
      <c r="E34" s="46"/>
      <c r="F34" s="46"/>
      <c r="G34" s="47"/>
      <c r="H34" s="9">
        <f>SUM(H18:H33)</f>
        <v>109214.87999999999</v>
      </c>
    </row>
    <row r="35" spans="1:8" x14ac:dyDescent="0.25">
      <c r="A35" s="2" t="s">
        <v>100</v>
      </c>
      <c r="B35" s="54" t="s">
        <v>229</v>
      </c>
      <c r="C35" s="55"/>
      <c r="D35" s="55"/>
      <c r="E35" s="55"/>
      <c r="F35" s="55"/>
      <c r="G35" s="55"/>
      <c r="H35" s="56"/>
    </row>
    <row r="36" spans="1:8" ht="38.25" x14ac:dyDescent="0.25">
      <c r="A36" s="6" t="s">
        <v>206</v>
      </c>
      <c r="B36" s="6">
        <v>102281</v>
      </c>
      <c r="C36" s="10" t="s">
        <v>39</v>
      </c>
      <c r="D36" s="6" t="s">
        <v>31</v>
      </c>
      <c r="E36" s="7">
        <f>ROUND((E41*3),2)</f>
        <v>600</v>
      </c>
      <c r="F36" s="8">
        <v>6.19</v>
      </c>
      <c r="G36" s="8">
        <f>TRUNC((F36*1.2423),2)</f>
        <v>7.68</v>
      </c>
      <c r="H36" s="8">
        <f t="shared" ref="H36:H37" si="8">TRUNC((E36*G36),2)</f>
        <v>4608</v>
      </c>
    </row>
    <row r="37" spans="1:8" ht="25.5" x14ac:dyDescent="0.25">
      <c r="A37" s="6" t="s">
        <v>207</v>
      </c>
      <c r="B37" s="11" t="s">
        <v>159</v>
      </c>
      <c r="C37" s="12" t="s">
        <v>116</v>
      </c>
      <c r="D37" s="6" t="s">
        <v>31</v>
      </c>
      <c r="E37" s="7">
        <f>ROUND((E41*1.5*0.2),2)</f>
        <v>60</v>
      </c>
      <c r="F37" s="8">
        <v>133.04</v>
      </c>
      <c r="G37" s="8">
        <f t="shared" ref="G37:G46" si="9">TRUNC((F37*1.2423),2)</f>
        <v>165.27</v>
      </c>
      <c r="H37" s="8">
        <f t="shared" si="8"/>
        <v>9916.2000000000007</v>
      </c>
    </row>
    <row r="38" spans="1:8" ht="38.25" x14ac:dyDescent="0.25">
      <c r="A38" s="6" t="s">
        <v>208</v>
      </c>
      <c r="B38" s="6">
        <v>100978</v>
      </c>
      <c r="C38" s="10" t="s">
        <v>33</v>
      </c>
      <c r="D38" s="6" t="s">
        <v>31</v>
      </c>
      <c r="E38" s="7">
        <f>E37</f>
        <v>60</v>
      </c>
      <c r="F38" s="8">
        <v>7.62</v>
      </c>
      <c r="G38" s="8">
        <f t="shared" si="9"/>
        <v>9.4600000000000009</v>
      </c>
      <c r="H38" s="8">
        <f t="shared" ref="H38:H46" si="10">TRUNC((E38*G38),2)</f>
        <v>567.6</v>
      </c>
    </row>
    <row r="39" spans="1:8" ht="25.5" x14ac:dyDescent="0.25">
      <c r="A39" s="6" t="s">
        <v>209</v>
      </c>
      <c r="B39" s="6">
        <v>93589</v>
      </c>
      <c r="C39" s="10" t="s">
        <v>122</v>
      </c>
      <c r="D39" s="6" t="s">
        <v>29</v>
      </c>
      <c r="E39" s="7">
        <f>ROUND((E37*1.25*8),2)</f>
        <v>600</v>
      </c>
      <c r="F39" s="8">
        <v>2.9</v>
      </c>
      <c r="G39" s="8">
        <f t="shared" si="9"/>
        <v>3.6</v>
      </c>
      <c r="H39" s="8">
        <f t="shared" si="10"/>
        <v>2160</v>
      </c>
    </row>
    <row r="40" spans="1:8" ht="38.25" x14ac:dyDescent="0.25">
      <c r="A40" s="6" t="s">
        <v>210</v>
      </c>
      <c r="B40" s="6">
        <v>93368</v>
      </c>
      <c r="C40" s="10" t="s">
        <v>40</v>
      </c>
      <c r="D40" s="6" t="s">
        <v>31</v>
      </c>
      <c r="E40" s="7">
        <f>ROUND((8.37*E41),2)</f>
        <v>1674</v>
      </c>
      <c r="F40" s="8">
        <v>23.89</v>
      </c>
      <c r="G40" s="8">
        <f t="shared" si="9"/>
        <v>29.67</v>
      </c>
      <c r="H40" s="8">
        <f t="shared" si="10"/>
        <v>49667.58</v>
      </c>
    </row>
    <row r="41" spans="1:8" ht="38.25" x14ac:dyDescent="0.25">
      <c r="A41" s="6" t="s">
        <v>211</v>
      </c>
      <c r="B41" s="6">
        <v>92216</v>
      </c>
      <c r="C41" s="10" t="s">
        <v>43</v>
      </c>
      <c r="D41" s="6" t="s">
        <v>44</v>
      </c>
      <c r="E41" s="7">
        <v>200</v>
      </c>
      <c r="F41" s="8">
        <v>620.05999999999995</v>
      </c>
      <c r="G41" s="8">
        <f t="shared" si="9"/>
        <v>770.3</v>
      </c>
      <c r="H41" s="8">
        <f t="shared" si="10"/>
        <v>154060</v>
      </c>
    </row>
    <row r="42" spans="1:8" ht="38.25" x14ac:dyDescent="0.25">
      <c r="A42" s="6" t="s">
        <v>212</v>
      </c>
      <c r="B42" s="6">
        <v>92839</v>
      </c>
      <c r="C42" s="10" t="s">
        <v>121</v>
      </c>
      <c r="D42" s="6" t="s">
        <v>44</v>
      </c>
      <c r="E42" s="7">
        <v>40</v>
      </c>
      <c r="F42" s="8">
        <v>545.37</v>
      </c>
      <c r="G42" s="8">
        <f t="shared" si="9"/>
        <v>677.51</v>
      </c>
      <c r="H42" s="8">
        <f t="shared" si="10"/>
        <v>27100.400000000001</v>
      </c>
    </row>
    <row r="43" spans="1:8" ht="25.5" x14ac:dyDescent="0.25">
      <c r="A43" s="6" t="s">
        <v>213</v>
      </c>
      <c r="B43" s="6">
        <v>100947</v>
      </c>
      <c r="C43" s="10" t="s">
        <v>94</v>
      </c>
      <c r="D43" s="6" t="s">
        <v>23</v>
      </c>
      <c r="E43" s="7">
        <f>ROUND((((E41*1.08)+(E42*0.335))*26),2)</f>
        <v>5964.4</v>
      </c>
      <c r="F43" s="8">
        <v>2.4</v>
      </c>
      <c r="G43" s="8">
        <f t="shared" si="9"/>
        <v>2.98</v>
      </c>
      <c r="H43" s="8">
        <f t="shared" si="10"/>
        <v>17773.91</v>
      </c>
    </row>
    <row r="44" spans="1:8" ht="38.25" x14ac:dyDescent="0.25">
      <c r="A44" s="6" t="s">
        <v>214</v>
      </c>
      <c r="B44" s="6">
        <v>99290</v>
      </c>
      <c r="C44" s="12" t="s">
        <v>91</v>
      </c>
      <c r="D44" s="6" t="s">
        <v>25</v>
      </c>
      <c r="E44" s="7">
        <v>6</v>
      </c>
      <c r="F44" s="8">
        <v>4475.13</v>
      </c>
      <c r="G44" s="8">
        <f t="shared" si="9"/>
        <v>5559.45</v>
      </c>
      <c r="H44" s="8">
        <f t="shared" si="10"/>
        <v>33356.699999999997</v>
      </c>
    </row>
    <row r="45" spans="1:8" ht="25.5" x14ac:dyDescent="0.25">
      <c r="A45" s="6" t="s">
        <v>215</v>
      </c>
      <c r="B45" s="6">
        <v>99241</v>
      </c>
      <c r="C45" s="10" t="s">
        <v>92</v>
      </c>
      <c r="D45" s="6" t="s">
        <v>44</v>
      </c>
      <c r="E45" s="7">
        <f>6*1</f>
        <v>6</v>
      </c>
      <c r="F45" s="8">
        <v>2045.58</v>
      </c>
      <c r="G45" s="8">
        <f t="shared" si="9"/>
        <v>2541.2199999999998</v>
      </c>
      <c r="H45" s="8">
        <f t="shared" si="10"/>
        <v>15247.32</v>
      </c>
    </row>
    <row r="46" spans="1:8" x14ac:dyDescent="0.25">
      <c r="A46" s="6" t="s">
        <v>216</v>
      </c>
      <c r="B46" s="6" t="s">
        <v>204</v>
      </c>
      <c r="C46" s="10" t="s">
        <v>205</v>
      </c>
      <c r="D46" s="6" t="s">
        <v>25</v>
      </c>
      <c r="E46" s="7">
        <v>6</v>
      </c>
      <c r="F46" s="8">
        <f>COMPOSIÇÕES!F57</f>
        <v>389.96000000000004</v>
      </c>
      <c r="G46" s="8">
        <f t="shared" si="9"/>
        <v>484.44</v>
      </c>
      <c r="H46" s="8">
        <f t="shared" si="10"/>
        <v>2906.64</v>
      </c>
    </row>
    <row r="47" spans="1:8" x14ac:dyDescent="0.25">
      <c r="A47" s="45" t="s">
        <v>99</v>
      </c>
      <c r="B47" s="46"/>
      <c r="C47" s="46"/>
      <c r="D47" s="46"/>
      <c r="E47" s="46"/>
      <c r="F47" s="46"/>
      <c r="G47" s="47"/>
      <c r="H47" s="9">
        <f>SUM(H36:H46)</f>
        <v>317364.35000000003</v>
      </c>
    </row>
    <row r="48" spans="1:8" x14ac:dyDescent="0.25">
      <c r="A48" s="45" t="s">
        <v>49</v>
      </c>
      <c r="B48" s="46"/>
      <c r="C48" s="46"/>
      <c r="D48" s="46"/>
      <c r="E48" s="46"/>
      <c r="F48" s="46"/>
      <c r="G48" s="47"/>
      <c r="H48" s="9">
        <f>H34+H47</f>
        <v>426579.23000000004</v>
      </c>
    </row>
    <row r="49" spans="1:8" x14ac:dyDescent="0.25">
      <c r="A49" s="2">
        <v>4</v>
      </c>
      <c r="B49" s="54" t="s">
        <v>51</v>
      </c>
      <c r="C49" s="55"/>
      <c r="D49" s="55"/>
      <c r="E49" s="55"/>
      <c r="F49" s="55"/>
      <c r="G49" s="55"/>
      <c r="H49" s="56"/>
    </row>
    <row r="50" spans="1:8" x14ac:dyDescent="0.25">
      <c r="A50" s="6" t="s">
        <v>148</v>
      </c>
      <c r="B50" s="6" t="s">
        <v>21</v>
      </c>
      <c r="C50" s="10" t="s">
        <v>52</v>
      </c>
      <c r="D50" s="7" t="s">
        <v>23</v>
      </c>
      <c r="E50" s="7">
        <f>E8</f>
        <v>780</v>
      </c>
      <c r="F50" s="8">
        <f>COMPOSIÇÕES!F20</f>
        <v>1.8599999999999999</v>
      </c>
      <c r="G50" s="8">
        <f>TRUNC((F50*1.2423),2)</f>
        <v>2.31</v>
      </c>
      <c r="H50" s="8">
        <f>TRUNC((E50*G50),2)</f>
        <v>1801.8</v>
      </c>
    </row>
    <row r="51" spans="1:8" x14ac:dyDescent="0.25">
      <c r="A51" s="6" t="s">
        <v>149</v>
      </c>
      <c r="B51" s="6" t="s">
        <v>178</v>
      </c>
      <c r="C51" s="10" t="s">
        <v>179</v>
      </c>
      <c r="D51" s="7" t="s">
        <v>56</v>
      </c>
      <c r="E51" s="7">
        <v>20</v>
      </c>
      <c r="F51" s="8">
        <v>677.2</v>
      </c>
      <c r="G51" s="8">
        <f t="shared" ref="G51:G53" si="11">TRUNC((F51*1.2423),2)</f>
        <v>841.28</v>
      </c>
      <c r="H51" s="8">
        <f>TRUNC((E51*G51),2)</f>
        <v>16825.599999999999</v>
      </c>
    </row>
    <row r="52" spans="1:8" ht="25.5" x14ac:dyDescent="0.25">
      <c r="A52" s="6" t="s">
        <v>150</v>
      </c>
      <c r="B52" s="6">
        <v>88908</v>
      </c>
      <c r="C52" s="10" t="s">
        <v>53</v>
      </c>
      <c r="D52" s="7" t="s">
        <v>54</v>
      </c>
      <c r="E52" s="7">
        <v>15</v>
      </c>
      <c r="F52" s="8">
        <v>112.37</v>
      </c>
      <c r="G52" s="8">
        <f t="shared" si="11"/>
        <v>139.59</v>
      </c>
      <c r="H52" s="8">
        <f>TRUNC((E52*G52),2)</f>
        <v>2093.85</v>
      </c>
    </row>
    <row r="53" spans="1:8" ht="25.5" x14ac:dyDescent="0.25">
      <c r="A53" s="6" t="s">
        <v>177</v>
      </c>
      <c r="B53" s="6">
        <v>88907</v>
      </c>
      <c r="C53" s="10" t="s">
        <v>55</v>
      </c>
      <c r="D53" s="7" t="s">
        <v>56</v>
      </c>
      <c r="E53" s="7">
        <v>30</v>
      </c>
      <c r="F53" s="8">
        <v>275.02999999999997</v>
      </c>
      <c r="G53" s="8">
        <f t="shared" si="11"/>
        <v>341.66</v>
      </c>
      <c r="H53" s="8">
        <f>TRUNC((E53*G53),2)</f>
        <v>10249.799999999999</v>
      </c>
    </row>
    <row r="54" spans="1:8" x14ac:dyDescent="0.25">
      <c r="A54" s="45" t="s">
        <v>50</v>
      </c>
      <c r="B54" s="46"/>
      <c r="C54" s="46"/>
      <c r="D54" s="46"/>
      <c r="E54" s="46"/>
      <c r="F54" s="46"/>
      <c r="G54" s="47"/>
      <c r="H54" s="9">
        <f>SUM(H50:H53)</f>
        <v>30971.049999999996</v>
      </c>
    </row>
    <row r="55" spans="1:8" x14ac:dyDescent="0.25">
      <c r="A55" s="45" t="s">
        <v>57</v>
      </c>
      <c r="B55" s="46"/>
      <c r="C55" s="46"/>
      <c r="D55" s="46"/>
      <c r="E55" s="46"/>
      <c r="F55" s="46"/>
      <c r="G55" s="47"/>
      <c r="H55" s="13">
        <f>H10+H15+H48+H54</f>
        <v>479144.97000000003</v>
      </c>
    </row>
    <row r="57" spans="1:8" x14ac:dyDescent="0.25">
      <c r="C57" s="1" t="s">
        <v>240</v>
      </c>
    </row>
    <row r="58" spans="1:8" x14ac:dyDescent="0.25">
      <c r="G58" s="23"/>
      <c r="H58" s="23"/>
    </row>
    <row r="59" spans="1:8" x14ac:dyDescent="0.25">
      <c r="E59" s="57"/>
      <c r="F59" s="57"/>
      <c r="G59" s="57"/>
      <c r="H59" s="57"/>
    </row>
    <row r="60" spans="1:8" x14ac:dyDescent="0.25">
      <c r="E60" s="58" t="s">
        <v>241</v>
      </c>
      <c r="F60" s="58"/>
      <c r="G60" s="58"/>
      <c r="H60" s="58"/>
    </row>
    <row r="70" spans="1:10" ht="15.75" x14ac:dyDescent="0.25">
      <c r="F70" s="24"/>
      <c r="G70" s="24"/>
      <c r="H70" s="24"/>
    </row>
    <row r="71" spans="1:10" ht="15.75" x14ac:dyDescent="0.25">
      <c r="F71" s="24">
        <v>596900.88</v>
      </c>
      <c r="G71" s="24">
        <f>F71-H85</f>
        <v>479144.97</v>
      </c>
      <c r="H71" s="24">
        <f>G71*0.15</f>
        <v>71871.74549999999</v>
      </c>
    </row>
    <row r="72" spans="1:10" ht="15.75" x14ac:dyDescent="0.25">
      <c r="F72" s="24"/>
      <c r="G72" s="24"/>
      <c r="H72" s="24">
        <f>G71-H71</f>
        <v>407273.22450000001</v>
      </c>
    </row>
    <row r="73" spans="1:10" ht="15.75" x14ac:dyDescent="0.25">
      <c r="F73" s="24"/>
      <c r="G73" s="24"/>
      <c r="H73" s="24"/>
    </row>
    <row r="74" spans="1:10" x14ac:dyDescent="0.25">
      <c r="F74" s="1" t="s">
        <v>230</v>
      </c>
      <c r="G74" s="23">
        <v>109214.88</v>
      </c>
      <c r="H74" s="23">
        <f>G74+(G77/2)</f>
        <v>135497.75</v>
      </c>
      <c r="I74" s="23">
        <f>H74*0.15</f>
        <v>20324.662499999999</v>
      </c>
      <c r="J74" s="23">
        <f>H74-I74</f>
        <v>115173.08749999999</v>
      </c>
    </row>
    <row r="75" spans="1:10" x14ac:dyDescent="0.25">
      <c r="F75" s="1" t="s">
        <v>231</v>
      </c>
      <c r="G75" s="23">
        <v>317364.34999999998</v>
      </c>
      <c r="H75" s="23">
        <f>G75+(G77/2)</f>
        <v>343647.22</v>
      </c>
      <c r="I75" s="23">
        <f>H75*0.15</f>
        <v>51547.082999999991</v>
      </c>
      <c r="J75" s="23">
        <f>H75-I75</f>
        <v>292100.13699999999</v>
      </c>
    </row>
    <row r="76" spans="1:10" x14ac:dyDescent="0.25">
      <c r="G76" s="23"/>
      <c r="H76" s="23"/>
      <c r="I76" s="23"/>
    </row>
    <row r="77" spans="1:10" x14ac:dyDescent="0.25">
      <c r="G77" s="1">
        <f>30971.05+21594.69</f>
        <v>52565.74</v>
      </c>
      <c r="H77" s="23">
        <f>SUM(H74:H76)</f>
        <v>479144.97</v>
      </c>
      <c r="I77" s="23"/>
    </row>
    <row r="78" spans="1:10" x14ac:dyDescent="0.25">
      <c r="A78" s="16" t="s">
        <v>96</v>
      </c>
      <c r="B78" s="62" t="s">
        <v>98</v>
      </c>
      <c r="C78" s="63"/>
      <c r="D78" s="63"/>
      <c r="E78" s="63"/>
      <c r="F78" s="63"/>
      <c r="G78" s="63"/>
      <c r="H78" s="64"/>
    </row>
    <row r="79" spans="1:10" ht="25.5" x14ac:dyDescent="0.25">
      <c r="A79" s="17" t="s">
        <v>199</v>
      </c>
      <c r="B79" s="17">
        <v>99241</v>
      </c>
      <c r="C79" s="18" t="s">
        <v>92</v>
      </c>
      <c r="D79" s="17" t="s">
        <v>44</v>
      </c>
      <c r="E79" s="19">
        <v>2</v>
      </c>
      <c r="F79" s="20">
        <v>2045.58</v>
      </c>
      <c r="G79" s="20">
        <f>TRUNC((F79*1.2423),2)</f>
        <v>2541.2199999999998</v>
      </c>
      <c r="H79" s="20">
        <f>TRUNC((E79*G79),2)</f>
        <v>5082.4399999999996</v>
      </c>
    </row>
    <row r="80" spans="1:10" ht="38.25" x14ac:dyDescent="0.25">
      <c r="A80" s="17" t="s">
        <v>200</v>
      </c>
      <c r="B80" s="17">
        <v>99252</v>
      </c>
      <c r="C80" s="21" t="s">
        <v>217</v>
      </c>
      <c r="D80" s="17" t="s">
        <v>25</v>
      </c>
      <c r="E80" s="19">
        <v>4</v>
      </c>
      <c r="F80" s="20">
        <v>2844.73</v>
      </c>
      <c r="G80" s="20">
        <f t="shared" ref="G80:G84" si="12">TRUNC((F80*1.2423),2)</f>
        <v>3534</v>
      </c>
      <c r="H80" s="20">
        <f>TRUNC((E80*G80),2)</f>
        <v>14136</v>
      </c>
    </row>
    <row r="81" spans="1:8" x14ac:dyDescent="0.25">
      <c r="A81" s="17" t="s">
        <v>201</v>
      </c>
      <c r="B81" s="17" t="s">
        <v>218</v>
      </c>
      <c r="C81" s="21" t="s">
        <v>219</v>
      </c>
      <c r="D81" s="17" t="s">
        <v>25</v>
      </c>
      <c r="E81" s="19">
        <v>4</v>
      </c>
      <c r="F81" s="20">
        <f>COMPOSIÇÕES!F41</f>
        <v>1086.6000000000001</v>
      </c>
      <c r="G81" s="20">
        <f t="shared" si="12"/>
        <v>1349.88</v>
      </c>
      <c r="H81" s="20">
        <f t="shared" ref="H81" si="13">TRUNC((E81*G81),2)</f>
        <v>5399.52</v>
      </c>
    </row>
    <row r="82" spans="1:8" ht="25.5" x14ac:dyDescent="0.25">
      <c r="A82" s="17" t="s">
        <v>202</v>
      </c>
      <c r="B82" s="17">
        <v>98525</v>
      </c>
      <c r="C82" s="21" t="s">
        <v>28</v>
      </c>
      <c r="D82" s="17" t="s">
        <v>17</v>
      </c>
      <c r="E82" s="19">
        <v>6629.03</v>
      </c>
      <c r="F82" s="20">
        <v>0.71</v>
      </c>
      <c r="G82" s="20">
        <f t="shared" si="12"/>
        <v>0.88</v>
      </c>
      <c r="H82" s="20">
        <f>TRUNC((E82*G82),2)</f>
        <v>5833.54</v>
      </c>
    </row>
    <row r="83" spans="1:8" ht="38.25" x14ac:dyDescent="0.25">
      <c r="A83" s="17" t="s">
        <v>203</v>
      </c>
      <c r="B83" s="17">
        <v>101136</v>
      </c>
      <c r="C83" s="21" t="s">
        <v>30</v>
      </c>
      <c r="D83" s="17" t="s">
        <v>31</v>
      </c>
      <c r="E83" s="19">
        <f>ROUND((E82*0.5),2)</f>
        <v>3314.52</v>
      </c>
      <c r="F83" s="20">
        <v>14.93</v>
      </c>
      <c r="G83" s="20">
        <f t="shared" si="12"/>
        <v>18.54</v>
      </c>
      <c r="H83" s="20">
        <f>TRUNC((E83*G83),2)</f>
        <v>61451.199999999997</v>
      </c>
    </row>
    <row r="84" spans="1:8" ht="25.5" x14ac:dyDescent="0.25">
      <c r="A84" s="17" t="s">
        <v>220</v>
      </c>
      <c r="B84" s="17">
        <v>100576</v>
      </c>
      <c r="C84" s="21" t="s">
        <v>32</v>
      </c>
      <c r="D84" s="17" t="s">
        <v>17</v>
      </c>
      <c r="E84" s="19">
        <f>E82</f>
        <v>6629.03</v>
      </c>
      <c r="F84" s="20">
        <v>3.14</v>
      </c>
      <c r="G84" s="20">
        <f t="shared" si="12"/>
        <v>3.9</v>
      </c>
      <c r="H84" s="20">
        <f>TRUNC((E84*G84),2)</f>
        <v>25853.21</v>
      </c>
    </row>
    <row r="85" spans="1:8" x14ac:dyDescent="0.25">
      <c r="A85" s="59" t="s">
        <v>99</v>
      </c>
      <c r="B85" s="60"/>
      <c r="C85" s="60"/>
      <c r="D85" s="60"/>
      <c r="E85" s="60"/>
      <c r="F85" s="60"/>
      <c r="G85" s="61"/>
      <c r="H85" s="22">
        <f>SUM(H79:H84)</f>
        <v>117755.91</v>
      </c>
    </row>
  </sheetData>
  <mergeCells count="23">
    <mergeCell ref="A4:H4"/>
    <mergeCell ref="A34:G34"/>
    <mergeCell ref="B6:H6"/>
    <mergeCell ref="A10:G10"/>
    <mergeCell ref="B11:H11"/>
    <mergeCell ref="A15:G15"/>
    <mergeCell ref="B16:H16"/>
    <mergeCell ref="A1:H1"/>
    <mergeCell ref="A2:B2"/>
    <mergeCell ref="E2:H2"/>
    <mergeCell ref="A3:B3"/>
    <mergeCell ref="E3:H3"/>
    <mergeCell ref="A85:G85"/>
    <mergeCell ref="B35:H35"/>
    <mergeCell ref="A47:G47"/>
    <mergeCell ref="B17:H17"/>
    <mergeCell ref="B78:H78"/>
    <mergeCell ref="E59:H59"/>
    <mergeCell ref="E60:H60"/>
    <mergeCell ref="A54:G54"/>
    <mergeCell ref="A55:G55"/>
    <mergeCell ref="B49:H49"/>
    <mergeCell ref="A48:G48"/>
  </mergeCells>
  <phoneticPr fontId="5" type="noConversion"/>
  <pageMargins left="0.511811024" right="0.511811024" top="0.78740157499999996" bottom="0.78740157499999996" header="0.31496062000000002" footer="0.31496062000000002"/>
  <pageSetup paperSize="9" scale="8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534AE-58B9-413B-B929-D6E755EF3B72}">
  <dimension ref="B3:E40"/>
  <sheetViews>
    <sheetView workbookViewId="0">
      <selection activeCell="T49" sqref="T49"/>
    </sheetView>
  </sheetViews>
  <sheetFormatPr defaultRowHeight="15" x14ac:dyDescent="0.25"/>
  <cols>
    <col min="3" max="3" width="18.140625" customWidth="1"/>
    <col min="4" max="4" width="16" customWidth="1"/>
    <col min="5" max="5" width="15.140625" customWidth="1"/>
  </cols>
  <sheetData>
    <row r="3" spans="2:5" ht="15.75" x14ac:dyDescent="0.25">
      <c r="C3" s="25" t="s">
        <v>232</v>
      </c>
      <c r="D3" s="25" t="s">
        <v>233</v>
      </c>
      <c r="E3" s="25" t="s">
        <v>234</v>
      </c>
    </row>
    <row r="5" spans="2:5" ht="15.75" x14ac:dyDescent="0.25">
      <c r="B5" t="s">
        <v>235</v>
      </c>
      <c r="C5" s="33">
        <v>166018.13</v>
      </c>
      <c r="D5" s="34">
        <v>141115.41</v>
      </c>
      <c r="E5" s="34">
        <v>24902.720000000001</v>
      </c>
    </row>
    <row r="6" spans="2:5" ht="15.75" x14ac:dyDescent="0.25">
      <c r="B6" t="s">
        <v>236</v>
      </c>
      <c r="C6" s="27">
        <v>121703.19</v>
      </c>
      <c r="D6" s="27">
        <v>103447.71</v>
      </c>
      <c r="E6" s="27">
        <v>18255.48</v>
      </c>
    </row>
    <row r="7" spans="2:5" ht="15.75" x14ac:dyDescent="0.25">
      <c r="B7" t="s">
        <v>237</v>
      </c>
      <c r="C7" s="27">
        <v>116433.7</v>
      </c>
      <c r="D7" s="27">
        <v>98968.65</v>
      </c>
      <c r="E7" s="27">
        <v>17465.060000000001</v>
      </c>
    </row>
    <row r="8" spans="2:5" ht="15.75" x14ac:dyDescent="0.25">
      <c r="B8" t="s">
        <v>238</v>
      </c>
      <c r="C8" s="27">
        <v>73576.72</v>
      </c>
      <c r="D8" s="27">
        <v>62540.21</v>
      </c>
      <c r="E8" s="27">
        <v>11036.51</v>
      </c>
    </row>
    <row r="9" spans="2:5" ht="15.75" x14ac:dyDescent="0.25">
      <c r="C9" s="32"/>
      <c r="D9" s="32"/>
      <c r="E9" s="32"/>
    </row>
    <row r="11" spans="2:5" x14ac:dyDescent="0.25">
      <c r="C11" s="28">
        <v>491333.97</v>
      </c>
      <c r="D11" s="28">
        <v>417633.87</v>
      </c>
      <c r="E11" s="28">
        <v>73700.100000000006</v>
      </c>
    </row>
    <row r="12" spans="2:5" x14ac:dyDescent="0.25">
      <c r="C12" s="28">
        <v>87422.56</v>
      </c>
      <c r="D12" s="28">
        <v>74309.179999999993</v>
      </c>
      <c r="E12" s="28">
        <v>13113.38</v>
      </c>
    </row>
    <row r="13" spans="2:5" x14ac:dyDescent="0.25">
      <c r="C13" s="28">
        <v>122069.41</v>
      </c>
      <c r="D13" s="28">
        <v>103759</v>
      </c>
      <c r="E13" s="28">
        <v>18310.41</v>
      </c>
    </row>
    <row r="18" spans="3:5" x14ac:dyDescent="0.25">
      <c r="C18" s="29">
        <f>SUM(C5:C17)</f>
        <v>1178557.68</v>
      </c>
      <c r="D18" s="29">
        <f>SUM(D5:D17)</f>
        <v>1001774.03</v>
      </c>
      <c r="E18" s="29">
        <f>SUM(E5:E17)</f>
        <v>176783.66</v>
      </c>
    </row>
    <row r="25" spans="3:5" x14ac:dyDescent="0.25">
      <c r="D25" s="26"/>
    </row>
    <row r="26" spans="3:5" ht="15.75" x14ac:dyDescent="0.25">
      <c r="C26" s="30">
        <v>302572.17</v>
      </c>
      <c r="D26" s="27">
        <f>C26-E26</f>
        <v>257186.34449999998</v>
      </c>
      <c r="E26" s="27">
        <f>C26*0.15</f>
        <v>45385.825499999999</v>
      </c>
    </row>
    <row r="27" spans="3:5" ht="15.75" x14ac:dyDescent="0.25">
      <c r="C27" s="31">
        <v>180756.61</v>
      </c>
      <c r="D27" s="27">
        <f t="shared" ref="D27:D30" si="0">C27-E27</f>
        <v>153643.11849999998</v>
      </c>
      <c r="E27" s="27">
        <f>C27*0.15</f>
        <v>27113.491499999996</v>
      </c>
    </row>
    <row r="28" spans="3:5" ht="15.75" x14ac:dyDescent="0.25">
      <c r="C28" s="31">
        <v>185539.26</v>
      </c>
      <c r="D28" s="27">
        <f t="shared" si="0"/>
        <v>157708.37100000001</v>
      </c>
      <c r="E28" s="27">
        <f>C28*0.15</f>
        <v>27830.888999999999</v>
      </c>
    </row>
    <row r="29" spans="3:5" ht="15.75" x14ac:dyDescent="0.25">
      <c r="C29" s="31">
        <v>135497.75</v>
      </c>
      <c r="D29" s="27">
        <f t="shared" si="0"/>
        <v>115173.08749999999</v>
      </c>
      <c r="E29" s="27">
        <f>C29*0.15</f>
        <v>20324.662499999999</v>
      </c>
    </row>
    <row r="30" spans="3:5" ht="15.75" x14ac:dyDescent="0.25">
      <c r="C30" s="31">
        <v>343647.22</v>
      </c>
      <c r="D30" s="27">
        <f t="shared" si="0"/>
        <v>292100.13699999999</v>
      </c>
      <c r="E30" s="27">
        <f>C30*0.15</f>
        <v>51547.082999999991</v>
      </c>
    </row>
    <row r="32" spans="3:5" x14ac:dyDescent="0.25">
      <c r="C32" s="26">
        <f>SUM(C26:C31)</f>
        <v>1148013.01</v>
      </c>
      <c r="D32" s="26">
        <f>SUM(D26:D31)</f>
        <v>975811.05850000004</v>
      </c>
      <c r="E32" s="26">
        <f>SUM(E26:E31)</f>
        <v>172201.95149999997</v>
      </c>
    </row>
    <row r="35" spans="3:5" x14ac:dyDescent="0.25">
      <c r="C35" s="26">
        <f>C18+C32</f>
        <v>2326570.69</v>
      </c>
      <c r="D35" s="26">
        <f>D18+D32</f>
        <v>1977585.0885000001</v>
      </c>
      <c r="E35" s="26">
        <f>E18+E32</f>
        <v>348985.6115</v>
      </c>
    </row>
    <row r="40" spans="3:5" x14ac:dyDescent="0.25">
      <c r="C40" s="26"/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07389-369B-440C-BBFD-64F73270448F}">
  <sheetPr>
    <pageSetUpPr fitToPage="1"/>
  </sheetPr>
  <dimension ref="A1:O91"/>
  <sheetViews>
    <sheetView tabSelected="1" workbookViewId="0">
      <selection activeCell="R10" sqref="R10"/>
    </sheetView>
  </sheetViews>
  <sheetFormatPr defaultRowHeight="15" x14ac:dyDescent="0.25"/>
  <cols>
    <col min="1" max="1" width="8.5703125" customWidth="1"/>
    <col min="2" max="2" width="61.5703125" customWidth="1"/>
    <col min="3" max="3" width="15" bestFit="1" customWidth="1"/>
    <col min="4" max="4" width="10.140625" bestFit="1" customWidth="1"/>
    <col min="5" max="15" width="14.7109375" customWidth="1"/>
  </cols>
  <sheetData>
    <row r="1" spans="1:15" ht="15.75" x14ac:dyDescent="0.25">
      <c r="A1" s="118" t="s">
        <v>261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20"/>
    </row>
    <row r="2" spans="1:15" x14ac:dyDescent="0.25">
      <c r="A2" s="121" t="str">
        <f>'[1]1.Orçamento'!A2:G2</f>
        <v>PREFEITURA MUNICIPAL DE BOM RETIRO DO SUL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22"/>
    </row>
    <row r="3" spans="1:15" x14ac:dyDescent="0.25">
      <c r="A3" s="123" t="s">
        <v>275</v>
      </c>
      <c r="B3" s="106"/>
      <c r="C3" s="106"/>
      <c r="D3" s="106"/>
      <c r="E3" s="106"/>
      <c r="F3" s="106"/>
      <c r="G3" s="106"/>
      <c r="H3" s="106"/>
      <c r="I3" s="106"/>
      <c r="J3" s="107"/>
      <c r="K3" s="107"/>
      <c r="L3" s="107"/>
      <c r="M3" s="107"/>
      <c r="N3" s="107"/>
      <c r="O3" s="124"/>
    </row>
    <row r="4" spans="1:15" x14ac:dyDescent="0.25">
      <c r="A4" s="125" t="s">
        <v>262</v>
      </c>
      <c r="B4" s="108" t="s">
        <v>263</v>
      </c>
      <c r="C4" s="102" t="s">
        <v>264</v>
      </c>
      <c r="D4" s="103" t="s">
        <v>265</v>
      </c>
      <c r="E4" s="116" t="s">
        <v>266</v>
      </c>
      <c r="F4" s="117"/>
      <c r="G4" s="117"/>
      <c r="H4" s="117"/>
      <c r="I4" s="117"/>
      <c r="J4" s="117"/>
      <c r="K4" s="117"/>
      <c r="L4" s="117"/>
      <c r="M4" s="117"/>
      <c r="N4" s="117"/>
      <c r="O4" s="126"/>
    </row>
    <row r="5" spans="1:15" x14ac:dyDescent="0.25">
      <c r="A5" s="127"/>
      <c r="B5" s="109"/>
      <c r="C5" s="102" t="s">
        <v>267</v>
      </c>
      <c r="D5" s="103" t="s">
        <v>268</v>
      </c>
      <c r="E5" s="103" t="s">
        <v>269</v>
      </c>
      <c r="F5" s="103" t="s">
        <v>270</v>
      </c>
      <c r="G5" s="103" t="s">
        <v>271</v>
      </c>
      <c r="H5" s="103" t="s">
        <v>272</v>
      </c>
      <c r="I5" s="103" t="s">
        <v>273</v>
      </c>
      <c r="J5" s="103" t="s">
        <v>274</v>
      </c>
      <c r="K5" s="103" t="s">
        <v>276</v>
      </c>
      <c r="L5" s="103" t="s">
        <v>277</v>
      </c>
      <c r="M5" s="103" t="s">
        <v>278</v>
      </c>
      <c r="N5" s="104" t="s">
        <v>279</v>
      </c>
      <c r="O5" s="104" t="s">
        <v>280</v>
      </c>
    </row>
    <row r="6" spans="1:15" x14ac:dyDescent="0.25">
      <c r="A6" s="128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29"/>
      <c r="M6" s="129"/>
      <c r="N6" s="129"/>
      <c r="O6" s="130"/>
    </row>
    <row r="7" spans="1:15" ht="31.5" x14ac:dyDescent="0.25">
      <c r="A7" s="131" t="s">
        <v>4</v>
      </c>
      <c r="B7" s="94" t="s">
        <v>249</v>
      </c>
      <c r="C7" s="111" t="s">
        <v>3</v>
      </c>
      <c r="D7" s="66" t="s">
        <v>250</v>
      </c>
      <c r="E7" s="66"/>
      <c r="F7" s="66"/>
      <c r="G7" s="66"/>
      <c r="H7" s="66"/>
      <c r="I7" s="66"/>
      <c r="J7" s="66"/>
      <c r="K7" s="66"/>
      <c r="L7" s="66"/>
      <c r="M7" s="66"/>
      <c r="N7" s="66"/>
      <c r="O7" s="132"/>
    </row>
    <row r="8" spans="1:15" x14ac:dyDescent="0.25">
      <c r="A8" s="133">
        <v>1</v>
      </c>
      <c r="B8" s="95" t="s">
        <v>14</v>
      </c>
      <c r="C8" s="96">
        <v>21282.84</v>
      </c>
      <c r="D8" s="99">
        <v>1</v>
      </c>
      <c r="E8" s="98">
        <f>C8*1</f>
        <v>21282.84</v>
      </c>
      <c r="F8" s="98"/>
      <c r="G8" s="91"/>
      <c r="H8" s="91"/>
      <c r="I8" s="92"/>
      <c r="J8" s="92"/>
      <c r="K8" s="92"/>
      <c r="L8" s="92"/>
      <c r="M8" s="92"/>
      <c r="N8" s="92"/>
      <c r="O8" s="134"/>
    </row>
    <row r="9" spans="1:15" x14ac:dyDescent="0.25">
      <c r="A9" s="133">
        <v>2</v>
      </c>
      <c r="B9" s="95" t="s">
        <v>27</v>
      </c>
      <c r="C9" s="96">
        <v>39816.9</v>
      </c>
      <c r="D9" s="99">
        <v>1</v>
      </c>
      <c r="E9" s="98">
        <f t="shared" ref="E9:E11" si="0">C9*1</f>
        <v>39816.9</v>
      </c>
      <c r="F9" s="98"/>
      <c r="G9" s="91"/>
      <c r="H9" s="91"/>
      <c r="I9" s="91"/>
      <c r="J9" s="93"/>
      <c r="K9" s="93"/>
      <c r="L9" s="93"/>
      <c r="M9" s="93"/>
      <c r="N9" s="93"/>
      <c r="O9" s="135"/>
    </row>
    <row r="10" spans="1:15" x14ac:dyDescent="0.25">
      <c r="A10" s="133">
        <v>3</v>
      </c>
      <c r="B10" s="95" t="s">
        <v>38</v>
      </c>
      <c r="C10" s="96">
        <v>78741.14</v>
      </c>
      <c r="D10" s="99">
        <v>1</v>
      </c>
      <c r="E10" s="98">
        <f t="shared" si="0"/>
        <v>78741.14</v>
      </c>
      <c r="F10" s="98"/>
      <c r="G10" s="91"/>
      <c r="H10" s="91"/>
      <c r="I10" s="91"/>
      <c r="J10" s="93"/>
      <c r="K10" s="93"/>
      <c r="L10" s="93"/>
      <c r="M10" s="93"/>
      <c r="N10" s="93"/>
      <c r="O10" s="135"/>
    </row>
    <row r="11" spans="1:15" x14ac:dyDescent="0.25">
      <c r="A11" s="133">
        <v>4</v>
      </c>
      <c r="B11" s="95" t="s">
        <v>51</v>
      </c>
      <c r="C11" s="96">
        <v>26177.25</v>
      </c>
      <c r="D11" s="99">
        <v>1</v>
      </c>
      <c r="E11" s="98">
        <f t="shared" si="0"/>
        <v>26177.25</v>
      </c>
      <c r="F11" s="98"/>
      <c r="G11" s="91"/>
      <c r="H11" s="91"/>
      <c r="I11" s="91"/>
      <c r="J11" s="93"/>
      <c r="K11" s="93"/>
      <c r="L11" s="93"/>
      <c r="M11" s="93"/>
      <c r="N11" s="93"/>
      <c r="O11" s="135"/>
    </row>
    <row r="12" spans="1:15" x14ac:dyDescent="0.25">
      <c r="A12" s="136" t="s">
        <v>13</v>
      </c>
      <c r="B12" s="110"/>
      <c r="C12" s="113">
        <f>SUM(C8:C11)</f>
        <v>166018.13</v>
      </c>
      <c r="D12" s="100"/>
      <c r="E12" s="101">
        <f>SUM(E8:E11)</f>
        <v>166018.13</v>
      </c>
      <c r="F12" s="101"/>
      <c r="G12" s="100"/>
      <c r="H12" s="100"/>
      <c r="I12" s="100"/>
      <c r="J12" s="100"/>
      <c r="K12" s="100"/>
      <c r="L12" s="100"/>
      <c r="M12" s="100"/>
      <c r="N12" s="100"/>
      <c r="O12" s="137"/>
    </row>
    <row r="13" spans="1:15" x14ac:dyDescent="0.25">
      <c r="A13" s="138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30"/>
    </row>
    <row r="14" spans="1:15" ht="31.5" x14ac:dyDescent="0.25">
      <c r="A14" s="131" t="s">
        <v>4</v>
      </c>
      <c r="B14" s="94" t="s">
        <v>251</v>
      </c>
      <c r="C14" s="111" t="s">
        <v>3</v>
      </c>
      <c r="D14" s="66" t="s">
        <v>250</v>
      </c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132"/>
    </row>
    <row r="15" spans="1:15" x14ac:dyDescent="0.25">
      <c r="A15" s="133">
        <v>1</v>
      </c>
      <c r="B15" s="95" t="s">
        <v>14</v>
      </c>
      <c r="C15" s="96">
        <v>21456.09</v>
      </c>
      <c r="D15" s="99">
        <v>1</v>
      </c>
      <c r="E15" s="93"/>
      <c r="F15" s="98">
        <f>C15*1</f>
        <v>21456.09</v>
      </c>
      <c r="G15" s="93"/>
      <c r="H15" s="91"/>
      <c r="I15" s="92"/>
      <c r="J15" s="92"/>
      <c r="K15" s="92"/>
      <c r="L15" s="92"/>
      <c r="M15" s="92"/>
      <c r="N15" s="92"/>
      <c r="O15" s="134"/>
    </row>
    <row r="16" spans="1:15" x14ac:dyDescent="0.25">
      <c r="A16" s="133">
        <v>2</v>
      </c>
      <c r="B16" s="95" t="s">
        <v>27</v>
      </c>
      <c r="C16" s="96">
        <v>41962.080000000002</v>
      </c>
      <c r="D16" s="99">
        <v>1</v>
      </c>
      <c r="E16" s="93"/>
      <c r="F16" s="98">
        <f>C16*1</f>
        <v>41962.080000000002</v>
      </c>
      <c r="G16" s="93"/>
      <c r="H16" s="91"/>
      <c r="I16" s="91"/>
      <c r="J16" s="93"/>
      <c r="K16" s="93"/>
      <c r="L16" s="93"/>
      <c r="M16" s="93"/>
      <c r="N16" s="93"/>
      <c r="O16" s="135"/>
    </row>
    <row r="17" spans="1:15" x14ac:dyDescent="0.25">
      <c r="A17" s="133">
        <v>3</v>
      </c>
      <c r="B17" s="95" t="s">
        <v>38</v>
      </c>
      <c r="C17" s="96">
        <v>56621.82</v>
      </c>
      <c r="D17" s="99">
        <v>1</v>
      </c>
      <c r="E17" s="93"/>
      <c r="F17" s="98">
        <f>C17*1</f>
        <v>56621.82</v>
      </c>
      <c r="G17" s="93"/>
      <c r="H17" s="91"/>
      <c r="I17" s="91"/>
      <c r="J17" s="93"/>
      <c r="K17" s="93"/>
      <c r="L17" s="93"/>
      <c r="M17" s="93"/>
      <c r="N17" s="93"/>
      <c r="O17" s="135"/>
    </row>
    <row r="18" spans="1:15" x14ac:dyDescent="0.25">
      <c r="A18" s="133">
        <v>4</v>
      </c>
      <c r="B18" s="95" t="s">
        <v>51</v>
      </c>
      <c r="C18" s="96">
        <v>1663.2</v>
      </c>
      <c r="D18" s="99">
        <v>1</v>
      </c>
      <c r="E18" s="93"/>
      <c r="F18" s="98">
        <f>C18*1</f>
        <v>1663.2</v>
      </c>
      <c r="G18" s="93"/>
      <c r="H18" s="91"/>
      <c r="I18" s="91"/>
      <c r="J18" s="93"/>
      <c r="K18" s="93"/>
      <c r="L18" s="93"/>
      <c r="M18" s="93"/>
      <c r="N18" s="93"/>
      <c r="O18" s="135"/>
    </row>
    <row r="19" spans="1:15" x14ac:dyDescent="0.25">
      <c r="A19" s="136" t="s">
        <v>13</v>
      </c>
      <c r="B19" s="110"/>
      <c r="C19" s="113">
        <f>SUM(C15:C18)</f>
        <v>121703.18999999999</v>
      </c>
      <c r="D19" s="100"/>
      <c r="E19" s="100"/>
      <c r="F19" s="101">
        <f>SUM(F15:F18)</f>
        <v>121703.18999999999</v>
      </c>
      <c r="G19" s="100"/>
      <c r="H19" s="100"/>
      <c r="I19" s="100"/>
      <c r="J19" s="100"/>
      <c r="K19" s="100"/>
      <c r="L19" s="100"/>
      <c r="M19" s="100"/>
      <c r="N19" s="100"/>
      <c r="O19" s="137"/>
    </row>
    <row r="20" spans="1:15" x14ac:dyDescent="0.25">
      <c r="A20" s="138"/>
      <c r="B20" s="129"/>
      <c r="C20" s="129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30"/>
    </row>
    <row r="21" spans="1:15" ht="31.5" x14ac:dyDescent="0.25">
      <c r="A21" s="131" t="s">
        <v>4</v>
      </c>
      <c r="B21" s="94" t="s">
        <v>252</v>
      </c>
      <c r="C21" s="111" t="s">
        <v>3</v>
      </c>
      <c r="D21" s="66" t="s">
        <v>250</v>
      </c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132"/>
    </row>
    <row r="22" spans="1:15" x14ac:dyDescent="0.25">
      <c r="A22" s="133">
        <v>1</v>
      </c>
      <c r="B22" s="95" t="s">
        <v>14</v>
      </c>
      <c r="C22" s="96">
        <v>21698.639999999999</v>
      </c>
      <c r="D22" s="99">
        <v>1</v>
      </c>
      <c r="E22" s="93"/>
      <c r="F22" s="93"/>
      <c r="G22" s="98">
        <f>C22*1</f>
        <v>21698.639999999999</v>
      </c>
      <c r="H22" s="91"/>
      <c r="I22" s="92"/>
      <c r="J22" s="92"/>
      <c r="K22" s="92"/>
      <c r="L22" s="92"/>
      <c r="M22" s="92"/>
      <c r="N22" s="92"/>
      <c r="O22" s="134"/>
    </row>
    <row r="23" spans="1:15" x14ac:dyDescent="0.25">
      <c r="A23" s="133">
        <v>2</v>
      </c>
      <c r="B23" s="95" t="s">
        <v>27</v>
      </c>
      <c r="C23" s="96">
        <v>0</v>
      </c>
      <c r="D23" s="99">
        <v>1</v>
      </c>
      <c r="E23" s="93"/>
      <c r="F23" s="93"/>
      <c r="G23" s="98">
        <f>C23*1</f>
        <v>0</v>
      </c>
      <c r="H23" s="91"/>
      <c r="I23" s="91"/>
      <c r="J23" s="93"/>
      <c r="K23" s="93"/>
      <c r="L23" s="93"/>
      <c r="M23" s="93"/>
      <c r="N23" s="93"/>
      <c r="O23" s="135"/>
    </row>
    <row r="24" spans="1:15" x14ac:dyDescent="0.25">
      <c r="A24" s="133">
        <v>3</v>
      </c>
      <c r="B24" s="95" t="s">
        <v>38</v>
      </c>
      <c r="C24" s="96">
        <v>92829.31</v>
      </c>
      <c r="D24" s="99">
        <v>1</v>
      </c>
      <c r="E24" s="93"/>
      <c r="F24" s="93"/>
      <c r="G24" s="98">
        <f>C24*1</f>
        <v>92829.31</v>
      </c>
      <c r="H24" s="91"/>
      <c r="I24" s="91"/>
      <c r="J24" s="93"/>
      <c r="K24" s="93"/>
      <c r="L24" s="93"/>
      <c r="M24" s="93"/>
      <c r="N24" s="93"/>
      <c r="O24" s="135"/>
    </row>
    <row r="25" spans="1:15" x14ac:dyDescent="0.25">
      <c r="A25" s="133">
        <v>4</v>
      </c>
      <c r="B25" s="95" t="s">
        <v>51</v>
      </c>
      <c r="C25" s="96">
        <v>1905.75</v>
      </c>
      <c r="D25" s="99">
        <v>1</v>
      </c>
      <c r="E25" s="93"/>
      <c r="F25" s="93"/>
      <c r="G25" s="98">
        <f>C25*1</f>
        <v>1905.75</v>
      </c>
      <c r="H25" s="91"/>
      <c r="I25" s="91"/>
      <c r="J25" s="93"/>
      <c r="K25" s="93"/>
      <c r="L25" s="93"/>
      <c r="M25" s="93"/>
      <c r="N25" s="93"/>
      <c r="O25" s="135"/>
    </row>
    <row r="26" spans="1:15" x14ac:dyDescent="0.25">
      <c r="A26" s="136" t="s">
        <v>13</v>
      </c>
      <c r="B26" s="110"/>
      <c r="C26" s="113">
        <f>SUM(C22:C25)</f>
        <v>116433.7</v>
      </c>
      <c r="D26" s="100"/>
      <c r="E26" s="100"/>
      <c r="F26" s="100"/>
      <c r="G26" s="101">
        <f>SUM(G22:G25)</f>
        <v>116433.7</v>
      </c>
      <c r="H26" s="100"/>
      <c r="I26" s="100"/>
      <c r="J26" s="100"/>
      <c r="K26" s="100"/>
      <c r="L26" s="100"/>
      <c r="M26" s="100"/>
      <c r="N26" s="100"/>
      <c r="O26" s="137"/>
    </row>
    <row r="27" spans="1:15" x14ac:dyDescent="0.25">
      <c r="A27" s="146"/>
      <c r="B27" s="97"/>
      <c r="C27" s="147"/>
      <c r="D27" s="148"/>
      <c r="E27" s="148"/>
      <c r="F27" s="148"/>
      <c r="G27" s="149"/>
      <c r="H27" s="148"/>
      <c r="I27" s="148"/>
      <c r="J27" s="148"/>
      <c r="K27" s="148"/>
      <c r="L27" s="148"/>
      <c r="M27" s="148"/>
      <c r="N27" s="148"/>
      <c r="O27" s="150"/>
    </row>
    <row r="28" spans="1:15" ht="31.5" x14ac:dyDescent="0.25">
      <c r="A28" s="131" t="s">
        <v>4</v>
      </c>
      <c r="B28" s="94" t="s">
        <v>254</v>
      </c>
      <c r="C28" s="111" t="s">
        <v>3</v>
      </c>
      <c r="D28" s="66" t="s">
        <v>253</v>
      </c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132"/>
    </row>
    <row r="29" spans="1:15" x14ac:dyDescent="0.25">
      <c r="A29" s="133">
        <v>1</v>
      </c>
      <c r="B29" s="95" t="s">
        <v>14</v>
      </c>
      <c r="C29" s="96">
        <v>21698.639999999999</v>
      </c>
      <c r="D29" s="99">
        <v>1</v>
      </c>
      <c r="E29" s="93"/>
      <c r="F29" s="93"/>
      <c r="G29" s="93"/>
      <c r="H29" s="98">
        <f>C29*1</f>
        <v>21698.639999999999</v>
      </c>
      <c r="I29" s="92"/>
      <c r="J29" s="92"/>
      <c r="K29" s="92"/>
      <c r="L29" s="92"/>
      <c r="M29" s="92"/>
      <c r="N29" s="92"/>
      <c r="O29" s="134"/>
    </row>
    <row r="30" spans="1:15" x14ac:dyDescent="0.25">
      <c r="A30" s="133">
        <v>2</v>
      </c>
      <c r="B30" s="95" t="s">
        <v>27</v>
      </c>
      <c r="C30" s="96">
        <v>18469.79</v>
      </c>
      <c r="D30" s="99">
        <v>1</v>
      </c>
      <c r="E30" s="93"/>
      <c r="F30" s="93"/>
      <c r="G30" s="93"/>
      <c r="H30" s="98">
        <f>C30*1</f>
        <v>18469.79</v>
      </c>
      <c r="I30" s="91"/>
      <c r="J30" s="93"/>
      <c r="K30" s="93"/>
      <c r="L30" s="93"/>
      <c r="M30" s="93"/>
      <c r="N30" s="93"/>
      <c r="O30" s="135"/>
    </row>
    <row r="31" spans="1:15" x14ac:dyDescent="0.25">
      <c r="A31" s="133">
        <v>3</v>
      </c>
      <c r="B31" s="95" t="s">
        <v>38</v>
      </c>
      <c r="C31" s="96">
        <v>31502.54</v>
      </c>
      <c r="D31" s="99">
        <v>1</v>
      </c>
      <c r="E31" s="93"/>
      <c r="F31" s="93"/>
      <c r="G31" s="93"/>
      <c r="H31" s="98">
        <f>C31*1</f>
        <v>31502.54</v>
      </c>
      <c r="I31" s="91"/>
      <c r="J31" s="93"/>
      <c r="K31" s="93"/>
      <c r="L31" s="93"/>
      <c r="M31" s="93"/>
      <c r="N31" s="93"/>
      <c r="O31" s="135"/>
    </row>
    <row r="32" spans="1:15" x14ac:dyDescent="0.25">
      <c r="A32" s="133">
        <v>4</v>
      </c>
      <c r="B32" s="95" t="s">
        <v>51</v>
      </c>
      <c r="C32" s="96">
        <v>1905.75</v>
      </c>
      <c r="D32" s="99">
        <v>1</v>
      </c>
      <c r="E32" s="93"/>
      <c r="F32" s="93"/>
      <c r="G32" s="93"/>
      <c r="H32" s="98">
        <f>C32*1</f>
        <v>1905.75</v>
      </c>
      <c r="I32" s="91"/>
      <c r="J32" s="93"/>
      <c r="K32" s="93"/>
      <c r="L32" s="93"/>
      <c r="M32" s="93"/>
      <c r="N32" s="93"/>
      <c r="O32" s="135"/>
    </row>
    <row r="33" spans="1:15" x14ac:dyDescent="0.25">
      <c r="A33" s="136" t="s">
        <v>13</v>
      </c>
      <c r="B33" s="110"/>
      <c r="C33" s="113">
        <f>SUM(C29:C32)</f>
        <v>73576.72</v>
      </c>
      <c r="D33" s="100"/>
      <c r="E33" s="100"/>
      <c r="F33" s="100"/>
      <c r="G33" s="100"/>
      <c r="H33" s="101">
        <f>SUM(H29:H32)</f>
        <v>73576.72</v>
      </c>
      <c r="I33" s="100"/>
      <c r="J33" s="100"/>
      <c r="K33" s="100"/>
      <c r="L33" s="100"/>
      <c r="M33" s="100"/>
      <c r="N33" s="100"/>
      <c r="O33" s="137"/>
    </row>
    <row r="34" spans="1:15" x14ac:dyDescent="0.25">
      <c r="A34" s="138"/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30"/>
    </row>
    <row r="35" spans="1:15" x14ac:dyDescent="0.25">
      <c r="A35" s="131" t="s">
        <v>4</v>
      </c>
      <c r="B35" s="112" t="s">
        <v>239</v>
      </c>
      <c r="C35" s="111" t="s">
        <v>3</v>
      </c>
      <c r="D35" s="66" t="s">
        <v>253</v>
      </c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132"/>
    </row>
    <row r="36" spans="1:15" x14ac:dyDescent="0.25">
      <c r="A36" s="133">
        <v>1</v>
      </c>
      <c r="B36" s="95" t="s">
        <v>14</v>
      </c>
      <c r="C36" s="96">
        <v>21871.89</v>
      </c>
      <c r="D36" s="99">
        <v>1</v>
      </c>
      <c r="E36" s="93"/>
      <c r="F36" s="93"/>
      <c r="G36" s="93"/>
      <c r="H36" s="93"/>
      <c r="I36" s="98">
        <f>C36*1</f>
        <v>21871.89</v>
      </c>
      <c r="J36" s="92"/>
      <c r="K36" s="92"/>
      <c r="L36" s="92"/>
      <c r="M36" s="92"/>
      <c r="N36" s="92"/>
      <c r="O36" s="134"/>
    </row>
    <row r="37" spans="1:15" x14ac:dyDescent="0.25">
      <c r="A37" s="133">
        <v>2</v>
      </c>
      <c r="B37" s="95" t="s">
        <v>27</v>
      </c>
      <c r="C37" s="96">
        <v>42316.02</v>
      </c>
      <c r="D37" s="99">
        <v>1</v>
      </c>
      <c r="E37" s="93"/>
      <c r="F37" s="93"/>
      <c r="G37" s="93"/>
      <c r="H37" s="93"/>
      <c r="I37" s="98">
        <f>C37*1</f>
        <v>42316.02</v>
      </c>
      <c r="J37" s="93"/>
      <c r="K37" s="93"/>
      <c r="L37" s="93"/>
      <c r="M37" s="93"/>
      <c r="N37" s="93"/>
      <c r="O37" s="135"/>
    </row>
    <row r="38" spans="1:15" x14ac:dyDescent="0.25">
      <c r="A38" s="133">
        <v>3</v>
      </c>
      <c r="B38" s="95" t="s">
        <v>38</v>
      </c>
      <c r="C38" s="96">
        <v>236305.26</v>
      </c>
      <c r="D38" s="99">
        <v>1</v>
      </c>
      <c r="E38" s="93"/>
      <c r="F38" s="93"/>
      <c r="G38" s="93"/>
      <c r="H38" s="93"/>
      <c r="I38" s="98">
        <f>C38*1</f>
        <v>236305.26</v>
      </c>
      <c r="J38" s="93"/>
      <c r="K38" s="93"/>
      <c r="L38" s="93"/>
      <c r="M38" s="93"/>
      <c r="N38" s="93"/>
      <c r="O38" s="135"/>
    </row>
    <row r="39" spans="1:15" x14ac:dyDescent="0.25">
      <c r="A39" s="133">
        <v>4</v>
      </c>
      <c r="B39" s="95" t="s">
        <v>51</v>
      </c>
      <c r="C39" s="96">
        <v>2079</v>
      </c>
      <c r="D39" s="99">
        <v>1</v>
      </c>
      <c r="E39" s="93"/>
      <c r="F39" s="93"/>
      <c r="G39" s="93"/>
      <c r="H39" s="93"/>
      <c r="I39" s="98">
        <f>C39*1</f>
        <v>2079</v>
      </c>
      <c r="J39" s="93"/>
      <c r="K39" s="93"/>
      <c r="L39" s="93"/>
      <c r="M39" s="93"/>
      <c r="N39" s="93"/>
      <c r="O39" s="135"/>
    </row>
    <row r="40" spans="1:15" x14ac:dyDescent="0.25">
      <c r="A40" s="136" t="s">
        <v>13</v>
      </c>
      <c r="B40" s="110"/>
      <c r="C40" s="113">
        <f>SUM(C36:C39)</f>
        <v>302572.17</v>
      </c>
      <c r="D40" s="100"/>
      <c r="E40" s="100"/>
      <c r="F40" s="100"/>
      <c r="G40" s="100"/>
      <c r="H40" s="100"/>
      <c r="I40" s="101">
        <f>SUM(I36:I39)</f>
        <v>302572.17</v>
      </c>
      <c r="J40" s="100"/>
      <c r="K40" s="100"/>
      <c r="L40" s="100"/>
      <c r="M40" s="100"/>
      <c r="N40" s="100"/>
      <c r="O40" s="137"/>
    </row>
    <row r="41" spans="1:15" x14ac:dyDescent="0.25">
      <c r="A41" s="138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30"/>
    </row>
    <row r="42" spans="1:15" ht="15.75" x14ac:dyDescent="0.25">
      <c r="A42" s="131" t="s">
        <v>4</v>
      </c>
      <c r="B42" s="44" t="s">
        <v>255</v>
      </c>
      <c r="C42" s="111" t="s">
        <v>3</v>
      </c>
      <c r="D42" s="66" t="s">
        <v>256</v>
      </c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132"/>
    </row>
    <row r="43" spans="1:15" x14ac:dyDescent="0.25">
      <c r="A43" s="133">
        <v>1</v>
      </c>
      <c r="B43" s="95" t="s">
        <v>14</v>
      </c>
      <c r="C43" s="96">
        <v>21871.59</v>
      </c>
      <c r="D43" s="99">
        <v>1</v>
      </c>
      <c r="E43" s="93"/>
      <c r="F43" s="93"/>
      <c r="G43" s="93"/>
      <c r="H43" s="93"/>
      <c r="I43" s="93"/>
      <c r="J43" s="98">
        <f>C43*1</f>
        <v>21871.59</v>
      </c>
      <c r="K43" s="92"/>
      <c r="L43" s="92"/>
      <c r="M43" s="92"/>
      <c r="N43" s="92"/>
      <c r="O43" s="134"/>
    </row>
    <row r="44" spans="1:15" x14ac:dyDescent="0.25">
      <c r="A44" s="133">
        <v>2</v>
      </c>
      <c r="B44" s="95" t="s">
        <v>27</v>
      </c>
      <c r="C44" s="96">
        <v>49394.64</v>
      </c>
      <c r="D44" s="99">
        <v>1</v>
      </c>
      <c r="E44" s="93"/>
      <c r="F44" s="93"/>
      <c r="G44" s="93"/>
      <c r="H44" s="93"/>
      <c r="I44" s="93"/>
      <c r="J44" s="98">
        <f>C44*1</f>
        <v>49394.64</v>
      </c>
      <c r="K44" s="93"/>
      <c r="L44" s="93"/>
      <c r="M44" s="93"/>
      <c r="N44" s="93"/>
      <c r="O44" s="135"/>
    </row>
    <row r="45" spans="1:15" x14ac:dyDescent="0.25">
      <c r="A45" s="133">
        <v>3</v>
      </c>
      <c r="B45" s="95" t="s">
        <v>38</v>
      </c>
      <c r="C45" s="96">
        <v>393301.14</v>
      </c>
      <c r="D45" s="99">
        <v>1</v>
      </c>
      <c r="E45" s="93"/>
      <c r="F45" s="93"/>
      <c r="G45" s="93"/>
      <c r="H45" s="93"/>
      <c r="I45" s="93"/>
      <c r="J45" s="98">
        <f>C45*1</f>
        <v>393301.14</v>
      </c>
      <c r="K45" s="93"/>
      <c r="L45" s="93"/>
      <c r="M45" s="93"/>
      <c r="N45" s="93"/>
      <c r="O45" s="135"/>
    </row>
    <row r="46" spans="1:15" x14ac:dyDescent="0.25">
      <c r="A46" s="133">
        <v>4</v>
      </c>
      <c r="B46" s="95" t="s">
        <v>51</v>
      </c>
      <c r="C46" s="96">
        <v>26766.3</v>
      </c>
      <c r="D46" s="99">
        <v>1</v>
      </c>
      <c r="E46" s="93"/>
      <c r="F46" s="93"/>
      <c r="G46" s="93"/>
      <c r="H46" s="93"/>
      <c r="I46" s="93"/>
      <c r="J46" s="98">
        <f>C46*1</f>
        <v>26766.3</v>
      </c>
      <c r="K46" s="93"/>
      <c r="L46" s="93"/>
      <c r="M46" s="93"/>
      <c r="N46" s="93"/>
      <c r="O46" s="135"/>
    </row>
    <row r="47" spans="1:15" x14ac:dyDescent="0.25">
      <c r="A47" s="136" t="s">
        <v>13</v>
      </c>
      <c r="B47" s="110"/>
      <c r="C47" s="113">
        <f>SUM(C43:C46)</f>
        <v>491333.67</v>
      </c>
      <c r="D47" s="100"/>
      <c r="E47" s="100"/>
      <c r="F47" s="100"/>
      <c r="G47" s="100"/>
      <c r="H47" s="100"/>
      <c r="I47" s="100"/>
      <c r="J47" s="101">
        <f>SUM(J43:J46)</f>
        <v>491333.67</v>
      </c>
      <c r="K47" s="100"/>
      <c r="L47" s="100"/>
      <c r="M47" s="100"/>
      <c r="N47" s="100"/>
      <c r="O47" s="137"/>
    </row>
    <row r="48" spans="1:15" x14ac:dyDescent="0.25">
      <c r="A48" s="138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30"/>
    </row>
    <row r="49" spans="1:15" x14ac:dyDescent="0.25">
      <c r="A49" s="131" t="s">
        <v>4</v>
      </c>
      <c r="B49" s="87" t="s">
        <v>243</v>
      </c>
      <c r="C49" s="111" t="s">
        <v>3</v>
      </c>
      <c r="D49" s="66" t="s">
        <v>76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132"/>
    </row>
    <row r="50" spans="1:15" x14ac:dyDescent="0.25">
      <c r="A50" s="133">
        <v>1</v>
      </c>
      <c r="B50" s="95" t="s">
        <v>14</v>
      </c>
      <c r="C50" s="96">
        <v>21871.89</v>
      </c>
      <c r="D50" s="99">
        <v>1</v>
      </c>
      <c r="E50" s="93"/>
      <c r="F50" s="93"/>
      <c r="G50" s="93"/>
      <c r="H50" s="93"/>
      <c r="I50" s="93"/>
      <c r="J50" s="93"/>
      <c r="K50" s="98">
        <f>C50*1</f>
        <v>21871.89</v>
      </c>
      <c r="L50" s="98"/>
      <c r="M50" s="98"/>
      <c r="N50" s="98"/>
      <c r="O50" s="139"/>
    </row>
    <row r="51" spans="1:15" x14ac:dyDescent="0.25">
      <c r="A51" s="133">
        <v>2</v>
      </c>
      <c r="B51" s="95" t="s">
        <v>27</v>
      </c>
      <c r="C51" s="96">
        <v>0</v>
      </c>
      <c r="D51" s="99">
        <v>1</v>
      </c>
      <c r="E51" s="93"/>
      <c r="F51" s="93"/>
      <c r="G51" s="93"/>
      <c r="H51" s="93"/>
      <c r="I51" s="93"/>
      <c r="J51" s="93"/>
      <c r="K51" s="98">
        <f>C51*1</f>
        <v>0</v>
      </c>
      <c r="L51" s="98"/>
      <c r="M51" s="98"/>
      <c r="N51" s="98"/>
      <c r="O51" s="139"/>
    </row>
    <row r="52" spans="1:15" x14ac:dyDescent="0.25">
      <c r="A52" s="133">
        <v>3</v>
      </c>
      <c r="B52" s="95" t="s">
        <v>38</v>
      </c>
      <c r="C52" s="96">
        <v>132118.42000000001</v>
      </c>
      <c r="D52" s="99">
        <v>1</v>
      </c>
      <c r="E52" s="93"/>
      <c r="F52" s="93"/>
      <c r="G52" s="93"/>
      <c r="H52" s="93"/>
      <c r="I52" s="93"/>
      <c r="J52" s="93"/>
      <c r="K52" s="98">
        <f>C52*1</f>
        <v>132118.42000000001</v>
      </c>
      <c r="L52" s="98"/>
      <c r="M52" s="98"/>
      <c r="N52" s="98"/>
      <c r="O52" s="139"/>
    </row>
    <row r="53" spans="1:15" x14ac:dyDescent="0.25">
      <c r="A53" s="133">
        <v>4</v>
      </c>
      <c r="B53" s="95" t="s">
        <v>51</v>
      </c>
      <c r="C53" s="96">
        <v>26766.3</v>
      </c>
      <c r="D53" s="99">
        <v>1</v>
      </c>
      <c r="E53" s="93"/>
      <c r="F53" s="93"/>
      <c r="G53" s="93"/>
      <c r="H53" s="93"/>
      <c r="I53" s="93"/>
      <c r="J53" s="93"/>
      <c r="K53" s="98">
        <f>C53*1</f>
        <v>26766.3</v>
      </c>
      <c r="L53" s="98"/>
      <c r="M53" s="98"/>
      <c r="N53" s="98"/>
      <c r="O53" s="139"/>
    </row>
    <row r="54" spans="1:15" x14ac:dyDescent="0.25">
      <c r="A54" s="136" t="s">
        <v>13</v>
      </c>
      <c r="B54" s="110"/>
      <c r="C54" s="113">
        <f>SUM(C50:C53)</f>
        <v>180756.61</v>
      </c>
      <c r="D54" s="100"/>
      <c r="E54" s="100"/>
      <c r="F54" s="100"/>
      <c r="G54" s="100"/>
      <c r="H54" s="100"/>
      <c r="I54" s="100"/>
      <c r="J54" s="100"/>
      <c r="K54" s="101">
        <f>SUM(K50:K53)</f>
        <v>180756.61</v>
      </c>
      <c r="L54" s="101"/>
      <c r="M54" s="101"/>
      <c r="N54" s="101"/>
      <c r="O54" s="140"/>
    </row>
    <row r="55" spans="1:15" x14ac:dyDescent="0.25">
      <c r="A55" s="138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30"/>
    </row>
    <row r="56" spans="1:15" ht="15.75" x14ac:dyDescent="0.25">
      <c r="A56" s="131" t="s">
        <v>4</v>
      </c>
      <c r="B56" s="44" t="s">
        <v>257</v>
      </c>
      <c r="C56" s="111" t="s">
        <v>3</v>
      </c>
      <c r="D56" s="66" t="s">
        <v>256</v>
      </c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132"/>
    </row>
    <row r="57" spans="1:15" x14ac:dyDescent="0.25">
      <c r="A57" s="133">
        <v>1</v>
      </c>
      <c r="B57" s="95" t="s">
        <v>14</v>
      </c>
      <c r="C57" s="96">
        <v>22218.39</v>
      </c>
      <c r="D57" s="99">
        <v>1</v>
      </c>
      <c r="E57" s="93"/>
      <c r="F57" s="93"/>
      <c r="G57" s="93"/>
      <c r="H57" s="93"/>
      <c r="I57" s="93"/>
      <c r="J57" s="93"/>
      <c r="K57" s="93"/>
      <c r="L57" s="98">
        <f>C57*1</f>
        <v>22218.39</v>
      </c>
      <c r="M57" s="98"/>
      <c r="N57" s="98"/>
      <c r="O57" s="139"/>
    </row>
    <row r="58" spans="1:15" x14ac:dyDescent="0.25">
      <c r="A58" s="133">
        <v>2</v>
      </c>
      <c r="B58" s="95" t="s">
        <v>27</v>
      </c>
      <c r="C58" s="96">
        <v>0</v>
      </c>
      <c r="D58" s="99">
        <v>1</v>
      </c>
      <c r="E58" s="93"/>
      <c r="F58" s="93"/>
      <c r="G58" s="93"/>
      <c r="H58" s="93"/>
      <c r="I58" s="93"/>
      <c r="J58" s="93"/>
      <c r="K58" s="93"/>
      <c r="L58" s="98">
        <f>C58*1</f>
        <v>0</v>
      </c>
      <c r="M58" s="98"/>
      <c r="N58" s="98"/>
      <c r="O58" s="139"/>
    </row>
    <row r="59" spans="1:15" x14ac:dyDescent="0.25">
      <c r="A59" s="133">
        <v>3</v>
      </c>
      <c r="B59" s="95" t="s">
        <v>38</v>
      </c>
      <c r="C59" s="96">
        <v>38091.370000000003</v>
      </c>
      <c r="D59" s="99">
        <v>1</v>
      </c>
      <c r="E59" s="93"/>
      <c r="F59" s="93"/>
      <c r="G59" s="93"/>
      <c r="H59" s="93"/>
      <c r="I59" s="93"/>
      <c r="J59" s="93"/>
      <c r="K59" s="93"/>
      <c r="L59" s="98">
        <f>C59*1</f>
        <v>38091.370000000003</v>
      </c>
      <c r="M59" s="98"/>
      <c r="N59" s="98"/>
      <c r="O59" s="139"/>
    </row>
    <row r="60" spans="1:15" x14ac:dyDescent="0.25">
      <c r="A60" s="133">
        <v>4</v>
      </c>
      <c r="B60" s="95" t="s">
        <v>51</v>
      </c>
      <c r="C60" s="96">
        <v>27112.799999999999</v>
      </c>
      <c r="D60" s="99">
        <v>1</v>
      </c>
      <c r="E60" s="93"/>
      <c r="F60" s="93"/>
      <c r="G60" s="93"/>
      <c r="H60" s="93"/>
      <c r="I60" s="93"/>
      <c r="J60" s="93"/>
      <c r="K60" s="93"/>
      <c r="L60" s="98">
        <f>C60*1</f>
        <v>27112.799999999999</v>
      </c>
      <c r="M60" s="98"/>
      <c r="N60" s="98"/>
      <c r="O60" s="139"/>
    </row>
    <row r="61" spans="1:15" x14ac:dyDescent="0.25">
      <c r="A61" s="136" t="s">
        <v>13</v>
      </c>
      <c r="B61" s="110"/>
      <c r="C61" s="113">
        <f>SUM(C57:C60)</f>
        <v>87422.56</v>
      </c>
      <c r="D61" s="100"/>
      <c r="E61" s="100"/>
      <c r="F61" s="100"/>
      <c r="G61" s="100"/>
      <c r="H61" s="100"/>
      <c r="I61" s="100"/>
      <c r="J61" s="100"/>
      <c r="K61" s="100"/>
      <c r="L61" s="101">
        <f>SUM(L57:L60)</f>
        <v>87422.56</v>
      </c>
      <c r="M61" s="101"/>
      <c r="N61" s="101"/>
      <c r="O61" s="140"/>
    </row>
    <row r="62" spans="1:15" x14ac:dyDescent="0.25">
      <c r="A62" s="138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30"/>
    </row>
    <row r="63" spans="1:15" ht="15.75" x14ac:dyDescent="0.25">
      <c r="A63" s="131" t="s">
        <v>4</v>
      </c>
      <c r="B63" s="44" t="s">
        <v>258</v>
      </c>
      <c r="C63" s="111" t="s">
        <v>3</v>
      </c>
      <c r="D63" s="66" t="s">
        <v>256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132"/>
    </row>
    <row r="64" spans="1:15" x14ac:dyDescent="0.25">
      <c r="A64" s="133">
        <v>1</v>
      </c>
      <c r="B64" s="95" t="s">
        <v>14</v>
      </c>
      <c r="C64" s="96">
        <v>22149.09</v>
      </c>
      <c r="D64" s="99">
        <v>1</v>
      </c>
      <c r="E64" s="93"/>
      <c r="F64" s="93"/>
      <c r="G64" s="93"/>
      <c r="H64" s="93"/>
      <c r="I64" s="93"/>
      <c r="J64" s="93"/>
      <c r="K64" s="93"/>
      <c r="L64" s="93"/>
      <c r="M64" s="98">
        <f>C64*1</f>
        <v>22149.09</v>
      </c>
      <c r="N64" s="98"/>
      <c r="O64" s="139"/>
    </row>
    <row r="65" spans="1:15" x14ac:dyDescent="0.25">
      <c r="A65" s="133">
        <v>2</v>
      </c>
      <c r="B65" s="95" t="s">
        <v>27</v>
      </c>
      <c r="C65" s="96">
        <v>16848.68</v>
      </c>
      <c r="D65" s="99">
        <v>1</v>
      </c>
      <c r="E65" s="93"/>
      <c r="F65" s="93"/>
      <c r="G65" s="93"/>
      <c r="H65" s="93"/>
      <c r="I65" s="93"/>
      <c r="J65" s="93"/>
      <c r="K65" s="93"/>
      <c r="L65" s="93"/>
      <c r="M65" s="98">
        <f>C65*1</f>
        <v>16848.68</v>
      </c>
      <c r="N65" s="98"/>
      <c r="O65" s="139"/>
    </row>
    <row r="66" spans="1:15" x14ac:dyDescent="0.25">
      <c r="A66" s="133">
        <v>3</v>
      </c>
      <c r="B66" s="95" t="s">
        <v>38</v>
      </c>
      <c r="C66" s="96">
        <v>56028.14</v>
      </c>
      <c r="D66" s="99">
        <v>1</v>
      </c>
      <c r="E66" s="93"/>
      <c r="F66" s="93"/>
      <c r="G66" s="93"/>
      <c r="H66" s="93"/>
      <c r="I66" s="93"/>
      <c r="J66" s="93"/>
      <c r="K66" s="93"/>
      <c r="L66" s="93"/>
      <c r="M66" s="98">
        <f>C66*1</f>
        <v>56028.14</v>
      </c>
      <c r="N66" s="98"/>
      <c r="O66" s="139"/>
    </row>
    <row r="67" spans="1:15" x14ac:dyDescent="0.25">
      <c r="A67" s="133">
        <v>4</v>
      </c>
      <c r="B67" s="95" t="s">
        <v>51</v>
      </c>
      <c r="C67" s="96">
        <v>27043.5</v>
      </c>
      <c r="D67" s="99">
        <v>1</v>
      </c>
      <c r="E67" s="93"/>
      <c r="F67" s="93"/>
      <c r="G67" s="93"/>
      <c r="H67" s="93"/>
      <c r="I67" s="93"/>
      <c r="J67" s="93"/>
      <c r="K67" s="93"/>
      <c r="L67" s="93"/>
      <c r="M67" s="98">
        <f>C67*1</f>
        <v>27043.5</v>
      </c>
      <c r="N67" s="98"/>
      <c r="O67" s="139"/>
    </row>
    <row r="68" spans="1:15" x14ac:dyDescent="0.25">
      <c r="A68" s="136" t="s">
        <v>13</v>
      </c>
      <c r="B68" s="110"/>
      <c r="C68" s="113">
        <f>SUM(C64:C67)</f>
        <v>122069.41</v>
      </c>
      <c r="D68" s="100"/>
      <c r="E68" s="100"/>
      <c r="F68" s="100"/>
      <c r="G68" s="100"/>
      <c r="H68" s="100"/>
      <c r="I68" s="100"/>
      <c r="J68" s="100"/>
      <c r="K68" s="100"/>
      <c r="L68" s="100"/>
      <c r="M68" s="101">
        <f>SUM(M64:M67)</f>
        <v>122069.41</v>
      </c>
      <c r="N68" s="101"/>
      <c r="O68" s="140"/>
    </row>
    <row r="69" spans="1:15" x14ac:dyDescent="0.25">
      <c r="A69" s="138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30"/>
    </row>
    <row r="70" spans="1:15" x14ac:dyDescent="0.25">
      <c r="A70" s="131" t="s">
        <v>4</v>
      </c>
      <c r="B70" s="87" t="s">
        <v>244</v>
      </c>
      <c r="C70" s="111" t="s">
        <v>3</v>
      </c>
      <c r="D70" s="66" t="s">
        <v>245</v>
      </c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132"/>
    </row>
    <row r="71" spans="1:15" x14ac:dyDescent="0.25">
      <c r="A71" s="133">
        <v>1</v>
      </c>
      <c r="B71" s="95" t="s">
        <v>14</v>
      </c>
      <c r="C71" s="96">
        <v>21594.69</v>
      </c>
      <c r="D71" s="99">
        <v>1</v>
      </c>
      <c r="E71" s="93"/>
      <c r="F71" s="93"/>
      <c r="G71" s="93"/>
      <c r="H71" s="93"/>
      <c r="I71" s="93"/>
      <c r="J71" s="93"/>
      <c r="K71" s="93"/>
      <c r="L71" s="93"/>
      <c r="M71" s="93"/>
      <c r="N71" s="98">
        <f>C71*1</f>
        <v>21594.69</v>
      </c>
      <c r="O71" s="139"/>
    </row>
    <row r="72" spans="1:15" x14ac:dyDescent="0.25">
      <c r="A72" s="133">
        <v>2</v>
      </c>
      <c r="B72" s="95" t="s">
        <v>27</v>
      </c>
      <c r="C72" s="96">
        <v>16580.919999999998</v>
      </c>
      <c r="D72" s="99">
        <v>1</v>
      </c>
      <c r="E72" s="93"/>
      <c r="F72" s="93"/>
      <c r="G72" s="93"/>
      <c r="H72" s="93"/>
      <c r="I72" s="93"/>
      <c r="J72" s="93"/>
      <c r="K72" s="93"/>
      <c r="L72" s="93"/>
      <c r="M72" s="93"/>
      <c r="N72" s="98">
        <f>C72*1</f>
        <v>16580.919999999998</v>
      </c>
      <c r="O72" s="139"/>
    </row>
    <row r="73" spans="1:15" x14ac:dyDescent="0.25">
      <c r="A73" s="133">
        <v>3</v>
      </c>
      <c r="B73" s="95" t="s">
        <v>38</v>
      </c>
      <c r="C73" s="96">
        <v>145561.85</v>
      </c>
      <c r="D73" s="99">
        <v>1</v>
      </c>
      <c r="E73" s="93"/>
      <c r="F73" s="93"/>
      <c r="G73" s="93"/>
      <c r="H73" s="93"/>
      <c r="I73" s="93"/>
      <c r="J73" s="93"/>
      <c r="K73" s="93"/>
      <c r="L73" s="93"/>
      <c r="M73" s="93"/>
      <c r="N73" s="98">
        <f>C73*1</f>
        <v>145561.85</v>
      </c>
      <c r="O73" s="139"/>
    </row>
    <row r="74" spans="1:15" x14ac:dyDescent="0.25">
      <c r="A74" s="133">
        <v>4</v>
      </c>
      <c r="B74" s="95" t="s">
        <v>51</v>
      </c>
      <c r="C74" s="96">
        <v>1801.8</v>
      </c>
      <c r="D74" s="99">
        <v>1</v>
      </c>
      <c r="E74" s="93"/>
      <c r="F74" s="93"/>
      <c r="G74" s="93"/>
      <c r="H74" s="93"/>
      <c r="I74" s="93"/>
      <c r="J74" s="93"/>
      <c r="K74" s="93"/>
      <c r="L74" s="93"/>
      <c r="M74" s="93"/>
      <c r="N74" s="98">
        <f>C74*1</f>
        <v>1801.8</v>
      </c>
      <c r="O74" s="139"/>
    </row>
    <row r="75" spans="1:15" x14ac:dyDescent="0.25">
      <c r="A75" s="136" t="s">
        <v>13</v>
      </c>
      <c r="B75" s="110"/>
      <c r="C75" s="113">
        <f>SUM(C71:C74)</f>
        <v>185539.26</v>
      </c>
      <c r="D75" s="100"/>
      <c r="E75" s="100"/>
      <c r="F75" s="100"/>
      <c r="G75" s="100"/>
      <c r="H75" s="100"/>
      <c r="I75" s="100"/>
      <c r="J75" s="100"/>
      <c r="K75" s="100"/>
      <c r="L75" s="100"/>
      <c r="M75" s="100"/>
      <c r="N75" s="101">
        <f>SUM(N71:N74)</f>
        <v>185539.26</v>
      </c>
      <c r="O75" s="140"/>
    </row>
    <row r="76" spans="1:15" x14ac:dyDescent="0.25">
      <c r="A76" s="138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30"/>
    </row>
    <row r="77" spans="1:15" x14ac:dyDescent="0.25">
      <c r="A77" s="131" t="s">
        <v>4</v>
      </c>
      <c r="B77" s="87" t="s">
        <v>281</v>
      </c>
      <c r="C77" s="111" t="s">
        <v>3</v>
      </c>
      <c r="D77" s="66" t="s">
        <v>281</v>
      </c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132"/>
    </row>
    <row r="78" spans="1:15" x14ac:dyDescent="0.25">
      <c r="A78" s="133">
        <v>1</v>
      </c>
      <c r="B78" s="95" t="s">
        <v>14</v>
      </c>
      <c r="C78" s="96">
        <v>21594.69</v>
      </c>
      <c r="D78" s="99">
        <v>1</v>
      </c>
      <c r="E78" s="93"/>
      <c r="F78" s="93"/>
      <c r="G78" s="93"/>
      <c r="H78" s="93"/>
      <c r="I78" s="93"/>
      <c r="J78" s="93"/>
      <c r="K78" s="93"/>
      <c r="L78" s="93"/>
      <c r="M78" s="93"/>
      <c r="N78" s="93"/>
      <c r="O78" s="139">
        <f>C78*1</f>
        <v>21594.69</v>
      </c>
    </row>
    <row r="79" spans="1:15" x14ac:dyDescent="0.25">
      <c r="A79" s="133">
        <v>2</v>
      </c>
      <c r="B79" s="95" t="s">
        <v>27</v>
      </c>
      <c r="C79" s="96">
        <v>0</v>
      </c>
      <c r="D79" s="99">
        <v>1</v>
      </c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139">
        <f t="shared" ref="O79:O84" si="1">C79*1</f>
        <v>0</v>
      </c>
    </row>
    <row r="80" spans="1:15" x14ac:dyDescent="0.25">
      <c r="A80" s="133">
        <v>3</v>
      </c>
      <c r="B80" s="95" t="s">
        <v>38</v>
      </c>
      <c r="C80" s="96"/>
      <c r="D80" s="99"/>
      <c r="E80" s="93"/>
      <c r="F80" s="93"/>
      <c r="G80" s="93"/>
      <c r="H80" s="93"/>
      <c r="I80" s="93"/>
      <c r="J80" s="93"/>
      <c r="K80" s="93"/>
      <c r="L80" s="93"/>
      <c r="M80" s="93"/>
      <c r="N80" s="93"/>
      <c r="O80" s="139">
        <f t="shared" si="1"/>
        <v>0</v>
      </c>
    </row>
    <row r="81" spans="1:15" x14ac:dyDescent="0.25">
      <c r="A81" s="133" t="s">
        <v>85</v>
      </c>
      <c r="B81" s="95" t="s">
        <v>248</v>
      </c>
      <c r="C81" s="96">
        <v>109214.88</v>
      </c>
      <c r="D81" s="99">
        <v>1</v>
      </c>
      <c r="E81" s="93"/>
      <c r="F81" s="93"/>
      <c r="G81" s="93"/>
      <c r="H81" s="93"/>
      <c r="I81" s="93"/>
      <c r="J81" s="93"/>
      <c r="K81" s="93"/>
      <c r="L81" s="93"/>
      <c r="M81" s="93"/>
      <c r="N81" s="93"/>
      <c r="O81" s="139">
        <f t="shared" si="1"/>
        <v>109214.88</v>
      </c>
    </row>
    <row r="82" spans="1:15" x14ac:dyDescent="0.25">
      <c r="A82" s="133" t="s">
        <v>96</v>
      </c>
      <c r="B82" s="95" t="s">
        <v>229</v>
      </c>
      <c r="C82" s="96">
        <v>317364.34999999998</v>
      </c>
      <c r="D82" s="99">
        <v>1</v>
      </c>
      <c r="E82" s="93"/>
      <c r="F82" s="93"/>
      <c r="G82" s="93"/>
      <c r="H82" s="93"/>
      <c r="I82" s="93"/>
      <c r="J82" s="93"/>
      <c r="K82" s="93"/>
      <c r="L82" s="93"/>
      <c r="M82" s="93"/>
      <c r="N82" s="93"/>
      <c r="O82" s="139">
        <f t="shared" si="1"/>
        <v>317364.34999999998</v>
      </c>
    </row>
    <row r="83" spans="1:15" x14ac:dyDescent="0.25">
      <c r="A83" s="133">
        <v>4</v>
      </c>
      <c r="B83" s="95" t="s">
        <v>51</v>
      </c>
      <c r="C83" s="96">
        <v>30971.05</v>
      </c>
      <c r="D83" s="99">
        <v>1</v>
      </c>
      <c r="E83" s="93"/>
      <c r="F83" s="93"/>
      <c r="G83" s="93"/>
      <c r="H83" s="93"/>
      <c r="I83" s="93"/>
      <c r="J83" s="93"/>
      <c r="K83" s="93"/>
      <c r="L83" s="93"/>
      <c r="M83" s="93"/>
      <c r="N83" s="93"/>
      <c r="O83" s="139">
        <f t="shared" si="1"/>
        <v>30971.05</v>
      </c>
    </row>
    <row r="84" spans="1:15" ht="15.75" thickBot="1" x14ac:dyDescent="0.3">
      <c r="A84" s="141" t="s">
        <v>13</v>
      </c>
      <c r="B84" s="142"/>
      <c r="C84" s="143">
        <f>SUM(C78:C83)</f>
        <v>479144.97</v>
      </c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5">
        <f t="shared" si="1"/>
        <v>479144.97</v>
      </c>
    </row>
    <row r="87" spans="1:15" x14ac:dyDescent="0.25">
      <c r="C87" s="26"/>
      <c r="H87" s="115" t="s">
        <v>260</v>
      </c>
      <c r="I87" s="115"/>
      <c r="J87" s="115"/>
      <c r="K87" s="1"/>
      <c r="L87" s="1"/>
      <c r="M87" s="1"/>
      <c r="N87" s="1"/>
      <c r="O87" s="1"/>
    </row>
    <row r="88" spans="1:15" x14ac:dyDescent="0.25">
      <c r="J88" s="1"/>
      <c r="K88" s="1"/>
      <c r="L88" s="1"/>
      <c r="M88" s="1"/>
      <c r="N88" s="23"/>
      <c r="O88" s="23"/>
    </row>
    <row r="89" spans="1:15" x14ac:dyDescent="0.25">
      <c r="J89" s="1"/>
      <c r="K89" s="1"/>
      <c r="L89" s="57"/>
      <c r="M89" s="57"/>
      <c r="N89" s="57"/>
      <c r="O89" s="57"/>
    </row>
    <row r="90" spans="1:15" x14ac:dyDescent="0.25">
      <c r="J90" s="1"/>
      <c r="K90" s="1"/>
      <c r="L90" s="58" t="s">
        <v>241</v>
      </c>
      <c r="M90" s="58"/>
      <c r="N90" s="58"/>
      <c r="O90" s="58"/>
    </row>
    <row r="91" spans="1:15" x14ac:dyDescent="0.25">
      <c r="J91" s="1"/>
      <c r="K91" s="1"/>
      <c r="L91" s="1"/>
      <c r="M91" s="1"/>
      <c r="N91" s="1"/>
      <c r="O91" s="1"/>
    </row>
  </sheetData>
  <mergeCells count="32">
    <mergeCell ref="D77:O77"/>
    <mergeCell ref="A84:B84"/>
    <mergeCell ref="L89:O89"/>
    <mergeCell ref="L90:O90"/>
    <mergeCell ref="H87:J87"/>
    <mergeCell ref="A1:O1"/>
    <mergeCell ref="A2:O2"/>
    <mergeCell ref="E4:O4"/>
    <mergeCell ref="D21:O21"/>
    <mergeCell ref="A26:B26"/>
    <mergeCell ref="D56:O56"/>
    <mergeCell ref="A61:B61"/>
    <mergeCell ref="D63:O63"/>
    <mergeCell ref="A68:B68"/>
    <mergeCell ref="D70:O70"/>
    <mergeCell ref="A75:B75"/>
    <mergeCell ref="A54:B54"/>
    <mergeCell ref="D7:O7"/>
    <mergeCell ref="D14:O14"/>
    <mergeCell ref="D28:O28"/>
    <mergeCell ref="D35:O35"/>
    <mergeCell ref="D42:O42"/>
    <mergeCell ref="D49:O49"/>
    <mergeCell ref="A33:B33"/>
    <mergeCell ref="A40:B40"/>
    <mergeCell ref="A47:B47"/>
    <mergeCell ref="A12:B12"/>
    <mergeCell ref="A19:B19"/>
    <mergeCell ref="A6:K6"/>
    <mergeCell ref="A4:A5"/>
    <mergeCell ref="B4:B5"/>
    <mergeCell ref="A3:I3"/>
  </mergeCells>
  <pageMargins left="0.511811024" right="0.511811024" top="0.78740157499999996" bottom="0.78740157499999996" header="0.31496062000000002" footer="0.31496062000000002"/>
  <pageSetup paperSize="9" scale="52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5DCFA-8AEA-496A-9C7A-CE390AAE70FF}">
  <sheetPr>
    <pageSetUpPr fitToPage="1"/>
  </sheetPr>
  <dimension ref="A1:H361"/>
  <sheetViews>
    <sheetView topLeftCell="A58" zoomScaleNormal="100" workbookViewId="0">
      <selection activeCell="C357" sqref="C357:H361"/>
    </sheetView>
  </sheetViews>
  <sheetFormatPr defaultRowHeight="15" x14ac:dyDescent="0.25"/>
  <cols>
    <col min="3" max="3" width="79.85546875" bestFit="1" customWidth="1"/>
    <col min="4" max="4" width="12.28515625" bestFit="1" customWidth="1"/>
    <col min="5" max="5" width="13.140625" bestFit="1" customWidth="1"/>
    <col min="6" max="7" width="11.28515625" bestFit="1" customWidth="1"/>
    <col min="8" max="8" width="20.140625" bestFit="1" customWidth="1"/>
  </cols>
  <sheetData>
    <row r="1" spans="1:8" ht="15.75" x14ac:dyDescent="0.25">
      <c r="A1" s="77" t="s">
        <v>0</v>
      </c>
      <c r="B1" s="77"/>
      <c r="C1" s="77"/>
      <c r="D1" s="77"/>
      <c r="E1" s="77"/>
      <c r="F1" s="77"/>
      <c r="G1" s="77"/>
      <c r="H1" s="77"/>
    </row>
    <row r="2" spans="1:8" x14ac:dyDescent="0.25">
      <c r="A2" s="49" t="s">
        <v>1</v>
      </c>
      <c r="B2" s="49"/>
      <c r="C2" s="3" t="s">
        <v>2</v>
      </c>
      <c r="D2" s="2" t="s">
        <v>5</v>
      </c>
      <c r="E2" s="50" t="s">
        <v>154</v>
      </c>
      <c r="F2" s="51"/>
      <c r="G2" s="51"/>
      <c r="H2" s="52"/>
    </row>
    <row r="4" spans="1:8" x14ac:dyDescent="0.25">
      <c r="A4" s="65" t="s">
        <v>6</v>
      </c>
      <c r="B4" s="65"/>
      <c r="C4" s="65"/>
      <c r="D4" s="65"/>
      <c r="E4" s="65"/>
      <c r="F4" s="65"/>
      <c r="G4" s="65"/>
      <c r="H4" s="65"/>
    </row>
    <row r="5" spans="1:8" ht="45" x14ac:dyDescent="0.25">
      <c r="A5" s="4" t="s">
        <v>7</v>
      </c>
      <c r="B5" s="5" t="s">
        <v>8</v>
      </c>
      <c r="C5" s="4" t="s">
        <v>9</v>
      </c>
      <c r="D5" s="4" t="s">
        <v>10</v>
      </c>
      <c r="E5" s="4" t="s">
        <v>11</v>
      </c>
      <c r="F5" s="5" t="s">
        <v>12</v>
      </c>
      <c r="G5" s="5" t="s">
        <v>144</v>
      </c>
      <c r="H5" s="5" t="s">
        <v>13</v>
      </c>
    </row>
    <row r="6" spans="1:8" x14ac:dyDescent="0.25">
      <c r="A6" s="41"/>
      <c r="B6" s="42"/>
      <c r="C6" s="41"/>
      <c r="D6" s="41"/>
      <c r="E6" s="41"/>
      <c r="F6" s="42"/>
      <c r="G6" s="42"/>
      <c r="H6" s="42"/>
    </row>
    <row r="7" spans="1:8" ht="15.75" x14ac:dyDescent="0.25">
      <c r="A7" s="65" t="s">
        <v>4</v>
      </c>
      <c r="B7" s="65"/>
      <c r="C7" s="44" t="s">
        <v>249</v>
      </c>
      <c r="D7" s="43" t="s">
        <v>3</v>
      </c>
      <c r="E7" s="66" t="s">
        <v>250</v>
      </c>
      <c r="F7" s="66"/>
      <c r="G7" s="66"/>
      <c r="H7" s="66"/>
    </row>
    <row r="8" spans="1:8" x14ac:dyDescent="0.25">
      <c r="A8" s="2">
        <v>1</v>
      </c>
      <c r="B8" s="54" t="s">
        <v>14</v>
      </c>
      <c r="C8" s="55"/>
      <c r="D8" s="55"/>
      <c r="E8" s="55"/>
      <c r="F8" s="55"/>
      <c r="G8" s="55"/>
      <c r="H8" s="56"/>
    </row>
    <row r="9" spans="1:8" ht="25.5" x14ac:dyDescent="0.25">
      <c r="A9" s="6" t="s">
        <v>15</v>
      </c>
      <c r="B9" s="6">
        <v>103689</v>
      </c>
      <c r="C9" s="10" t="s">
        <v>145</v>
      </c>
      <c r="D9" s="6" t="s">
        <v>17</v>
      </c>
      <c r="E9" s="7">
        <v>2.88</v>
      </c>
      <c r="F9" s="8">
        <v>462.39</v>
      </c>
      <c r="G9" s="8">
        <f>TRUNC((F9*1.2423),2)</f>
        <v>574.41999999999996</v>
      </c>
      <c r="H9" s="8">
        <f>TRUNC((E9*G9),2)</f>
        <v>1654.32</v>
      </c>
    </row>
    <row r="10" spans="1:8" x14ac:dyDescent="0.25">
      <c r="A10" s="6" t="s">
        <v>18</v>
      </c>
      <c r="B10" s="6" t="s">
        <v>16</v>
      </c>
      <c r="C10" s="10" t="s">
        <v>22</v>
      </c>
      <c r="D10" s="6" t="s">
        <v>23</v>
      </c>
      <c r="E10" s="7">
        <f>ROUND((30*21.5),2)</f>
        <v>645</v>
      </c>
      <c r="F10" s="8">
        <f>COMPOSIÇÕES!F5</f>
        <v>1.8599999999999999</v>
      </c>
      <c r="G10" s="8">
        <f t="shared" ref="G10:G11" si="0">TRUNC((F10*1.2423),2)</f>
        <v>2.31</v>
      </c>
      <c r="H10" s="8">
        <f t="shared" ref="H10:H11" si="1">TRUNC((E10*G10),2)</f>
        <v>1489.95</v>
      </c>
    </row>
    <row r="11" spans="1:8" x14ac:dyDescent="0.25">
      <c r="A11" s="6" t="s">
        <v>20</v>
      </c>
      <c r="B11" s="6" t="s">
        <v>19</v>
      </c>
      <c r="C11" s="10" t="s">
        <v>146</v>
      </c>
      <c r="D11" s="6" t="s">
        <v>147</v>
      </c>
      <c r="E11" s="7">
        <v>1</v>
      </c>
      <c r="F11" s="8">
        <f>COMPOSIÇÕES!F14</f>
        <v>14600.800000000001</v>
      </c>
      <c r="G11" s="8">
        <f t="shared" si="0"/>
        <v>18138.57</v>
      </c>
      <c r="H11" s="8">
        <f t="shared" si="1"/>
        <v>18138.57</v>
      </c>
    </row>
    <row r="12" spans="1:8" x14ac:dyDescent="0.25">
      <c r="A12" s="45" t="s">
        <v>26</v>
      </c>
      <c r="B12" s="46"/>
      <c r="C12" s="46"/>
      <c r="D12" s="46"/>
      <c r="E12" s="46"/>
      <c r="F12" s="46"/>
      <c r="G12" s="47"/>
      <c r="H12" s="9">
        <f>SUM(H9:H11)</f>
        <v>21282.84</v>
      </c>
    </row>
    <row r="13" spans="1:8" x14ac:dyDescent="0.25">
      <c r="A13" s="2">
        <v>2</v>
      </c>
      <c r="B13" s="54" t="s">
        <v>27</v>
      </c>
      <c r="C13" s="55"/>
      <c r="D13" s="55"/>
      <c r="E13" s="55"/>
      <c r="F13" s="55"/>
      <c r="G13" s="55"/>
      <c r="H13" s="56"/>
    </row>
    <row r="14" spans="1:8" ht="38.25" x14ac:dyDescent="0.25">
      <c r="A14" s="6" t="s">
        <v>151</v>
      </c>
      <c r="B14" s="6">
        <v>100978</v>
      </c>
      <c r="C14" s="10" t="s">
        <v>33</v>
      </c>
      <c r="D14" s="6" t="s">
        <v>31</v>
      </c>
      <c r="E14" s="7">
        <f>ROUND((80.37*6),2)</f>
        <v>482.22</v>
      </c>
      <c r="F14" s="8">
        <v>7.62</v>
      </c>
      <c r="G14" s="8">
        <f t="shared" ref="G14:G16" si="2">TRUNC((F14*1.2423),2)</f>
        <v>9.4600000000000009</v>
      </c>
      <c r="H14" s="8">
        <f t="shared" ref="H14:H16" si="3">TRUNC((E14*G14),2)</f>
        <v>4561.8</v>
      </c>
    </row>
    <row r="15" spans="1:8" ht="25.5" x14ac:dyDescent="0.25">
      <c r="A15" s="6" t="s">
        <v>152</v>
      </c>
      <c r="B15" s="6">
        <v>93589</v>
      </c>
      <c r="C15" s="10" t="s">
        <v>34</v>
      </c>
      <c r="D15" s="6" t="s">
        <v>29</v>
      </c>
      <c r="E15" s="7">
        <f>ROUND((E14*1.25*10.5),2)</f>
        <v>6329.14</v>
      </c>
      <c r="F15" s="8">
        <v>2.9</v>
      </c>
      <c r="G15" s="8">
        <f t="shared" si="2"/>
        <v>3.6</v>
      </c>
      <c r="H15" s="8">
        <f t="shared" si="3"/>
        <v>22784.9</v>
      </c>
    </row>
    <row r="16" spans="1:8" ht="25.5" x14ac:dyDescent="0.25">
      <c r="A16" s="6" t="s">
        <v>153</v>
      </c>
      <c r="B16" s="11" t="s">
        <v>24</v>
      </c>
      <c r="C16" s="10" t="s">
        <v>36</v>
      </c>
      <c r="D16" s="6" t="s">
        <v>31</v>
      </c>
      <c r="E16" s="7">
        <f>E14</f>
        <v>482.22</v>
      </c>
      <c r="F16" s="8">
        <v>20.82</v>
      </c>
      <c r="G16" s="8">
        <f t="shared" si="2"/>
        <v>25.86</v>
      </c>
      <c r="H16" s="8">
        <f t="shared" si="3"/>
        <v>12470.2</v>
      </c>
    </row>
    <row r="17" spans="1:8" x14ac:dyDescent="0.25">
      <c r="A17" s="45" t="s">
        <v>37</v>
      </c>
      <c r="B17" s="46"/>
      <c r="C17" s="46"/>
      <c r="D17" s="46"/>
      <c r="E17" s="46"/>
      <c r="F17" s="46"/>
      <c r="G17" s="47"/>
      <c r="H17" s="9">
        <f>SUM(H14:H16)</f>
        <v>39816.9</v>
      </c>
    </row>
    <row r="18" spans="1:8" x14ac:dyDescent="0.25">
      <c r="A18" s="2">
        <v>3</v>
      </c>
      <c r="B18" s="54" t="s">
        <v>38</v>
      </c>
      <c r="C18" s="55"/>
      <c r="D18" s="55"/>
      <c r="E18" s="55"/>
      <c r="F18" s="55"/>
      <c r="G18" s="55"/>
      <c r="H18" s="56"/>
    </row>
    <row r="19" spans="1:8" ht="38.25" x14ac:dyDescent="0.25">
      <c r="A19" s="6"/>
      <c r="B19" s="6">
        <v>102281</v>
      </c>
      <c r="C19" s="10" t="s">
        <v>39</v>
      </c>
      <c r="D19" s="6" t="s">
        <v>31</v>
      </c>
      <c r="E19" s="7">
        <f>ROUND((2.2*1.5*E25),2)</f>
        <v>148.5</v>
      </c>
      <c r="F19" s="8">
        <v>6.19</v>
      </c>
      <c r="G19" s="8">
        <f>TRUNC((F19*1.2423),2)</f>
        <v>7.68</v>
      </c>
      <c r="H19" s="8">
        <f>TRUNC((E19*G19),2)</f>
        <v>1140.48</v>
      </c>
    </row>
    <row r="20" spans="1:8" ht="38.25" x14ac:dyDescent="0.25">
      <c r="A20" s="6"/>
      <c r="B20" s="6">
        <v>93368</v>
      </c>
      <c r="C20" s="10" t="s">
        <v>40</v>
      </c>
      <c r="D20" s="6" t="s">
        <v>31</v>
      </c>
      <c r="E20" s="7">
        <f>ROUND((E19-(E25*1.13)),2)</f>
        <v>97.65</v>
      </c>
      <c r="F20" s="8">
        <v>23.89</v>
      </c>
      <c r="G20" s="8">
        <f t="shared" ref="G20:G29" si="4">TRUNC((F20*1.2423),2)</f>
        <v>29.67</v>
      </c>
      <c r="H20" s="8">
        <f t="shared" ref="H20:H29" si="5">TRUNC((E20*G20),2)</f>
        <v>2897.27</v>
      </c>
    </row>
    <row r="21" spans="1:8" ht="25.5" x14ac:dyDescent="0.25">
      <c r="A21" s="6"/>
      <c r="B21" s="6" t="s">
        <v>159</v>
      </c>
      <c r="C21" s="10" t="s">
        <v>116</v>
      </c>
      <c r="D21" s="6" t="s">
        <v>31</v>
      </c>
      <c r="E21" s="7">
        <f>ROUND((10*1.5*0.3),2)</f>
        <v>4.5</v>
      </c>
      <c r="F21" s="8">
        <f>COMPOSIÇÕES!F73</f>
        <v>133.04</v>
      </c>
      <c r="G21" s="8">
        <f t="shared" si="4"/>
        <v>165.27</v>
      </c>
      <c r="H21" s="8">
        <f t="shared" si="5"/>
        <v>743.71</v>
      </c>
    </row>
    <row r="22" spans="1:8" ht="25.5" x14ac:dyDescent="0.25">
      <c r="A22" s="6"/>
      <c r="B22" s="6">
        <v>93589</v>
      </c>
      <c r="C22" s="10" t="s">
        <v>34</v>
      </c>
      <c r="D22" s="6" t="s">
        <v>29</v>
      </c>
      <c r="E22" s="7">
        <f>ROUND((E21*1.25*10.5),2)</f>
        <v>59.06</v>
      </c>
      <c r="F22" s="8">
        <v>2.9</v>
      </c>
      <c r="G22" s="8">
        <f t="shared" si="4"/>
        <v>3.6</v>
      </c>
      <c r="H22" s="8">
        <f t="shared" si="5"/>
        <v>212.61</v>
      </c>
    </row>
    <row r="23" spans="1:8" ht="25.5" x14ac:dyDescent="0.25">
      <c r="A23" s="6"/>
      <c r="B23" s="6">
        <v>101623</v>
      </c>
      <c r="C23" s="10" t="s">
        <v>41</v>
      </c>
      <c r="D23" s="6" t="s">
        <v>31</v>
      </c>
      <c r="E23" s="7">
        <f>ROUND((E25*1*0.1),2)</f>
        <v>4.5</v>
      </c>
      <c r="F23" s="8">
        <v>253.05</v>
      </c>
      <c r="G23" s="8">
        <f t="shared" si="4"/>
        <v>314.36</v>
      </c>
      <c r="H23" s="8">
        <f t="shared" si="5"/>
        <v>1414.62</v>
      </c>
    </row>
    <row r="24" spans="1:8" ht="25.5" x14ac:dyDescent="0.25">
      <c r="A24" s="6"/>
      <c r="B24" s="6">
        <v>93589</v>
      </c>
      <c r="C24" s="12" t="s">
        <v>42</v>
      </c>
      <c r="D24" s="6" t="s">
        <v>29</v>
      </c>
      <c r="E24" s="7">
        <f>ROUND((E23*20),2)</f>
        <v>90</v>
      </c>
      <c r="F24" s="8">
        <v>2.9</v>
      </c>
      <c r="G24" s="8">
        <f t="shared" si="4"/>
        <v>3.6</v>
      </c>
      <c r="H24" s="8">
        <f t="shared" si="5"/>
        <v>324</v>
      </c>
    </row>
    <row r="25" spans="1:8" ht="38.25" x14ac:dyDescent="0.25">
      <c r="A25" s="6"/>
      <c r="B25" s="6">
        <v>92216</v>
      </c>
      <c r="C25" s="10" t="s">
        <v>43</v>
      </c>
      <c r="D25" s="6" t="s">
        <v>44</v>
      </c>
      <c r="E25" s="7">
        <v>45</v>
      </c>
      <c r="F25" s="8">
        <v>620.05999999999995</v>
      </c>
      <c r="G25" s="8">
        <f t="shared" si="4"/>
        <v>770.3</v>
      </c>
      <c r="H25" s="8">
        <f t="shared" si="5"/>
        <v>34663.5</v>
      </c>
    </row>
    <row r="26" spans="1:8" ht="38.25" x14ac:dyDescent="0.25">
      <c r="A26" s="6"/>
      <c r="B26" s="6">
        <v>92214</v>
      </c>
      <c r="C26" s="10" t="s">
        <v>45</v>
      </c>
      <c r="D26" s="6" t="s">
        <v>44</v>
      </c>
      <c r="E26" s="7">
        <v>0</v>
      </c>
      <c r="F26" s="8">
        <v>520.55999999999995</v>
      </c>
      <c r="G26" s="8">
        <f t="shared" si="4"/>
        <v>646.69000000000005</v>
      </c>
      <c r="H26" s="8">
        <f t="shared" si="5"/>
        <v>0</v>
      </c>
    </row>
    <row r="27" spans="1:8" ht="25.5" x14ac:dyDescent="0.25">
      <c r="A27" s="6"/>
      <c r="B27" s="6">
        <v>100946</v>
      </c>
      <c r="C27" s="12" t="s">
        <v>46</v>
      </c>
      <c r="D27" s="6" t="s">
        <v>23</v>
      </c>
      <c r="E27" s="7">
        <f>ROUND((E25*1.08*21.5),2)</f>
        <v>1044.9000000000001</v>
      </c>
      <c r="F27" s="8">
        <v>2.6</v>
      </c>
      <c r="G27" s="8">
        <f t="shared" si="4"/>
        <v>3.22</v>
      </c>
      <c r="H27" s="8">
        <f t="shared" si="5"/>
        <v>3364.57</v>
      </c>
    </row>
    <row r="28" spans="1:8" ht="25.5" x14ac:dyDescent="0.25">
      <c r="A28" s="6"/>
      <c r="B28" s="6">
        <v>102740</v>
      </c>
      <c r="C28" s="10" t="s">
        <v>47</v>
      </c>
      <c r="D28" s="6" t="s">
        <v>25</v>
      </c>
      <c r="E28" s="7">
        <v>4</v>
      </c>
      <c r="F28" s="8">
        <v>5859.78</v>
      </c>
      <c r="G28" s="8">
        <f t="shared" si="4"/>
        <v>7279.6</v>
      </c>
      <c r="H28" s="8">
        <f t="shared" si="5"/>
        <v>29118.400000000001</v>
      </c>
    </row>
    <row r="29" spans="1:8" ht="25.5" x14ac:dyDescent="0.25">
      <c r="A29" s="6"/>
      <c r="B29" s="6">
        <v>102739</v>
      </c>
      <c r="C29" s="10" t="s">
        <v>48</v>
      </c>
      <c r="D29" s="6" t="s">
        <v>25</v>
      </c>
      <c r="E29" s="7">
        <v>1</v>
      </c>
      <c r="F29" s="8">
        <v>3913.7</v>
      </c>
      <c r="G29" s="8">
        <f t="shared" si="4"/>
        <v>4861.9799999999996</v>
      </c>
      <c r="H29" s="8">
        <f t="shared" si="5"/>
        <v>4861.9799999999996</v>
      </c>
    </row>
    <row r="30" spans="1:8" x14ac:dyDescent="0.25">
      <c r="A30" s="45" t="s">
        <v>49</v>
      </c>
      <c r="B30" s="46"/>
      <c r="C30" s="46"/>
      <c r="D30" s="46"/>
      <c r="E30" s="46"/>
      <c r="F30" s="46"/>
      <c r="G30" s="47"/>
      <c r="H30" s="9">
        <f>SUM(H19:H29)</f>
        <v>78741.14</v>
      </c>
    </row>
    <row r="31" spans="1:8" x14ac:dyDescent="0.25">
      <c r="A31" s="2">
        <v>4</v>
      </c>
      <c r="B31" s="54" t="s">
        <v>51</v>
      </c>
      <c r="C31" s="55"/>
      <c r="D31" s="55"/>
      <c r="E31" s="55"/>
      <c r="F31" s="55"/>
      <c r="G31" s="55"/>
      <c r="H31" s="56"/>
    </row>
    <row r="32" spans="1:8" x14ac:dyDescent="0.25">
      <c r="A32" s="6" t="s">
        <v>148</v>
      </c>
      <c r="B32" s="6" t="s">
        <v>21</v>
      </c>
      <c r="C32" s="10" t="s">
        <v>52</v>
      </c>
      <c r="D32" s="7" t="s">
        <v>23</v>
      </c>
      <c r="E32" s="7">
        <f>E10</f>
        <v>645</v>
      </c>
      <c r="F32" s="8">
        <f>COMPOSIÇÕES!F20</f>
        <v>1.8599999999999999</v>
      </c>
      <c r="G32" s="8">
        <f>TRUNC((F32*1.2423),2)</f>
        <v>2.31</v>
      </c>
      <c r="H32" s="8">
        <f>TRUNC((E32*G32),2)</f>
        <v>1489.95</v>
      </c>
    </row>
    <row r="33" spans="1:8" ht="25.5" x14ac:dyDescent="0.25">
      <c r="A33" s="6" t="s">
        <v>149</v>
      </c>
      <c r="B33" s="6">
        <v>88908</v>
      </c>
      <c r="C33" s="10" t="s">
        <v>155</v>
      </c>
      <c r="D33" s="7" t="s">
        <v>54</v>
      </c>
      <c r="E33" s="7">
        <v>30</v>
      </c>
      <c r="F33" s="8">
        <v>112.37</v>
      </c>
      <c r="G33" s="8">
        <f t="shared" ref="G33:G34" si="6">TRUNC((F33*1.2423),2)</f>
        <v>139.59</v>
      </c>
      <c r="H33" s="8">
        <f>TRUNC((E33*G33),2)</f>
        <v>4187.7</v>
      </c>
    </row>
    <row r="34" spans="1:8" ht="25.5" x14ac:dyDescent="0.25">
      <c r="A34" s="6" t="s">
        <v>150</v>
      </c>
      <c r="B34" s="6">
        <v>88907</v>
      </c>
      <c r="C34" s="10" t="s">
        <v>156</v>
      </c>
      <c r="D34" s="7" t="s">
        <v>56</v>
      </c>
      <c r="E34" s="7">
        <v>60</v>
      </c>
      <c r="F34" s="8">
        <v>275.02999999999997</v>
      </c>
      <c r="G34" s="8">
        <f t="shared" si="6"/>
        <v>341.66</v>
      </c>
      <c r="H34" s="8">
        <f>TRUNC((E34*G34),2)</f>
        <v>20499.599999999999</v>
      </c>
    </row>
    <row r="35" spans="1:8" x14ac:dyDescent="0.25">
      <c r="A35" s="45" t="s">
        <v>50</v>
      </c>
      <c r="B35" s="46"/>
      <c r="C35" s="46"/>
      <c r="D35" s="46"/>
      <c r="E35" s="46"/>
      <c r="F35" s="46"/>
      <c r="G35" s="47"/>
      <c r="H35" s="9">
        <f>SUM(H32:H34)</f>
        <v>26177.25</v>
      </c>
    </row>
    <row r="36" spans="1:8" x14ac:dyDescent="0.25">
      <c r="A36" s="70" t="s">
        <v>57</v>
      </c>
      <c r="B36" s="71"/>
      <c r="C36" s="71"/>
      <c r="D36" s="71"/>
      <c r="E36" s="71"/>
      <c r="F36" s="71"/>
      <c r="G36" s="72"/>
      <c r="H36" s="40">
        <f>H12+H17+H30+H35</f>
        <v>166018.13</v>
      </c>
    </row>
    <row r="37" spans="1:8" ht="15.75" thickBot="1" x14ac:dyDescent="0.3">
      <c r="A37" s="35"/>
      <c r="B37" s="35"/>
      <c r="C37" s="35"/>
      <c r="D37" s="35"/>
      <c r="E37" s="35"/>
      <c r="F37" s="35"/>
      <c r="G37" s="35"/>
      <c r="H37" s="36"/>
    </row>
    <row r="38" spans="1:8" ht="16.5" thickBot="1" x14ac:dyDescent="0.3">
      <c r="A38" s="75" t="s">
        <v>4</v>
      </c>
      <c r="B38" s="76"/>
      <c r="C38" s="39" t="s">
        <v>251</v>
      </c>
      <c r="D38" s="38" t="s">
        <v>3</v>
      </c>
      <c r="E38" s="73" t="s">
        <v>250</v>
      </c>
      <c r="F38" s="73"/>
      <c r="G38" s="73"/>
      <c r="H38" s="74"/>
    </row>
    <row r="39" spans="1:8" x14ac:dyDescent="0.25">
      <c r="A39" s="37">
        <v>1</v>
      </c>
      <c r="B39" s="67" t="s">
        <v>14</v>
      </c>
      <c r="C39" s="68"/>
      <c r="D39" s="68"/>
      <c r="E39" s="68"/>
      <c r="F39" s="68"/>
      <c r="G39" s="68"/>
      <c r="H39" s="69"/>
    </row>
    <row r="40" spans="1:8" ht="25.5" x14ac:dyDescent="0.25">
      <c r="A40" s="6" t="s">
        <v>15</v>
      </c>
      <c r="B40" s="6">
        <v>103689</v>
      </c>
      <c r="C40" s="10" t="s">
        <v>145</v>
      </c>
      <c r="D40" s="6" t="s">
        <v>17</v>
      </c>
      <c r="E40" s="7">
        <v>2.88</v>
      </c>
      <c r="F40" s="8">
        <v>462.39</v>
      </c>
      <c r="G40" s="8">
        <f>TRUNC((F40*1.2423),2)</f>
        <v>574.41999999999996</v>
      </c>
      <c r="H40" s="8">
        <f>TRUNC((E40*G40),2)</f>
        <v>1654.32</v>
      </c>
    </row>
    <row r="41" spans="1:8" x14ac:dyDescent="0.25">
      <c r="A41" s="6" t="s">
        <v>18</v>
      </c>
      <c r="B41" s="6" t="s">
        <v>16</v>
      </c>
      <c r="C41" s="10" t="s">
        <v>22</v>
      </c>
      <c r="D41" s="6" t="s">
        <v>23</v>
      </c>
      <c r="E41" s="7">
        <f>ROUND((30*24),2)</f>
        <v>720</v>
      </c>
      <c r="F41" s="8">
        <f>COMPOSIÇÕES!F5</f>
        <v>1.8599999999999999</v>
      </c>
      <c r="G41" s="8">
        <f t="shared" ref="G41:G42" si="7">TRUNC((F41*1.2423),2)</f>
        <v>2.31</v>
      </c>
      <c r="H41" s="8">
        <f t="shared" ref="H41:H42" si="8">TRUNC((E41*G41),2)</f>
        <v>1663.2</v>
      </c>
    </row>
    <row r="42" spans="1:8" x14ac:dyDescent="0.25">
      <c r="A42" s="6" t="s">
        <v>20</v>
      </c>
      <c r="B42" s="6" t="s">
        <v>19</v>
      </c>
      <c r="C42" s="10" t="s">
        <v>146</v>
      </c>
      <c r="D42" s="6" t="s">
        <v>147</v>
      </c>
      <c r="E42" s="7">
        <v>1</v>
      </c>
      <c r="F42" s="8">
        <f>COMPOSIÇÕES!F14</f>
        <v>14600.800000000001</v>
      </c>
      <c r="G42" s="8">
        <f t="shared" si="7"/>
        <v>18138.57</v>
      </c>
      <c r="H42" s="8">
        <f t="shared" si="8"/>
        <v>18138.57</v>
      </c>
    </row>
    <row r="43" spans="1:8" x14ac:dyDescent="0.25">
      <c r="A43" s="45" t="s">
        <v>26</v>
      </c>
      <c r="B43" s="46"/>
      <c r="C43" s="46"/>
      <c r="D43" s="46"/>
      <c r="E43" s="46"/>
      <c r="F43" s="46"/>
      <c r="G43" s="47"/>
      <c r="H43" s="9">
        <f>SUM(H40:H42)</f>
        <v>21456.09</v>
      </c>
    </row>
    <row r="44" spans="1:8" x14ac:dyDescent="0.25">
      <c r="A44" s="2">
        <v>2</v>
      </c>
      <c r="B44" s="54" t="s">
        <v>27</v>
      </c>
      <c r="C44" s="55"/>
      <c r="D44" s="55"/>
      <c r="E44" s="55"/>
      <c r="F44" s="55"/>
      <c r="G44" s="55"/>
      <c r="H44" s="56"/>
    </row>
    <row r="45" spans="1:8" ht="38.25" x14ac:dyDescent="0.25">
      <c r="A45" s="6" t="s">
        <v>151</v>
      </c>
      <c r="B45" s="6">
        <v>100978</v>
      </c>
      <c r="C45" s="10" t="s">
        <v>33</v>
      </c>
      <c r="D45" s="6" t="s">
        <v>31</v>
      </c>
      <c r="E45" s="7">
        <f>ROUND((84.7*6),2)</f>
        <v>508.2</v>
      </c>
      <c r="F45" s="8">
        <v>7.62</v>
      </c>
      <c r="G45" s="8">
        <f t="shared" ref="G45:G47" si="9">TRUNC((F45*1.2423),2)</f>
        <v>9.4600000000000009</v>
      </c>
      <c r="H45" s="8">
        <f t="shared" ref="H45:H47" si="10">TRUNC((E45*G45),2)</f>
        <v>4807.57</v>
      </c>
    </row>
    <row r="46" spans="1:8" ht="25.5" x14ac:dyDescent="0.25">
      <c r="A46" s="6" t="s">
        <v>152</v>
      </c>
      <c r="B46" s="6">
        <v>93589</v>
      </c>
      <c r="C46" s="10" t="s">
        <v>34</v>
      </c>
      <c r="D46" s="6" t="s">
        <v>29</v>
      </c>
      <c r="E46" s="7">
        <f>ROUND((E45*1.25*10.5),2)</f>
        <v>6670.13</v>
      </c>
      <c r="F46" s="8">
        <v>2.9</v>
      </c>
      <c r="G46" s="8">
        <f t="shared" si="9"/>
        <v>3.6</v>
      </c>
      <c r="H46" s="8">
        <f t="shared" si="10"/>
        <v>24012.46</v>
      </c>
    </row>
    <row r="47" spans="1:8" ht="25.5" x14ac:dyDescent="0.25">
      <c r="A47" s="6" t="s">
        <v>153</v>
      </c>
      <c r="B47" s="11" t="s">
        <v>24</v>
      </c>
      <c r="C47" s="10" t="s">
        <v>36</v>
      </c>
      <c r="D47" s="6" t="s">
        <v>31</v>
      </c>
      <c r="E47" s="7">
        <f>E45</f>
        <v>508.2</v>
      </c>
      <c r="F47" s="8">
        <v>20.82</v>
      </c>
      <c r="G47" s="8">
        <f t="shared" si="9"/>
        <v>25.86</v>
      </c>
      <c r="H47" s="8">
        <f t="shared" si="10"/>
        <v>13142.05</v>
      </c>
    </row>
    <row r="48" spans="1:8" x14ac:dyDescent="0.25">
      <c r="A48" s="45" t="s">
        <v>37</v>
      </c>
      <c r="B48" s="46"/>
      <c r="C48" s="46"/>
      <c r="D48" s="46"/>
      <c r="E48" s="46"/>
      <c r="F48" s="46"/>
      <c r="G48" s="47"/>
      <c r="H48" s="9">
        <f>SUM(H45:H47)</f>
        <v>41962.080000000002</v>
      </c>
    </row>
    <row r="49" spans="1:8" x14ac:dyDescent="0.25">
      <c r="A49" s="2">
        <v>3</v>
      </c>
      <c r="B49" s="54" t="s">
        <v>38</v>
      </c>
      <c r="C49" s="55"/>
      <c r="D49" s="55"/>
      <c r="E49" s="55"/>
      <c r="F49" s="55"/>
      <c r="G49" s="55"/>
      <c r="H49" s="56"/>
    </row>
    <row r="50" spans="1:8" ht="38.25" x14ac:dyDescent="0.25">
      <c r="A50" s="6" t="s">
        <v>85</v>
      </c>
      <c r="B50" s="6">
        <v>102281</v>
      </c>
      <c r="C50" s="10" t="s">
        <v>39</v>
      </c>
      <c r="D50" s="6" t="s">
        <v>31</v>
      </c>
      <c r="E50" s="7">
        <f>ROUND((2.8*3*E56),2)</f>
        <v>84</v>
      </c>
      <c r="F50" s="8">
        <v>6.19</v>
      </c>
      <c r="G50" s="8">
        <f>TRUNC((F50*1.2423),2)</f>
        <v>7.68</v>
      </c>
      <c r="H50" s="8">
        <f>TRUNC((E50*G50),2)</f>
        <v>645.12</v>
      </c>
    </row>
    <row r="51" spans="1:8" ht="38.25" x14ac:dyDescent="0.25">
      <c r="A51" s="6" t="s">
        <v>96</v>
      </c>
      <c r="B51" s="6">
        <v>93368</v>
      </c>
      <c r="C51" s="10" t="s">
        <v>40</v>
      </c>
      <c r="D51" s="6" t="s">
        <v>31</v>
      </c>
      <c r="E51" s="7">
        <f>ROUND((E50-(E56*2.54)),2)</f>
        <v>58.6</v>
      </c>
      <c r="F51" s="8">
        <v>23.89</v>
      </c>
      <c r="G51" s="8">
        <f t="shared" ref="G51:G58" si="11">TRUNC((F51*1.2423),2)</f>
        <v>29.67</v>
      </c>
      <c r="H51" s="8">
        <f t="shared" ref="H51:H58" si="12">TRUNC((E51*G51),2)</f>
        <v>1738.66</v>
      </c>
    </row>
    <row r="52" spans="1:8" ht="25.5" x14ac:dyDescent="0.25">
      <c r="A52" s="6" t="s">
        <v>100</v>
      </c>
      <c r="B52" s="6" t="s">
        <v>159</v>
      </c>
      <c r="C52" s="10" t="s">
        <v>116</v>
      </c>
      <c r="D52" s="6" t="s">
        <v>31</v>
      </c>
      <c r="E52" s="7">
        <f>ROUND((10*1.5*0.3),2)</f>
        <v>4.5</v>
      </c>
      <c r="F52" s="8">
        <f>COMPOSIÇÕES!F73</f>
        <v>133.04</v>
      </c>
      <c r="G52" s="8">
        <f t="shared" si="11"/>
        <v>165.27</v>
      </c>
      <c r="H52" s="8">
        <f t="shared" si="12"/>
        <v>743.71</v>
      </c>
    </row>
    <row r="53" spans="1:8" ht="25.5" x14ac:dyDescent="0.25">
      <c r="A53" s="6" t="s">
        <v>161</v>
      </c>
      <c r="B53" s="6">
        <v>93589</v>
      </c>
      <c r="C53" s="10" t="s">
        <v>34</v>
      </c>
      <c r="D53" s="6" t="s">
        <v>29</v>
      </c>
      <c r="E53" s="7">
        <f>ROUND((E52*1.25*10.5),2)</f>
        <v>59.06</v>
      </c>
      <c r="F53" s="8">
        <v>2.9</v>
      </c>
      <c r="G53" s="8">
        <f t="shared" si="11"/>
        <v>3.6</v>
      </c>
      <c r="H53" s="8">
        <f t="shared" si="12"/>
        <v>212.61</v>
      </c>
    </row>
    <row r="54" spans="1:8" ht="25.5" x14ac:dyDescent="0.25">
      <c r="A54" s="6" t="s">
        <v>162</v>
      </c>
      <c r="B54" s="6">
        <v>101623</v>
      </c>
      <c r="C54" s="10" t="s">
        <v>41</v>
      </c>
      <c r="D54" s="6" t="s">
        <v>31</v>
      </c>
      <c r="E54" s="7">
        <f>ROUND((E56*1*0.1),2)</f>
        <v>1</v>
      </c>
      <c r="F54" s="8">
        <v>253.05</v>
      </c>
      <c r="G54" s="8">
        <f t="shared" si="11"/>
        <v>314.36</v>
      </c>
      <c r="H54" s="8">
        <f t="shared" si="12"/>
        <v>314.36</v>
      </c>
    </row>
    <row r="55" spans="1:8" ht="25.5" x14ac:dyDescent="0.25">
      <c r="A55" s="6" t="s">
        <v>163</v>
      </c>
      <c r="B55" s="6">
        <v>93589</v>
      </c>
      <c r="C55" s="12" t="s">
        <v>58</v>
      </c>
      <c r="D55" s="6" t="s">
        <v>29</v>
      </c>
      <c r="E55" s="7">
        <f>ROUND((E54*22),2)</f>
        <v>22</v>
      </c>
      <c r="F55" s="8">
        <v>2.9</v>
      </c>
      <c r="G55" s="8">
        <f t="shared" si="11"/>
        <v>3.6</v>
      </c>
      <c r="H55" s="8">
        <f t="shared" si="12"/>
        <v>79.2</v>
      </c>
    </row>
    <row r="56" spans="1:8" ht="38.25" x14ac:dyDescent="0.25">
      <c r="A56" s="6" t="s">
        <v>164</v>
      </c>
      <c r="B56" s="6">
        <v>92818</v>
      </c>
      <c r="C56" s="10" t="s">
        <v>59</v>
      </c>
      <c r="D56" s="6" t="s">
        <v>44</v>
      </c>
      <c r="E56" s="7">
        <v>10</v>
      </c>
      <c r="F56" s="8">
        <v>1282.8900000000001</v>
      </c>
      <c r="G56" s="8">
        <f t="shared" si="11"/>
        <v>1593.73</v>
      </c>
      <c r="H56" s="8">
        <f t="shared" si="12"/>
        <v>15937.3</v>
      </c>
    </row>
    <row r="57" spans="1:8" ht="25.5" x14ac:dyDescent="0.25">
      <c r="A57" s="6" t="s">
        <v>165</v>
      </c>
      <c r="B57" s="6">
        <v>100946</v>
      </c>
      <c r="C57" s="12" t="s">
        <v>60</v>
      </c>
      <c r="D57" s="6" t="s">
        <v>23</v>
      </c>
      <c r="E57" s="7">
        <f>ROUND((E56*2.1*24),2)</f>
        <v>504</v>
      </c>
      <c r="F57" s="8">
        <v>2.6</v>
      </c>
      <c r="G57" s="8">
        <f t="shared" si="11"/>
        <v>3.22</v>
      </c>
      <c r="H57" s="8">
        <f t="shared" si="12"/>
        <v>1622.88</v>
      </c>
    </row>
    <row r="58" spans="1:8" ht="25.5" x14ac:dyDescent="0.25">
      <c r="A58" s="6" t="s">
        <v>160</v>
      </c>
      <c r="B58" s="6">
        <v>102742</v>
      </c>
      <c r="C58" s="10" t="s">
        <v>61</v>
      </c>
      <c r="D58" s="6" t="s">
        <v>25</v>
      </c>
      <c r="E58" s="7">
        <v>2</v>
      </c>
      <c r="F58" s="8">
        <v>14218.78</v>
      </c>
      <c r="G58" s="8">
        <f t="shared" si="11"/>
        <v>17663.990000000002</v>
      </c>
      <c r="H58" s="8">
        <f t="shared" si="12"/>
        <v>35327.980000000003</v>
      </c>
    </row>
    <row r="59" spans="1:8" x14ac:dyDescent="0.25">
      <c r="A59" s="45" t="s">
        <v>49</v>
      </c>
      <c r="B59" s="46"/>
      <c r="C59" s="46"/>
      <c r="D59" s="46"/>
      <c r="E59" s="46"/>
      <c r="F59" s="46"/>
      <c r="G59" s="47"/>
      <c r="H59" s="9">
        <f>SUM(H50:H58)</f>
        <v>56621.820000000007</v>
      </c>
    </row>
    <row r="60" spans="1:8" x14ac:dyDescent="0.25">
      <c r="A60" s="2">
        <v>4</v>
      </c>
      <c r="B60" s="54" t="s">
        <v>51</v>
      </c>
      <c r="C60" s="55"/>
      <c r="D60" s="55"/>
      <c r="E60" s="55"/>
      <c r="F60" s="55"/>
      <c r="G60" s="55"/>
      <c r="H60" s="56"/>
    </row>
    <row r="61" spans="1:8" x14ac:dyDescent="0.25">
      <c r="A61" s="6" t="s">
        <v>148</v>
      </c>
      <c r="B61" s="6" t="s">
        <v>21</v>
      </c>
      <c r="C61" s="10" t="s">
        <v>52</v>
      </c>
      <c r="D61" s="7" t="s">
        <v>23</v>
      </c>
      <c r="E61" s="7">
        <f>E41</f>
        <v>720</v>
      </c>
      <c r="F61" s="8">
        <f>COMPOSIÇÕES!F20</f>
        <v>1.8599999999999999</v>
      </c>
      <c r="G61" s="8">
        <f>TRUNC((F61*1.2423),2)</f>
        <v>2.31</v>
      </c>
      <c r="H61" s="8">
        <f>TRUNC((E61*G61),2)</f>
        <v>1663.2</v>
      </c>
    </row>
    <row r="62" spans="1:8" ht="25.5" x14ac:dyDescent="0.25">
      <c r="A62" s="6" t="s">
        <v>149</v>
      </c>
      <c r="B62" s="6">
        <v>88908</v>
      </c>
      <c r="C62" s="10" t="s">
        <v>155</v>
      </c>
      <c r="D62" s="7" t="s">
        <v>54</v>
      </c>
      <c r="E62" s="7">
        <v>0</v>
      </c>
      <c r="F62" s="8">
        <v>112.37</v>
      </c>
      <c r="G62" s="8">
        <f t="shared" ref="G62:G63" si="13">TRUNC((F62*1.2423),2)</f>
        <v>139.59</v>
      </c>
      <c r="H62" s="8">
        <f>TRUNC((E62*G62),2)</f>
        <v>0</v>
      </c>
    </row>
    <row r="63" spans="1:8" ht="25.5" x14ac:dyDescent="0.25">
      <c r="A63" s="6" t="s">
        <v>150</v>
      </c>
      <c r="B63" s="6">
        <v>88907</v>
      </c>
      <c r="C63" s="10" t="s">
        <v>156</v>
      </c>
      <c r="D63" s="7" t="s">
        <v>56</v>
      </c>
      <c r="E63" s="7">
        <v>0</v>
      </c>
      <c r="F63" s="8">
        <v>275.02999999999997</v>
      </c>
      <c r="G63" s="8">
        <f t="shared" si="13"/>
        <v>341.66</v>
      </c>
      <c r="H63" s="8">
        <f>TRUNC((E63*G63),2)</f>
        <v>0</v>
      </c>
    </row>
    <row r="64" spans="1:8" x14ac:dyDescent="0.25">
      <c r="A64" s="45" t="s">
        <v>50</v>
      </c>
      <c r="B64" s="46"/>
      <c r="C64" s="46"/>
      <c r="D64" s="46"/>
      <c r="E64" s="46"/>
      <c r="F64" s="46"/>
      <c r="G64" s="47"/>
      <c r="H64" s="9">
        <f>SUM(H61:H63)</f>
        <v>1663.2</v>
      </c>
    </row>
    <row r="65" spans="1:8" x14ac:dyDescent="0.25">
      <c r="A65" s="45" t="s">
        <v>57</v>
      </c>
      <c r="B65" s="46"/>
      <c r="C65" s="46"/>
      <c r="D65" s="46"/>
      <c r="E65" s="46"/>
      <c r="F65" s="46"/>
      <c r="G65" s="47"/>
      <c r="H65" s="40">
        <f>H43+H48+H59+H64</f>
        <v>121703.19</v>
      </c>
    </row>
    <row r="67" spans="1:8" ht="15.75" x14ac:dyDescent="0.25">
      <c r="A67" s="65" t="s">
        <v>4</v>
      </c>
      <c r="B67" s="65"/>
      <c r="C67" s="44" t="s">
        <v>252</v>
      </c>
      <c r="D67" s="43" t="s">
        <v>3</v>
      </c>
      <c r="E67" s="66" t="s">
        <v>253</v>
      </c>
      <c r="F67" s="66"/>
      <c r="G67" s="66"/>
      <c r="H67" s="66"/>
    </row>
    <row r="68" spans="1:8" x14ac:dyDescent="0.25">
      <c r="A68" s="2">
        <v>1</v>
      </c>
      <c r="B68" s="54" t="s">
        <v>14</v>
      </c>
      <c r="C68" s="55"/>
      <c r="D68" s="55"/>
      <c r="E68" s="55"/>
      <c r="F68" s="55"/>
      <c r="G68" s="55"/>
      <c r="H68" s="56"/>
    </row>
    <row r="69" spans="1:8" ht="25.5" x14ac:dyDescent="0.25">
      <c r="A69" s="6" t="s">
        <v>15</v>
      </c>
      <c r="B69" s="6">
        <v>103689</v>
      </c>
      <c r="C69" s="10" t="s">
        <v>145</v>
      </c>
      <c r="D69" s="6" t="s">
        <v>17</v>
      </c>
      <c r="E69" s="7">
        <v>2.88</v>
      </c>
      <c r="F69" s="8">
        <v>462.39</v>
      </c>
      <c r="G69" s="8">
        <f>TRUNC((F69*1.2423),2)</f>
        <v>574.41999999999996</v>
      </c>
      <c r="H69" s="8">
        <f>TRUNC((E69*G69),2)</f>
        <v>1654.32</v>
      </c>
    </row>
    <row r="70" spans="1:8" x14ac:dyDescent="0.25">
      <c r="A70" s="6" t="s">
        <v>18</v>
      </c>
      <c r="B70" s="6" t="s">
        <v>16</v>
      </c>
      <c r="C70" s="10" t="s">
        <v>22</v>
      </c>
      <c r="D70" s="6" t="s">
        <v>23</v>
      </c>
      <c r="E70" s="7">
        <f>ROUND((30*27.5),2)</f>
        <v>825</v>
      </c>
      <c r="F70" s="8">
        <f>COMPOSIÇÕES!F5</f>
        <v>1.8599999999999999</v>
      </c>
      <c r="G70" s="8">
        <f t="shared" ref="G70:G71" si="14">TRUNC((F70*1.2423),2)</f>
        <v>2.31</v>
      </c>
      <c r="H70" s="8">
        <f t="shared" ref="H70:H71" si="15">TRUNC((E70*G70),2)</f>
        <v>1905.75</v>
      </c>
    </row>
    <row r="71" spans="1:8" x14ac:dyDescent="0.25">
      <c r="A71" s="6" t="s">
        <v>20</v>
      </c>
      <c r="B71" s="6" t="s">
        <v>19</v>
      </c>
      <c r="C71" s="10" t="s">
        <v>146</v>
      </c>
      <c r="D71" s="6" t="s">
        <v>147</v>
      </c>
      <c r="E71" s="7">
        <v>1</v>
      </c>
      <c r="F71" s="8">
        <f>COMPOSIÇÕES!F14</f>
        <v>14600.800000000001</v>
      </c>
      <c r="G71" s="8">
        <f t="shared" si="14"/>
        <v>18138.57</v>
      </c>
      <c r="H71" s="8">
        <f t="shared" si="15"/>
        <v>18138.57</v>
      </c>
    </row>
    <row r="72" spans="1:8" x14ac:dyDescent="0.25">
      <c r="A72" s="45" t="s">
        <v>26</v>
      </c>
      <c r="B72" s="46"/>
      <c r="C72" s="46"/>
      <c r="D72" s="46"/>
      <c r="E72" s="46"/>
      <c r="F72" s="46"/>
      <c r="G72" s="47"/>
      <c r="H72" s="9">
        <f>SUM(H69:H71)</f>
        <v>21698.639999999999</v>
      </c>
    </row>
    <row r="73" spans="1:8" x14ac:dyDescent="0.25">
      <c r="A73" s="2">
        <v>2</v>
      </c>
      <c r="B73" s="54" t="s">
        <v>27</v>
      </c>
      <c r="C73" s="55"/>
      <c r="D73" s="55"/>
      <c r="E73" s="55"/>
      <c r="F73" s="55"/>
      <c r="G73" s="55"/>
      <c r="H73" s="56"/>
    </row>
    <row r="74" spans="1:8" ht="38.25" x14ac:dyDescent="0.25">
      <c r="A74" s="6" t="s">
        <v>151</v>
      </c>
      <c r="B74" s="6">
        <v>100978</v>
      </c>
      <c r="C74" s="10" t="s">
        <v>33</v>
      </c>
      <c r="D74" s="6" t="s">
        <v>31</v>
      </c>
      <c r="E74" s="7">
        <v>0</v>
      </c>
      <c r="F74" s="8">
        <v>7.62</v>
      </c>
      <c r="G74" s="8">
        <f t="shared" ref="G74:G76" si="16">TRUNC((F74*1.2423),2)</f>
        <v>9.4600000000000009</v>
      </c>
      <c r="H74" s="8">
        <f t="shared" ref="H74:H76" si="17">TRUNC((E74*G74),2)</f>
        <v>0</v>
      </c>
    </row>
    <row r="75" spans="1:8" ht="25.5" x14ac:dyDescent="0.25">
      <c r="A75" s="6" t="s">
        <v>152</v>
      </c>
      <c r="B75" s="6">
        <v>93589</v>
      </c>
      <c r="C75" s="10" t="s">
        <v>62</v>
      </c>
      <c r="D75" s="6" t="s">
        <v>29</v>
      </c>
      <c r="E75" s="7">
        <v>0</v>
      </c>
      <c r="F75" s="8">
        <v>2.9</v>
      </c>
      <c r="G75" s="8">
        <f t="shared" si="16"/>
        <v>3.6</v>
      </c>
      <c r="H75" s="8">
        <f t="shared" si="17"/>
        <v>0</v>
      </c>
    </row>
    <row r="76" spans="1:8" ht="25.5" x14ac:dyDescent="0.25">
      <c r="A76" s="6" t="s">
        <v>153</v>
      </c>
      <c r="B76" s="11" t="s">
        <v>24</v>
      </c>
      <c r="C76" s="10" t="s">
        <v>36</v>
      </c>
      <c r="D76" s="6" t="s">
        <v>31</v>
      </c>
      <c r="E76" s="7">
        <v>0</v>
      </c>
      <c r="F76" s="8">
        <v>20.82</v>
      </c>
      <c r="G76" s="8">
        <f t="shared" si="16"/>
        <v>25.86</v>
      </c>
      <c r="H76" s="8">
        <f t="shared" si="17"/>
        <v>0</v>
      </c>
    </row>
    <row r="77" spans="1:8" x14ac:dyDescent="0.25">
      <c r="A77" s="45" t="s">
        <v>37</v>
      </c>
      <c r="B77" s="46"/>
      <c r="C77" s="46"/>
      <c r="D77" s="46"/>
      <c r="E77" s="46"/>
      <c r="F77" s="46"/>
      <c r="G77" s="47"/>
      <c r="H77" s="9">
        <f>SUM(H74:H76)</f>
        <v>0</v>
      </c>
    </row>
    <row r="78" spans="1:8" x14ac:dyDescent="0.25">
      <c r="A78" s="2">
        <v>3</v>
      </c>
      <c r="B78" s="54" t="s">
        <v>38</v>
      </c>
      <c r="C78" s="55"/>
      <c r="D78" s="55"/>
      <c r="E78" s="55"/>
      <c r="F78" s="55"/>
      <c r="G78" s="55"/>
      <c r="H78" s="56"/>
    </row>
    <row r="79" spans="1:8" ht="38.25" x14ac:dyDescent="0.25">
      <c r="A79" s="6" t="s">
        <v>85</v>
      </c>
      <c r="B79" s="6">
        <v>102281</v>
      </c>
      <c r="C79" s="10" t="s">
        <v>39</v>
      </c>
      <c r="D79" s="6" t="s">
        <v>31</v>
      </c>
      <c r="E79" s="7">
        <f>ROUND((2.8*3*E85),2)</f>
        <v>151.19999999999999</v>
      </c>
      <c r="F79" s="8">
        <v>6.19</v>
      </c>
      <c r="G79" s="8">
        <f>TRUNC((F79*1.2423),2)</f>
        <v>7.68</v>
      </c>
      <c r="H79" s="8">
        <f>TRUNC((E79*G79),2)</f>
        <v>1161.21</v>
      </c>
    </row>
    <row r="80" spans="1:8" ht="38.25" x14ac:dyDescent="0.25">
      <c r="A80" s="6" t="s">
        <v>96</v>
      </c>
      <c r="B80" s="6">
        <v>93368</v>
      </c>
      <c r="C80" s="10" t="s">
        <v>40</v>
      </c>
      <c r="D80" s="6" t="s">
        <v>31</v>
      </c>
      <c r="E80" s="7">
        <f>ROUND((E79-(E85*2.54)),2)</f>
        <v>105.48</v>
      </c>
      <c r="F80" s="8">
        <v>23.89</v>
      </c>
      <c r="G80" s="8">
        <f t="shared" ref="G80:G89" si="18">TRUNC((F80*1.2423),2)</f>
        <v>29.67</v>
      </c>
      <c r="H80" s="8">
        <f t="shared" ref="H80:H89" si="19">TRUNC((E80*G80),2)</f>
        <v>3129.59</v>
      </c>
    </row>
    <row r="81" spans="1:8" ht="25.5" x14ac:dyDescent="0.25">
      <c r="A81" s="6" t="s">
        <v>100</v>
      </c>
      <c r="B81" s="6" t="s">
        <v>159</v>
      </c>
      <c r="C81" s="10" t="s">
        <v>116</v>
      </c>
      <c r="D81" s="6" t="s">
        <v>31</v>
      </c>
      <c r="E81" s="7">
        <f>ROUND((18*1.5*0.8),2)</f>
        <v>21.6</v>
      </c>
      <c r="F81" s="8">
        <f>COMPOSIÇÕES!F73</f>
        <v>133.04</v>
      </c>
      <c r="G81" s="8">
        <f t="shared" si="18"/>
        <v>165.27</v>
      </c>
      <c r="H81" s="8">
        <f t="shared" si="19"/>
        <v>3569.83</v>
      </c>
    </row>
    <row r="82" spans="1:8" ht="25.5" x14ac:dyDescent="0.25">
      <c r="A82" s="6" t="s">
        <v>161</v>
      </c>
      <c r="B82" s="6">
        <v>93589</v>
      </c>
      <c r="C82" s="10" t="s">
        <v>62</v>
      </c>
      <c r="D82" s="6" t="s">
        <v>29</v>
      </c>
      <c r="E82" s="7">
        <f>ROUND((E81*1.25*9),2)</f>
        <v>243</v>
      </c>
      <c r="F82" s="8">
        <v>2.9</v>
      </c>
      <c r="G82" s="8">
        <f t="shared" si="18"/>
        <v>3.6</v>
      </c>
      <c r="H82" s="8">
        <f t="shared" si="19"/>
        <v>874.8</v>
      </c>
    </row>
    <row r="83" spans="1:8" ht="25.5" x14ac:dyDescent="0.25">
      <c r="A83" s="6" t="s">
        <v>162</v>
      </c>
      <c r="B83" s="6">
        <v>101623</v>
      </c>
      <c r="C83" s="10" t="s">
        <v>41</v>
      </c>
      <c r="D83" s="6" t="s">
        <v>31</v>
      </c>
      <c r="E83" s="7">
        <f>ROUND((E85*1*0.1),2)</f>
        <v>1.8</v>
      </c>
      <c r="F83" s="8">
        <v>253.05</v>
      </c>
      <c r="G83" s="8">
        <f t="shared" si="18"/>
        <v>314.36</v>
      </c>
      <c r="H83" s="8">
        <f t="shared" si="19"/>
        <v>565.84</v>
      </c>
    </row>
    <row r="84" spans="1:8" ht="25.5" x14ac:dyDescent="0.25">
      <c r="A84" s="6" t="s">
        <v>163</v>
      </c>
      <c r="B84" s="6">
        <v>93589</v>
      </c>
      <c r="C84" s="12" t="s">
        <v>63</v>
      </c>
      <c r="D84" s="6" t="s">
        <v>29</v>
      </c>
      <c r="E84" s="7">
        <f>ROUND((E83*24),2)</f>
        <v>43.2</v>
      </c>
      <c r="F84" s="8">
        <v>2.9</v>
      </c>
      <c r="G84" s="8">
        <f t="shared" si="18"/>
        <v>3.6</v>
      </c>
      <c r="H84" s="8">
        <f t="shared" si="19"/>
        <v>155.52000000000001</v>
      </c>
    </row>
    <row r="85" spans="1:8" ht="38.25" x14ac:dyDescent="0.25">
      <c r="A85" s="6" t="s">
        <v>164</v>
      </c>
      <c r="B85" s="6">
        <v>92818</v>
      </c>
      <c r="C85" s="10" t="s">
        <v>59</v>
      </c>
      <c r="D85" s="6" t="s">
        <v>44</v>
      </c>
      <c r="E85" s="7">
        <v>18</v>
      </c>
      <c r="F85" s="8">
        <v>1282.8900000000001</v>
      </c>
      <c r="G85" s="8">
        <f t="shared" si="18"/>
        <v>1593.73</v>
      </c>
      <c r="H85" s="8">
        <f t="shared" si="19"/>
        <v>28687.14</v>
      </c>
    </row>
    <row r="86" spans="1:8" ht="38.25" x14ac:dyDescent="0.25">
      <c r="A86" s="6" t="s">
        <v>165</v>
      </c>
      <c r="B86" s="6">
        <v>92214</v>
      </c>
      <c r="C86" s="10" t="s">
        <v>45</v>
      </c>
      <c r="D86" s="6" t="s">
        <v>44</v>
      </c>
      <c r="E86" s="7">
        <v>5</v>
      </c>
      <c r="F86" s="8">
        <v>520.55999999999995</v>
      </c>
      <c r="G86" s="8">
        <f t="shared" si="18"/>
        <v>646.69000000000005</v>
      </c>
      <c r="H86" s="8">
        <f t="shared" si="19"/>
        <v>3233.45</v>
      </c>
    </row>
    <row r="87" spans="1:8" ht="25.5" x14ac:dyDescent="0.25">
      <c r="A87" s="6" t="s">
        <v>160</v>
      </c>
      <c r="B87" s="6">
        <v>100946</v>
      </c>
      <c r="C87" s="12" t="s">
        <v>64</v>
      </c>
      <c r="D87" s="6" t="s">
        <v>23</v>
      </c>
      <c r="E87" s="7">
        <f>ROUND((((E85*2.1)+(E86*0.57))*27.5),2)</f>
        <v>1117.8800000000001</v>
      </c>
      <c r="F87" s="8">
        <v>2.6</v>
      </c>
      <c r="G87" s="8">
        <f t="shared" si="18"/>
        <v>3.22</v>
      </c>
      <c r="H87" s="8">
        <f t="shared" si="19"/>
        <v>3599.57</v>
      </c>
    </row>
    <row r="88" spans="1:8" ht="25.5" x14ac:dyDescent="0.25">
      <c r="A88" s="6" t="s">
        <v>166</v>
      </c>
      <c r="B88" s="6">
        <v>102746</v>
      </c>
      <c r="C88" s="10" t="s">
        <v>65</v>
      </c>
      <c r="D88" s="6" t="s">
        <v>25</v>
      </c>
      <c r="E88" s="7">
        <v>2</v>
      </c>
      <c r="F88" s="8">
        <v>17302.740000000002</v>
      </c>
      <c r="G88" s="8">
        <f t="shared" si="18"/>
        <v>21495.19</v>
      </c>
      <c r="H88" s="8">
        <f t="shared" si="19"/>
        <v>42990.38</v>
      </c>
    </row>
    <row r="89" spans="1:8" ht="25.5" x14ac:dyDescent="0.25">
      <c r="A89" s="6" t="s">
        <v>167</v>
      </c>
      <c r="B89" s="6">
        <v>102739</v>
      </c>
      <c r="C89" s="10" t="s">
        <v>48</v>
      </c>
      <c r="D89" s="6" t="s">
        <v>25</v>
      </c>
      <c r="E89" s="7">
        <v>1</v>
      </c>
      <c r="F89" s="8">
        <v>3913.7</v>
      </c>
      <c r="G89" s="8">
        <f t="shared" si="18"/>
        <v>4861.9799999999996</v>
      </c>
      <c r="H89" s="8">
        <f t="shared" si="19"/>
        <v>4861.9799999999996</v>
      </c>
    </row>
    <row r="90" spans="1:8" x14ac:dyDescent="0.25">
      <c r="A90" s="45" t="s">
        <v>49</v>
      </c>
      <c r="B90" s="46"/>
      <c r="C90" s="46"/>
      <c r="D90" s="46"/>
      <c r="E90" s="46"/>
      <c r="F90" s="46"/>
      <c r="G90" s="47"/>
      <c r="H90" s="9">
        <f>SUM(H79:H89)</f>
        <v>92829.309999999983</v>
      </c>
    </row>
    <row r="91" spans="1:8" x14ac:dyDescent="0.25">
      <c r="A91" s="2">
        <v>4</v>
      </c>
      <c r="B91" s="54" t="s">
        <v>51</v>
      </c>
      <c r="C91" s="55"/>
      <c r="D91" s="55"/>
      <c r="E91" s="55"/>
      <c r="F91" s="55"/>
      <c r="G91" s="55"/>
      <c r="H91" s="56"/>
    </row>
    <row r="92" spans="1:8" x14ac:dyDescent="0.25">
      <c r="A92" s="6" t="s">
        <v>148</v>
      </c>
      <c r="B92" s="6" t="s">
        <v>21</v>
      </c>
      <c r="C92" s="10" t="s">
        <v>52</v>
      </c>
      <c r="D92" s="7" t="s">
        <v>23</v>
      </c>
      <c r="E92" s="7">
        <f>E70</f>
        <v>825</v>
      </c>
      <c r="F92" s="8">
        <f>COMPOSIÇÕES!F20</f>
        <v>1.8599999999999999</v>
      </c>
      <c r="G92" s="8">
        <f>TRUNC((F92*1.2423),2)</f>
        <v>2.31</v>
      </c>
      <c r="H92" s="8">
        <f>TRUNC((E92*G92),2)</f>
        <v>1905.75</v>
      </c>
    </row>
    <row r="93" spans="1:8" ht="25.5" x14ac:dyDescent="0.25">
      <c r="A93" s="6" t="s">
        <v>149</v>
      </c>
      <c r="B93" s="6">
        <v>88908</v>
      </c>
      <c r="C93" s="10" t="s">
        <v>155</v>
      </c>
      <c r="D93" s="7" t="s">
        <v>54</v>
      </c>
      <c r="E93" s="7">
        <v>0</v>
      </c>
      <c r="F93" s="8">
        <v>112.37</v>
      </c>
      <c r="G93" s="8">
        <f t="shared" ref="G93:G94" si="20">TRUNC((F93*1.2423),2)</f>
        <v>139.59</v>
      </c>
      <c r="H93" s="8">
        <f>TRUNC((E93*G93),2)</f>
        <v>0</v>
      </c>
    </row>
    <row r="94" spans="1:8" ht="25.5" x14ac:dyDescent="0.25">
      <c r="A94" s="6" t="s">
        <v>150</v>
      </c>
      <c r="B94" s="6">
        <v>88907</v>
      </c>
      <c r="C94" s="10" t="s">
        <v>156</v>
      </c>
      <c r="D94" s="7" t="s">
        <v>56</v>
      </c>
      <c r="E94" s="7">
        <v>0</v>
      </c>
      <c r="F94" s="8">
        <v>275.02999999999997</v>
      </c>
      <c r="G94" s="8">
        <f t="shared" si="20"/>
        <v>341.66</v>
      </c>
      <c r="H94" s="8">
        <f>TRUNC((E94*G94),2)</f>
        <v>0</v>
      </c>
    </row>
    <row r="95" spans="1:8" x14ac:dyDescent="0.25">
      <c r="A95" s="45" t="s">
        <v>50</v>
      </c>
      <c r="B95" s="46"/>
      <c r="C95" s="46"/>
      <c r="D95" s="46"/>
      <c r="E95" s="46"/>
      <c r="F95" s="46"/>
      <c r="G95" s="47"/>
      <c r="H95" s="9">
        <f>SUM(H92:H94)</f>
        <v>1905.75</v>
      </c>
    </row>
    <row r="96" spans="1:8" x14ac:dyDescent="0.25">
      <c r="A96" s="45" t="s">
        <v>57</v>
      </c>
      <c r="B96" s="46"/>
      <c r="C96" s="46"/>
      <c r="D96" s="46"/>
      <c r="E96" s="46"/>
      <c r="F96" s="46"/>
      <c r="G96" s="47"/>
      <c r="H96" s="40">
        <f>H72+H77+H90+H95</f>
        <v>116433.69999999998</v>
      </c>
    </row>
    <row r="98" spans="1:8" ht="15.75" x14ac:dyDescent="0.25">
      <c r="A98" s="65" t="s">
        <v>4</v>
      </c>
      <c r="B98" s="65"/>
      <c r="C98" s="44" t="s">
        <v>254</v>
      </c>
      <c r="D98" s="43" t="s">
        <v>3</v>
      </c>
      <c r="E98" s="84" t="s">
        <v>253</v>
      </c>
      <c r="F98" s="85"/>
      <c r="G98" s="85"/>
      <c r="H98" s="86"/>
    </row>
    <row r="99" spans="1:8" x14ac:dyDescent="0.25">
      <c r="A99" s="2">
        <v>1</v>
      </c>
      <c r="B99" s="54" t="s">
        <v>14</v>
      </c>
      <c r="C99" s="55"/>
      <c r="D99" s="55"/>
      <c r="E99" s="55"/>
      <c r="F99" s="55"/>
      <c r="G99" s="55"/>
      <c r="H99" s="56"/>
    </row>
    <row r="100" spans="1:8" ht="25.5" x14ac:dyDescent="0.25">
      <c r="A100" s="6" t="s">
        <v>15</v>
      </c>
      <c r="B100" s="6">
        <v>103689</v>
      </c>
      <c r="C100" s="10" t="s">
        <v>145</v>
      </c>
      <c r="D100" s="6" t="s">
        <v>17</v>
      </c>
      <c r="E100" s="7">
        <v>2.88</v>
      </c>
      <c r="F100" s="8">
        <v>462.39</v>
      </c>
      <c r="G100" s="8">
        <f>TRUNC((F100*1.2423),2)</f>
        <v>574.41999999999996</v>
      </c>
      <c r="H100" s="8">
        <f>TRUNC((E100*G100),2)</f>
        <v>1654.32</v>
      </c>
    </row>
    <row r="101" spans="1:8" x14ac:dyDescent="0.25">
      <c r="A101" s="6" t="s">
        <v>18</v>
      </c>
      <c r="B101" s="6" t="s">
        <v>16</v>
      </c>
      <c r="C101" s="10" t="s">
        <v>22</v>
      </c>
      <c r="D101" s="6" t="s">
        <v>23</v>
      </c>
      <c r="E101" s="7">
        <f>ROUND((30*27.5),2)</f>
        <v>825</v>
      </c>
      <c r="F101" s="8">
        <f>COMPOSIÇÕES!F5</f>
        <v>1.8599999999999999</v>
      </c>
      <c r="G101" s="8">
        <f t="shared" ref="G101:G102" si="21">TRUNC((F101*1.2423),2)</f>
        <v>2.31</v>
      </c>
      <c r="H101" s="8">
        <f t="shared" ref="H101:H102" si="22">TRUNC((E101*G101),2)</f>
        <v>1905.75</v>
      </c>
    </row>
    <row r="102" spans="1:8" x14ac:dyDescent="0.25">
      <c r="A102" s="6" t="s">
        <v>20</v>
      </c>
      <c r="B102" s="6" t="s">
        <v>19</v>
      </c>
      <c r="C102" s="10" t="s">
        <v>146</v>
      </c>
      <c r="D102" s="6" t="s">
        <v>147</v>
      </c>
      <c r="E102" s="7">
        <v>1</v>
      </c>
      <c r="F102" s="8">
        <f>COMPOSIÇÕES!F14</f>
        <v>14600.800000000001</v>
      </c>
      <c r="G102" s="8">
        <f t="shared" si="21"/>
        <v>18138.57</v>
      </c>
      <c r="H102" s="8">
        <f t="shared" si="22"/>
        <v>18138.57</v>
      </c>
    </row>
    <row r="103" spans="1:8" x14ac:dyDescent="0.25">
      <c r="A103" s="45" t="s">
        <v>26</v>
      </c>
      <c r="B103" s="46"/>
      <c r="C103" s="46"/>
      <c r="D103" s="46"/>
      <c r="E103" s="46"/>
      <c r="F103" s="46"/>
      <c r="G103" s="47"/>
      <c r="H103" s="9">
        <f>SUM(H100:H102)</f>
        <v>21698.639999999999</v>
      </c>
    </row>
    <row r="104" spans="1:8" x14ac:dyDescent="0.25">
      <c r="A104" s="2">
        <v>2</v>
      </c>
      <c r="B104" s="54" t="s">
        <v>27</v>
      </c>
      <c r="C104" s="55"/>
      <c r="D104" s="55"/>
      <c r="E104" s="55"/>
      <c r="F104" s="55"/>
      <c r="G104" s="55"/>
      <c r="H104" s="56"/>
    </row>
    <row r="105" spans="1:8" ht="38.25" x14ac:dyDescent="0.25">
      <c r="A105" s="6" t="s">
        <v>151</v>
      </c>
      <c r="B105" s="6">
        <v>100978</v>
      </c>
      <c r="C105" s="10" t="s">
        <v>33</v>
      </c>
      <c r="D105" s="6" t="s">
        <v>31</v>
      </c>
      <c r="E105" s="7">
        <f>ROUND((39.43*6),2)</f>
        <v>236.58</v>
      </c>
      <c r="F105" s="8">
        <v>7.62</v>
      </c>
      <c r="G105" s="8">
        <f t="shared" ref="G105:G107" si="23">TRUNC((F105*1.2423),2)</f>
        <v>9.4600000000000009</v>
      </c>
      <c r="H105" s="8">
        <f t="shared" ref="H105:H107" si="24">TRUNC((E105*G105),2)</f>
        <v>2238.04</v>
      </c>
    </row>
    <row r="106" spans="1:8" ht="25.5" x14ac:dyDescent="0.25">
      <c r="A106" s="6" t="s">
        <v>152</v>
      </c>
      <c r="B106" s="6">
        <v>93589</v>
      </c>
      <c r="C106" s="10" t="s">
        <v>66</v>
      </c>
      <c r="D106" s="6" t="s">
        <v>29</v>
      </c>
      <c r="E106" s="7">
        <f>ROUND((E105*1.25*9.5),2)</f>
        <v>2809.39</v>
      </c>
      <c r="F106" s="8">
        <v>2.9</v>
      </c>
      <c r="G106" s="8">
        <f t="shared" si="23"/>
        <v>3.6</v>
      </c>
      <c r="H106" s="8">
        <f t="shared" si="24"/>
        <v>10113.799999999999</v>
      </c>
    </row>
    <row r="107" spans="1:8" ht="25.5" x14ac:dyDescent="0.25">
      <c r="A107" s="6" t="s">
        <v>153</v>
      </c>
      <c r="B107" s="11" t="s">
        <v>24</v>
      </c>
      <c r="C107" s="10" t="s">
        <v>36</v>
      </c>
      <c r="D107" s="6" t="s">
        <v>31</v>
      </c>
      <c r="E107" s="7">
        <f>E105</f>
        <v>236.58</v>
      </c>
      <c r="F107" s="8">
        <v>20.82</v>
      </c>
      <c r="G107" s="8">
        <f t="shared" si="23"/>
        <v>25.86</v>
      </c>
      <c r="H107" s="8">
        <f t="shared" si="24"/>
        <v>6117.95</v>
      </c>
    </row>
    <row r="108" spans="1:8" x14ac:dyDescent="0.25">
      <c r="A108" s="45" t="s">
        <v>37</v>
      </c>
      <c r="B108" s="46"/>
      <c r="C108" s="46"/>
      <c r="D108" s="46"/>
      <c r="E108" s="46"/>
      <c r="F108" s="46"/>
      <c r="G108" s="47"/>
      <c r="H108" s="9">
        <f>SUM(H105:H107)</f>
        <v>18469.79</v>
      </c>
    </row>
    <row r="109" spans="1:8" x14ac:dyDescent="0.25">
      <c r="A109" s="2">
        <v>3</v>
      </c>
      <c r="B109" s="54" t="s">
        <v>38</v>
      </c>
      <c r="C109" s="55"/>
      <c r="D109" s="55"/>
      <c r="E109" s="55"/>
      <c r="F109" s="55"/>
      <c r="G109" s="55"/>
      <c r="H109" s="56"/>
    </row>
    <row r="110" spans="1:8" ht="38.25" x14ac:dyDescent="0.25">
      <c r="A110" s="6" t="s">
        <v>85</v>
      </c>
      <c r="B110" s="6">
        <v>102281</v>
      </c>
      <c r="C110" s="10" t="s">
        <v>39</v>
      </c>
      <c r="D110" s="6" t="s">
        <v>31</v>
      </c>
      <c r="E110" s="7">
        <f>ROUND((2.2*1.5*E116),2)</f>
        <v>33</v>
      </c>
      <c r="F110" s="8">
        <v>6.19</v>
      </c>
      <c r="G110" s="8">
        <f>TRUNC((F110*1.2423),2)</f>
        <v>7.68</v>
      </c>
      <c r="H110" s="8">
        <f>TRUNC((E110*G110),2)</f>
        <v>253.44</v>
      </c>
    </row>
    <row r="111" spans="1:8" ht="38.25" x14ac:dyDescent="0.25">
      <c r="A111" s="6" t="s">
        <v>96</v>
      </c>
      <c r="B111" s="6">
        <v>93368</v>
      </c>
      <c r="C111" s="10" t="s">
        <v>40</v>
      </c>
      <c r="D111" s="6" t="s">
        <v>31</v>
      </c>
      <c r="E111" s="7">
        <f>ROUND((E110-(E116*1.13)),2)</f>
        <v>21.7</v>
      </c>
      <c r="F111" s="8">
        <v>23.89</v>
      </c>
      <c r="G111" s="8">
        <f t="shared" ref="G111:G120" si="25">TRUNC((F111*1.2423),2)</f>
        <v>29.67</v>
      </c>
      <c r="H111" s="8">
        <f t="shared" ref="H111:H120" si="26">TRUNC((E111*G111),2)</f>
        <v>643.83000000000004</v>
      </c>
    </row>
    <row r="112" spans="1:8" ht="25.5" x14ac:dyDescent="0.25">
      <c r="A112" s="6" t="s">
        <v>100</v>
      </c>
      <c r="B112" s="6" t="s">
        <v>159</v>
      </c>
      <c r="C112" s="10" t="s">
        <v>116</v>
      </c>
      <c r="D112" s="6" t="s">
        <v>31</v>
      </c>
      <c r="E112" s="7">
        <f>ROUND((10*1.5*0.8),2)</f>
        <v>12</v>
      </c>
      <c r="F112" s="8">
        <f>COMPOSIÇÕES!F73</f>
        <v>133.04</v>
      </c>
      <c r="G112" s="8">
        <f t="shared" si="25"/>
        <v>165.27</v>
      </c>
      <c r="H112" s="8">
        <f t="shared" si="26"/>
        <v>1983.24</v>
      </c>
    </row>
    <row r="113" spans="1:8" ht="25.5" x14ac:dyDescent="0.25">
      <c r="A113" s="6" t="s">
        <v>161</v>
      </c>
      <c r="B113" s="6">
        <v>93589</v>
      </c>
      <c r="C113" s="10" t="s">
        <v>66</v>
      </c>
      <c r="D113" s="6" t="s">
        <v>29</v>
      </c>
      <c r="E113" s="7">
        <f>ROUND((E112*1.25*9),2)</f>
        <v>135</v>
      </c>
      <c r="F113" s="8">
        <v>2.9</v>
      </c>
      <c r="G113" s="8">
        <f t="shared" si="25"/>
        <v>3.6</v>
      </c>
      <c r="H113" s="8">
        <f t="shared" si="26"/>
        <v>486</v>
      </c>
    </row>
    <row r="114" spans="1:8" ht="25.5" x14ac:dyDescent="0.25">
      <c r="A114" s="6" t="s">
        <v>162</v>
      </c>
      <c r="B114" s="6">
        <v>101623</v>
      </c>
      <c r="C114" s="10" t="s">
        <v>41</v>
      </c>
      <c r="D114" s="6" t="s">
        <v>31</v>
      </c>
      <c r="E114" s="7">
        <f>ROUND((E116*1*0.1),2)</f>
        <v>1</v>
      </c>
      <c r="F114" s="8">
        <v>253.05</v>
      </c>
      <c r="G114" s="8">
        <f t="shared" si="25"/>
        <v>314.36</v>
      </c>
      <c r="H114" s="8">
        <f t="shared" si="26"/>
        <v>314.36</v>
      </c>
    </row>
    <row r="115" spans="1:8" ht="25.5" x14ac:dyDescent="0.25">
      <c r="A115" s="6" t="s">
        <v>163</v>
      </c>
      <c r="B115" s="6">
        <v>93589</v>
      </c>
      <c r="C115" s="12" t="s">
        <v>67</v>
      </c>
      <c r="D115" s="6" t="s">
        <v>29</v>
      </c>
      <c r="E115" s="7">
        <f>ROUND((E114*24.5),2)</f>
        <v>24.5</v>
      </c>
      <c r="F115" s="8">
        <v>2.9</v>
      </c>
      <c r="G115" s="8">
        <f t="shared" si="25"/>
        <v>3.6</v>
      </c>
      <c r="H115" s="8">
        <f t="shared" si="26"/>
        <v>88.2</v>
      </c>
    </row>
    <row r="116" spans="1:8" ht="38.25" x14ac:dyDescent="0.25">
      <c r="A116" s="6" t="s">
        <v>164</v>
      </c>
      <c r="B116" s="6">
        <v>92815</v>
      </c>
      <c r="C116" s="10" t="s">
        <v>168</v>
      </c>
      <c r="D116" s="6" t="s">
        <v>44</v>
      </c>
      <c r="E116" s="7">
        <v>10</v>
      </c>
      <c r="F116" s="8">
        <v>107.01</v>
      </c>
      <c r="G116" s="8">
        <f t="shared" si="25"/>
        <v>132.93</v>
      </c>
      <c r="H116" s="8">
        <f t="shared" si="26"/>
        <v>1329.3</v>
      </c>
    </row>
    <row r="117" spans="1:8" ht="38.25" x14ac:dyDescent="0.25">
      <c r="A117" s="6" t="s">
        <v>165</v>
      </c>
      <c r="B117" s="6">
        <v>92216</v>
      </c>
      <c r="C117" s="10" t="s">
        <v>43</v>
      </c>
      <c r="D117" s="6" t="s">
        <v>44</v>
      </c>
      <c r="E117" s="7">
        <v>10</v>
      </c>
      <c r="F117" s="8">
        <v>620.05999999999995</v>
      </c>
      <c r="G117" s="8">
        <f t="shared" si="25"/>
        <v>770.3</v>
      </c>
      <c r="H117" s="8">
        <f t="shared" si="26"/>
        <v>7703</v>
      </c>
    </row>
    <row r="118" spans="1:8" ht="25.5" x14ac:dyDescent="0.25">
      <c r="A118" s="6" t="s">
        <v>160</v>
      </c>
      <c r="B118" s="6">
        <v>100946</v>
      </c>
      <c r="C118" s="12" t="s">
        <v>64</v>
      </c>
      <c r="D118" s="6" t="s">
        <v>23</v>
      </c>
      <c r="E118" s="7">
        <f>ROUND((E117*1.08*27.5),2)</f>
        <v>297</v>
      </c>
      <c r="F118" s="8">
        <v>2.6</v>
      </c>
      <c r="G118" s="8">
        <f t="shared" si="25"/>
        <v>3.22</v>
      </c>
      <c r="H118" s="8">
        <f t="shared" si="26"/>
        <v>956.34</v>
      </c>
    </row>
    <row r="119" spans="1:8" ht="25.5" x14ac:dyDescent="0.25">
      <c r="A119" s="6" t="s">
        <v>166</v>
      </c>
      <c r="B119" s="6">
        <v>100946</v>
      </c>
      <c r="C119" s="12" t="s">
        <v>227</v>
      </c>
      <c r="D119" s="6" t="s">
        <v>23</v>
      </c>
      <c r="E119" s="7">
        <f>ROUND((E116*1.08*2),2)</f>
        <v>21.6</v>
      </c>
      <c r="F119" s="8">
        <v>2.6</v>
      </c>
      <c r="G119" s="8">
        <f t="shared" si="25"/>
        <v>3.22</v>
      </c>
      <c r="H119" s="8">
        <f t="shared" si="26"/>
        <v>69.55</v>
      </c>
    </row>
    <row r="120" spans="1:8" ht="25.5" x14ac:dyDescent="0.25">
      <c r="A120" s="6" t="s">
        <v>167</v>
      </c>
      <c r="B120" s="6">
        <v>102744</v>
      </c>
      <c r="C120" s="10" t="s">
        <v>226</v>
      </c>
      <c r="D120" s="6" t="s">
        <v>25</v>
      </c>
      <c r="E120" s="7">
        <v>2</v>
      </c>
      <c r="F120" s="8">
        <v>7113.94</v>
      </c>
      <c r="G120" s="8">
        <f t="shared" si="25"/>
        <v>8837.64</v>
      </c>
      <c r="H120" s="8">
        <f t="shared" si="26"/>
        <v>17675.28</v>
      </c>
    </row>
    <row r="121" spans="1:8" x14ac:dyDescent="0.25">
      <c r="A121" s="45" t="s">
        <v>49</v>
      </c>
      <c r="B121" s="46"/>
      <c r="C121" s="46"/>
      <c r="D121" s="46"/>
      <c r="E121" s="46"/>
      <c r="F121" s="46"/>
      <c r="G121" s="47"/>
      <c r="H121" s="9">
        <f>SUM(H110:H120)</f>
        <v>31502.539999999997</v>
      </c>
    </row>
    <row r="122" spans="1:8" x14ac:dyDescent="0.25">
      <c r="A122" s="2">
        <v>4</v>
      </c>
      <c r="B122" s="54" t="s">
        <v>51</v>
      </c>
      <c r="C122" s="55"/>
      <c r="D122" s="55"/>
      <c r="E122" s="55"/>
      <c r="F122" s="55"/>
      <c r="G122" s="55"/>
      <c r="H122" s="56"/>
    </row>
    <row r="123" spans="1:8" x14ac:dyDescent="0.25">
      <c r="A123" s="6" t="s">
        <v>148</v>
      </c>
      <c r="B123" s="6" t="s">
        <v>21</v>
      </c>
      <c r="C123" s="10" t="s">
        <v>52</v>
      </c>
      <c r="D123" s="7" t="s">
        <v>23</v>
      </c>
      <c r="E123" s="7">
        <f>E101</f>
        <v>825</v>
      </c>
      <c r="F123" s="8">
        <f>COMPOSIÇÕES!F20</f>
        <v>1.8599999999999999</v>
      </c>
      <c r="G123" s="8">
        <f>TRUNC((F123*1.2423),2)</f>
        <v>2.31</v>
      </c>
      <c r="H123" s="8">
        <f>TRUNC((E123*G123),2)</f>
        <v>1905.75</v>
      </c>
    </row>
    <row r="124" spans="1:8" ht="25.5" x14ac:dyDescent="0.25">
      <c r="A124" s="6" t="s">
        <v>149</v>
      </c>
      <c r="B124" s="6">
        <v>88908</v>
      </c>
      <c r="C124" s="10" t="s">
        <v>155</v>
      </c>
      <c r="D124" s="7" t="s">
        <v>54</v>
      </c>
      <c r="E124" s="7">
        <v>0</v>
      </c>
      <c r="F124" s="8">
        <v>112.37</v>
      </c>
      <c r="G124" s="8">
        <f t="shared" ref="G124:G125" si="27">TRUNC((F124*1.2423),2)</f>
        <v>139.59</v>
      </c>
      <c r="H124" s="8">
        <f>TRUNC((E124*G124),2)</f>
        <v>0</v>
      </c>
    </row>
    <row r="125" spans="1:8" ht="25.5" x14ac:dyDescent="0.25">
      <c r="A125" s="6" t="s">
        <v>150</v>
      </c>
      <c r="B125" s="6">
        <v>88907</v>
      </c>
      <c r="C125" s="10" t="s">
        <v>156</v>
      </c>
      <c r="D125" s="7" t="s">
        <v>56</v>
      </c>
      <c r="E125" s="7">
        <v>0</v>
      </c>
      <c r="F125" s="8">
        <v>275.02999999999997</v>
      </c>
      <c r="G125" s="8">
        <f t="shared" si="27"/>
        <v>341.66</v>
      </c>
      <c r="H125" s="8">
        <f>TRUNC((E125*G125),2)</f>
        <v>0</v>
      </c>
    </row>
    <row r="126" spans="1:8" x14ac:dyDescent="0.25">
      <c r="A126" s="45" t="s">
        <v>50</v>
      </c>
      <c r="B126" s="46"/>
      <c r="C126" s="46"/>
      <c r="D126" s="46"/>
      <c r="E126" s="46"/>
      <c r="F126" s="46"/>
      <c r="G126" s="47"/>
      <c r="H126" s="9">
        <f>SUM(H123:H125)</f>
        <v>1905.75</v>
      </c>
    </row>
    <row r="127" spans="1:8" x14ac:dyDescent="0.25">
      <c r="A127" s="45" t="s">
        <v>57</v>
      </c>
      <c r="B127" s="46"/>
      <c r="C127" s="46"/>
      <c r="D127" s="46"/>
      <c r="E127" s="46"/>
      <c r="F127" s="46"/>
      <c r="G127" s="47"/>
      <c r="H127" s="40">
        <f>H103+H108+H121+H126</f>
        <v>73576.72</v>
      </c>
    </row>
    <row r="129" spans="1:8" x14ac:dyDescent="0.25">
      <c r="A129" s="65" t="s">
        <v>4</v>
      </c>
      <c r="B129" s="65"/>
      <c r="C129" s="87" t="s">
        <v>239</v>
      </c>
      <c r="D129" s="43" t="s">
        <v>3</v>
      </c>
      <c r="E129" s="84" t="s">
        <v>76</v>
      </c>
      <c r="F129" s="85"/>
      <c r="G129" s="85"/>
      <c r="H129" s="86"/>
    </row>
    <row r="130" spans="1:8" x14ac:dyDescent="0.25">
      <c r="A130" s="2">
        <v>1</v>
      </c>
      <c r="B130" s="54" t="s">
        <v>14</v>
      </c>
      <c r="C130" s="55"/>
      <c r="D130" s="55"/>
      <c r="E130" s="55"/>
      <c r="F130" s="55"/>
      <c r="G130" s="55"/>
      <c r="H130" s="56"/>
    </row>
    <row r="131" spans="1:8" ht="25.5" x14ac:dyDescent="0.25">
      <c r="A131" s="6" t="s">
        <v>15</v>
      </c>
      <c r="B131" s="6">
        <v>103689</v>
      </c>
      <c r="C131" s="10" t="s">
        <v>145</v>
      </c>
      <c r="D131" s="6" t="s">
        <v>17</v>
      </c>
      <c r="E131" s="7">
        <v>2.88</v>
      </c>
      <c r="F131" s="8">
        <v>462.39</v>
      </c>
      <c r="G131" s="8">
        <f>TRUNC((F131*1.2423),2)</f>
        <v>574.41999999999996</v>
      </c>
      <c r="H131" s="8">
        <f>TRUNC((E131*G131),2)</f>
        <v>1654.32</v>
      </c>
    </row>
    <row r="132" spans="1:8" x14ac:dyDescent="0.25">
      <c r="A132" s="6" t="s">
        <v>18</v>
      </c>
      <c r="B132" s="6" t="s">
        <v>16</v>
      </c>
      <c r="C132" s="10" t="s">
        <v>22</v>
      </c>
      <c r="D132" s="6" t="s">
        <v>23</v>
      </c>
      <c r="E132" s="7">
        <f>ROUND((30*30),2)</f>
        <v>900</v>
      </c>
      <c r="F132" s="8">
        <f>COMPOSIÇÕES!F5</f>
        <v>1.8599999999999999</v>
      </c>
      <c r="G132" s="8">
        <f t="shared" ref="G132:G133" si="28">TRUNC((F132*1.2423),2)</f>
        <v>2.31</v>
      </c>
      <c r="H132" s="8">
        <f t="shared" ref="H132:H133" si="29">TRUNC((E132*G132),2)</f>
        <v>2079</v>
      </c>
    </row>
    <row r="133" spans="1:8" x14ac:dyDescent="0.25">
      <c r="A133" s="6" t="s">
        <v>20</v>
      </c>
      <c r="B133" s="6" t="s">
        <v>19</v>
      </c>
      <c r="C133" s="10" t="s">
        <v>146</v>
      </c>
      <c r="D133" s="6" t="s">
        <v>147</v>
      </c>
      <c r="E133" s="7">
        <v>1</v>
      </c>
      <c r="F133" s="8">
        <f>COMPOSIÇÕES!F14</f>
        <v>14600.800000000001</v>
      </c>
      <c r="G133" s="8">
        <f t="shared" si="28"/>
        <v>18138.57</v>
      </c>
      <c r="H133" s="8">
        <f t="shared" si="29"/>
        <v>18138.57</v>
      </c>
    </row>
    <row r="134" spans="1:8" x14ac:dyDescent="0.25">
      <c r="A134" s="45" t="s">
        <v>26</v>
      </c>
      <c r="B134" s="46"/>
      <c r="C134" s="46"/>
      <c r="D134" s="46"/>
      <c r="E134" s="46"/>
      <c r="F134" s="46"/>
      <c r="G134" s="47"/>
      <c r="H134" s="9">
        <f>SUM(H131:H133)</f>
        <v>21871.89</v>
      </c>
    </row>
    <row r="135" spans="1:8" x14ac:dyDescent="0.25">
      <c r="A135" s="2">
        <v>2</v>
      </c>
      <c r="B135" s="54" t="s">
        <v>27</v>
      </c>
      <c r="C135" s="55"/>
      <c r="D135" s="55"/>
      <c r="E135" s="55"/>
      <c r="F135" s="55"/>
      <c r="G135" s="55"/>
      <c r="H135" s="56"/>
    </row>
    <row r="136" spans="1:8" ht="38.25" x14ac:dyDescent="0.25">
      <c r="A136" s="6" t="s">
        <v>151</v>
      </c>
      <c r="B136" s="6">
        <v>100978</v>
      </c>
      <c r="C136" s="10" t="s">
        <v>33</v>
      </c>
      <c r="D136" s="6" t="s">
        <v>31</v>
      </c>
      <c r="E136" s="7">
        <f>ROUND((81*6),2)</f>
        <v>486</v>
      </c>
      <c r="F136" s="8">
        <v>7.62</v>
      </c>
      <c r="G136" s="8">
        <f t="shared" ref="G136:G138" si="30">TRUNC((F136*1.2423),2)</f>
        <v>9.4600000000000009</v>
      </c>
      <c r="H136" s="8">
        <f t="shared" ref="H136:H138" si="31">TRUNC((E136*G136),2)</f>
        <v>4597.5600000000004</v>
      </c>
    </row>
    <row r="137" spans="1:8" ht="25.5" x14ac:dyDescent="0.25">
      <c r="A137" s="6" t="s">
        <v>152</v>
      </c>
      <c r="B137" s="6">
        <v>93589</v>
      </c>
      <c r="C137" s="10" t="s">
        <v>68</v>
      </c>
      <c r="D137" s="6" t="s">
        <v>29</v>
      </c>
      <c r="E137" s="7">
        <f>ROUND((E136*1.25*11.5),2)</f>
        <v>6986.25</v>
      </c>
      <c r="F137" s="8">
        <v>2.9</v>
      </c>
      <c r="G137" s="8">
        <f t="shared" si="30"/>
        <v>3.6</v>
      </c>
      <c r="H137" s="8">
        <f t="shared" si="31"/>
        <v>25150.5</v>
      </c>
    </row>
    <row r="138" spans="1:8" ht="25.5" x14ac:dyDescent="0.25">
      <c r="A138" s="6" t="s">
        <v>153</v>
      </c>
      <c r="B138" s="11" t="s">
        <v>24</v>
      </c>
      <c r="C138" s="10" t="s">
        <v>36</v>
      </c>
      <c r="D138" s="6" t="s">
        <v>31</v>
      </c>
      <c r="E138" s="7">
        <f>E136</f>
        <v>486</v>
      </c>
      <c r="F138" s="8">
        <v>20.82</v>
      </c>
      <c r="G138" s="8">
        <f t="shared" si="30"/>
        <v>25.86</v>
      </c>
      <c r="H138" s="8">
        <f t="shared" si="31"/>
        <v>12567.96</v>
      </c>
    </row>
    <row r="139" spans="1:8" x14ac:dyDescent="0.25">
      <c r="A139" s="45" t="s">
        <v>37</v>
      </c>
      <c r="B139" s="46"/>
      <c r="C139" s="46"/>
      <c r="D139" s="46"/>
      <c r="E139" s="46"/>
      <c r="F139" s="46"/>
      <c r="G139" s="47"/>
      <c r="H139" s="9">
        <f>SUM(H136:H138)</f>
        <v>42316.020000000004</v>
      </c>
    </row>
    <row r="140" spans="1:8" x14ac:dyDescent="0.25">
      <c r="A140" s="2">
        <v>3</v>
      </c>
      <c r="B140" s="54" t="s">
        <v>38</v>
      </c>
      <c r="C140" s="55"/>
      <c r="D140" s="55"/>
      <c r="E140" s="55"/>
      <c r="F140" s="55"/>
      <c r="G140" s="55"/>
      <c r="H140" s="56"/>
    </row>
    <row r="141" spans="1:8" ht="38.25" x14ac:dyDescent="0.25">
      <c r="A141" s="6" t="s">
        <v>85</v>
      </c>
      <c r="B141" s="6">
        <v>102281</v>
      </c>
      <c r="C141" s="10" t="s">
        <v>39</v>
      </c>
      <c r="D141" s="6" t="s">
        <v>31</v>
      </c>
      <c r="E141" s="7">
        <f>ROUND((10*3*3),2)</f>
        <v>90</v>
      </c>
      <c r="F141" s="8">
        <v>6.19</v>
      </c>
      <c r="G141" s="8">
        <f>TRUNC((F141*1.2423),2)</f>
        <v>7.68</v>
      </c>
      <c r="H141" s="8">
        <f>TRUNC((E141*G141),2)</f>
        <v>691.2</v>
      </c>
    </row>
    <row r="142" spans="1:8" ht="25.5" x14ac:dyDescent="0.25">
      <c r="A142" s="6" t="s">
        <v>96</v>
      </c>
      <c r="B142" s="11" t="s">
        <v>169</v>
      </c>
      <c r="C142" s="10" t="s">
        <v>170</v>
      </c>
      <c r="D142" s="6" t="s">
        <v>44</v>
      </c>
      <c r="E142" s="7">
        <v>18</v>
      </c>
      <c r="F142" s="8">
        <v>11.5</v>
      </c>
      <c r="G142" s="8">
        <f>TRUNC((F142*1.2423),2)</f>
        <v>14.28</v>
      </c>
      <c r="H142" s="8">
        <f>TRUNC((E142*G142),2)</f>
        <v>257.04000000000002</v>
      </c>
    </row>
    <row r="143" spans="1:8" ht="51" x14ac:dyDescent="0.25">
      <c r="A143" s="6" t="s">
        <v>100</v>
      </c>
      <c r="B143" s="6">
        <v>93368</v>
      </c>
      <c r="C143" s="10" t="s">
        <v>171</v>
      </c>
      <c r="D143" s="6" t="s">
        <v>31</v>
      </c>
      <c r="E143" s="7">
        <f>ROUND((E141-(E145*9)),2)</f>
        <v>0</v>
      </c>
      <c r="F143" s="8">
        <v>23.89</v>
      </c>
      <c r="G143" s="8">
        <f t="shared" ref="G143:G148" si="32">TRUNC((F143*1.2423),2)</f>
        <v>29.67</v>
      </c>
      <c r="H143" s="8">
        <f t="shared" ref="H143:H148" si="33">TRUNC((E143*G143),2)</f>
        <v>0</v>
      </c>
    </row>
    <row r="144" spans="1:8" ht="25.5" x14ac:dyDescent="0.25">
      <c r="A144" s="6" t="s">
        <v>161</v>
      </c>
      <c r="B144" s="6">
        <v>97103</v>
      </c>
      <c r="C144" s="10" t="s">
        <v>69</v>
      </c>
      <c r="D144" s="6" t="s">
        <v>17</v>
      </c>
      <c r="E144" s="7">
        <f>ROUND((10*3.5),2)</f>
        <v>35</v>
      </c>
      <c r="F144" s="8">
        <v>274.74</v>
      </c>
      <c r="G144" s="8">
        <f t="shared" si="32"/>
        <v>341.3</v>
      </c>
      <c r="H144" s="8">
        <f t="shared" si="33"/>
        <v>11945.5</v>
      </c>
    </row>
    <row r="145" spans="1:8" ht="38.25" x14ac:dyDescent="0.25">
      <c r="A145" s="6" t="s">
        <v>162</v>
      </c>
      <c r="B145" s="6">
        <v>104497</v>
      </c>
      <c r="C145" s="10" t="s">
        <v>70</v>
      </c>
      <c r="D145" s="6" t="s">
        <v>44</v>
      </c>
      <c r="E145" s="7">
        <v>10</v>
      </c>
      <c r="F145" s="8">
        <v>8880.93</v>
      </c>
      <c r="G145" s="8">
        <f t="shared" si="32"/>
        <v>11032.77</v>
      </c>
      <c r="H145" s="8">
        <f t="shared" si="33"/>
        <v>110327.7</v>
      </c>
    </row>
    <row r="146" spans="1:8" ht="25.5" x14ac:dyDescent="0.25">
      <c r="A146" s="6" t="s">
        <v>163</v>
      </c>
      <c r="B146" s="6">
        <v>100947</v>
      </c>
      <c r="C146" s="12" t="s">
        <v>71</v>
      </c>
      <c r="D146" s="6" t="s">
        <v>23</v>
      </c>
      <c r="E146" s="7">
        <f>ROUND((E145*6.2*30),2)</f>
        <v>1860</v>
      </c>
      <c r="F146" s="8">
        <v>2.4</v>
      </c>
      <c r="G146" s="8">
        <f t="shared" si="32"/>
        <v>2.98</v>
      </c>
      <c r="H146" s="8">
        <f t="shared" si="33"/>
        <v>5542.8</v>
      </c>
    </row>
    <row r="147" spans="1:8" ht="25.5" x14ac:dyDescent="0.25">
      <c r="A147" s="6" t="s">
        <v>164</v>
      </c>
      <c r="B147" s="6">
        <v>100948</v>
      </c>
      <c r="C147" s="12" t="s">
        <v>72</v>
      </c>
      <c r="D147" s="6" t="s">
        <v>23</v>
      </c>
      <c r="E147" s="7">
        <f>ROUND((E145*6.2*75),2)</f>
        <v>4650</v>
      </c>
      <c r="F147" s="8">
        <v>0.95</v>
      </c>
      <c r="G147" s="8">
        <f t="shared" si="32"/>
        <v>1.18</v>
      </c>
      <c r="H147" s="8">
        <f t="shared" si="33"/>
        <v>5487</v>
      </c>
    </row>
    <row r="148" spans="1:8" ht="25.5" x14ac:dyDescent="0.25">
      <c r="A148" s="6" t="s">
        <v>165</v>
      </c>
      <c r="B148" s="6">
        <v>102764</v>
      </c>
      <c r="C148" s="10" t="s">
        <v>73</v>
      </c>
      <c r="D148" s="6" t="s">
        <v>25</v>
      </c>
      <c r="E148" s="7">
        <v>2</v>
      </c>
      <c r="F148" s="8">
        <v>41074.629999999997</v>
      </c>
      <c r="G148" s="8">
        <f t="shared" si="32"/>
        <v>51027.01</v>
      </c>
      <c r="H148" s="8">
        <f t="shared" si="33"/>
        <v>102054.02</v>
      </c>
    </row>
    <row r="149" spans="1:8" x14ac:dyDescent="0.25">
      <c r="A149" s="45" t="s">
        <v>49</v>
      </c>
      <c r="B149" s="46"/>
      <c r="C149" s="46"/>
      <c r="D149" s="46"/>
      <c r="E149" s="46"/>
      <c r="F149" s="46"/>
      <c r="G149" s="47"/>
      <c r="H149" s="9">
        <f>SUM(H141:H148)</f>
        <v>236305.26</v>
      </c>
    </row>
    <row r="150" spans="1:8" x14ac:dyDescent="0.25">
      <c r="A150" s="2">
        <v>4</v>
      </c>
      <c r="B150" s="54" t="s">
        <v>51</v>
      </c>
      <c r="C150" s="55"/>
      <c r="D150" s="55"/>
      <c r="E150" s="55"/>
      <c r="F150" s="55"/>
      <c r="G150" s="55"/>
      <c r="H150" s="56"/>
    </row>
    <row r="151" spans="1:8" x14ac:dyDescent="0.25">
      <c r="A151" s="6" t="s">
        <v>148</v>
      </c>
      <c r="B151" s="6" t="s">
        <v>21</v>
      </c>
      <c r="C151" s="10" t="s">
        <v>52</v>
      </c>
      <c r="D151" s="7" t="s">
        <v>23</v>
      </c>
      <c r="E151" s="7">
        <f>E132</f>
        <v>900</v>
      </c>
      <c r="F151" s="8">
        <f>COMPOSIÇÕES!F20</f>
        <v>1.8599999999999999</v>
      </c>
      <c r="G151" s="8">
        <f>TRUNC((F151*1.2423),2)</f>
        <v>2.31</v>
      </c>
      <c r="H151" s="8">
        <f>TRUNC((E151*G151),2)</f>
        <v>2079</v>
      </c>
    </row>
    <row r="152" spans="1:8" ht="25.5" x14ac:dyDescent="0.25">
      <c r="A152" s="6" t="s">
        <v>149</v>
      </c>
      <c r="B152" s="6">
        <v>88908</v>
      </c>
      <c r="C152" s="10" t="s">
        <v>155</v>
      </c>
      <c r="D152" s="7" t="s">
        <v>54</v>
      </c>
      <c r="E152" s="7">
        <v>0</v>
      </c>
      <c r="F152" s="8">
        <v>112.37</v>
      </c>
      <c r="G152" s="8">
        <f t="shared" ref="G152:G153" si="34">TRUNC((F152*1.2423),2)</f>
        <v>139.59</v>
      </c>
      <c r="H152" s="8">
        <f>TRUNC((E152*G152),2)</f>
        <v>0</v>
      </c>
    </row>
    <row r="153" spans="1:8" ht="25.5" x14ac:dyDescent="0.25">
      <c r="A153" s="6" t="s">
        <v>150</v>
      </c>
      <c r="B153" s="6">
        <v>88907</v>
      </c>
      <c r="C153" s="10" t="s">
        <v>156</v>
      </c>
      <c r="D153" s="7" t="s">
        <v>56</v>
      </c>
      <c r="E153" s="7">
        <v>0</v>
      </c>
      <c r="F153" s="8">
        <v>275.02999999999997</v>
      </c>
      <c r="G153" s="8">
        <f t="shared" si="34"/>
        <v>341.66</v>
      </c>
      <c r="H153" s="8">
        <f>TRUNC((E153*G153),2)</f>
        <v>0</v>
      </c>
    </row>
    <row r="154" spans="1:8" x14ac:dyDescent="0.25">
      <c r="A154" s="45" t="s">
        <v>50</v>
      </c>
      <c r="B154" s="46"/>
      <c r="C154" s="46"/>
      <c r="D154" s="46"/>
      <c r="E154" s="46"/>
      <c r="F154" s="46"/>
      <c r="G154" s="47"/>
      <c r="H154" s="9">
        <f>SUM(H151:H153)</f>
        <v>2079</v>
      </c>
    </row>
    <row r="155" spans="1:8" x14ac:dyDescent="0.25">
      <c r="A155" s="45" t="s">
        <v>57</v>
      </c>
      <c r="B155" s="46"/>
      <c r="C155" s="46"/>
      <c r="D155" s="46"/>
      <c r="E155" s="46"/>
      <c r="F155" s="46"/>
      <c r="G155" s="47"/>
      <c r="H155" s="40">
        <f>H134+H139+H149+H154</f>
        <v>302572.17000000004</v>
      </c>
    </row>
    <row r="157" spans="1:8" ht="15.75" x14ac:dyDescent="0.25">
      <c r="A157" s="65" t="s">
        <v>4</v>
      </c>
      <c r="B157" s="65"/>
      <c r="C157" s="44" t="s">
        <v>255</v>
      </c>
      <c r="D157" s="43" t="s">
        <v>3</v>
      </c>
      <c r="E157" s="66" t="s">
        <v>256</v>
      </c>
      <c r="F157" s="66"/>
      <c r="G157" s="66"/>
      <c r="H157" s="66"/>
    </row>
    <row r="158" spans="1:8" x14ac:dyDescent="0.25">
      <c r="A158" s="2">
        <v>1</v>
      </c>
      <c r="B158" s="54" t="s">
        <v>14</v>
      </c>
      <c r="C158" s="55"/>
      <c r="D158" s="55"/>
      <c r="E158" s="55"/>
      <c r="F158" s="55"/>
      <c r="G158" s="55"/>
      <c r="H158" s="56"/>
    </row>
    <row r="159" spans="1:8" ht="25.5" x14ac:dyDescent="0.25">
      <c r="A159" s="6" t="s">
        <v>15</v>
      </c>
      <c r="B159" s="6">
        <v>103689</v>
      </c>
      <c r="C159" s="10" t="s">
        <v>145</v>
      </c>
      <c r="D159" s="6" t="s">
        <v>17</v>
      </c>
      <c r="E159" s="7">
        <v>2.88</v>
      </c>
      <c r="F159" s="8">
        <v>462.39</v>
      </c>
      <c r="G159" s="8">
        <f>TRUNC((F159*1.2423),2)</f>
        <v>574.41999999999996</v>
      </c>
      <c r="H159" s="8">
        <f>TRUNC((E159*G159),2)</f>
        <v>1654.32</v>
      </c>
    </row>
    <row r="160" spans="1:8" x14ac:dyDescent="0.25">
      <c r="A160" s="6" t="s">
        <v>18</v>
      </c>
      <c r="B160" s="6" t="s">
        <v>16</v>
      </c>
      <c r="C160" s="10" t="s">
        <v>22</v>
      </c>
      <c r="D160" s="6" t="s">
        <v>23</v>
      </c>
      <c r="E160" s="7">
        <f>ROUND((30*30),2)</f>
        <v>900</v>
      </c>
      <c r="F160" s="8">
        <f>COMPOSIÇÕES!F5</f>
        <v>1.8599999999999999</v>
      </c>
      <c r="G160" s="8">
        <f t="shared" ref="G160:G161" si="35">TRUNC((F160*1.2423),2)</f>
        <v>2.31</v>
      </c>
      <c r="H160" s="8">
        <f t="shared" ref="H160:H161" si="36">TRUNC((E160*G160),2)</f>
        <v>2079</v>
      </c>
    </row>
    <row r="161" spans="1:8" x14ac:dyDescent="0.25">
      <c r="A161" s="6" t="s">
        <v>20</v>
      </c>
      <c r="B161" s="6" t="s">
        <v>19</v>
      </c>
      <c r="C161" s="10" t="s">
        <v>146</v>
      </c>
      <c r="D161" s="6" t="s">
        <v>147</v>
      </c>
      <c r="E161" s="7">
        <v>1</v>
      </c>
      <c r="F161" s="8">
        <f>COMPOSIÇÕES!F14</f>
        <v>14600.800000000001</v>
      </c>
      <c r="G161" s="8">
        <f t="shared" si="35"/>
        <v>18138.57</v>
      </c>
      <c r="H161" s="8">
        <f t="shared" si="36"/>
        <v>18138.57</v>
      </c>
    </row>
    <row r="162" spans="1:8" x14ac:dyDescent="0.25">
      <c r="A162" s="45" t="s">
        <v>26</v>
      </c>
      <c r="B162" s="46"/>
      <c r="C162" s="46"/>
      <c r="D162" s="46"/>
      <c r="E162" s="46"/>
      <c r="F162" s="46"/>
      <c r="G162" s="47"/>
      <c r="H162" s="9">
        <f>SUM(H159:H161)</f>
        <v>21871.89</v>
      </c>
    </row>
    <row r="163" spans="1:8" x14ac:dyDescent="0.25">
      <c r="A163" s="2">
        <v>2</v>
      </c>
      <c r="B163" s="54" t="s">
        <v>27</v>
      </c>
      <c r="C163" s="55"/>
      <c r="D163" s="55"/>
      <c r="E163" s="55"/>
      <c r="F163" s="55"/>
      <c r="G163" s="55"/>
      <c r="H163" s="56"/>
    </row>
    <row r="164" spans="1:8" ht="38.25" x14ac:dyDescent="0.25">
      <c r="A164" s="6" t="s">
        <v>151</v>
      </c>
      <c r="B164" s="6">
        <v>100978</v>
      </c>
      <c r="C164" s="10" t="s">
        <v>33</v>
      </c>
      <c r="D164" s="6" t="s">
        <v>31</v>
      </c>
      <c r="E164" s="7">
        <f>ROUND((185.75*6),2)</f>
        <v>1114.5</v>
      </c>
      <c r="F164" s="8">
        <v>7.62</v>
      </c>
      <c r="G164" s="8">
        <f t="shared" ref="G164:G166" si="37">TRUNC((F164*1.2423),2)</f>
        <v>9.4600000000000009</v>
      </c>
      <c r="H164" s="8">
        <f t="shared" ref="H164:H166" si="38">TRUNC((E164*G164),2)</f>
        <v>10543.17</v>
      </c>
    </row>
    <row r="165" spans="1:8" ht="25.5" x14ac:dyDescent="0.25">
      <c r="A165" s="6" t="s">
        <v>152</v>
      </c>
      <c r="B165" s="6">
        <v>93589</v>
      </c>
      <c r="C165" s="10" t="s">
        <v>74</v>
      </c>
      <c r="D165" s="6" t="s">
        <v>29</v>
      </c>
      <c r="E165" s="7">
        <f>ROUND((E164*1.25*2),2)</f>
        <v>2786.25</v>
      </c>
      <c r="F165" s="8">
        <v>2.9</v>
      </c>
      <c r="G165" s="8">
        <f t="shared" si="37"/>
        <v>3.6</v>
      </c>
      <c r="H165" s="8">
        <f t="shared" si="38"/>
        <v>10030.5</v>
      </c>
    </row>
    <row r="166" spans="1:8" ht="38.25" x14ac:dyDescent="0.25">
      <c r="A166" s="6" t="s">
        <v>153</v>
      </c>
      <c r="B166" s="11" t="s">
        <v>35</v>
      </c>
      <c r="C166" s="10" t="s">
        <v>36</v>
      </c>
      <c r="D166" s="6" t="s">
        <v>31</v>
      </c>
      <c r="E166" s="7">
        <f>E164</f>
        <v>1114.5</v>
      </c>
      <c r="F166" s="8">
        <v>20.82</v>
      </c>
      <c r="G166" s="8">
        <f t="shared" si="37"/>
        <v>25.86</v>
      </c>
      <c r="H166" s="8">
        <f t="shared" si="38"/>
        <v>28820.97</v>
      </c>
    </row>
    <row r="167" spans="1:8" x14ac:dyDescent="0.25">
      <c r="A167" s="45" t="s">
        <v>37</v>
      </c>
      <c r="B167" s="46"/>
      <c r="C167" s="46"/>
      <c r="D167" s="46"/>
      <c r="E167" s="46"/>
      <c r="F167" s="46"/>
      <c r="G167" s="47"/>
      <c r="H167" s="9">
        <f>SUM(H164:H166)</f>
        <v>49394.64</v>
      </c>
    </row>
    <row r="168" spans="1:8" x14ac:dyDescent="0.25">
      <c r="A168" s="2">
        <v>3</v>
      </c>
      <c r="B168" s="54" t="s">
        <v>38</v>
      </c>
      <c r="C168" s="55"/>
      <c r="D168" s="55"/>
      <c r="E168" s="55"/>
      <c r="F168" s="55"/>
      <c r="G168" s="55"/>
      <c r="H168" s="56"/>
    </row>
    <row r="169" spans="1:8" ht="38.25" x14ac:dyDescent="0.25">
      <c r="A169" s="6" t="s">
        <v>85</v>
      </c>
      <c r="B169" s="6">
        <v>102281</v>
      </c>
      <c r="C169" s="10" t="s">
        <v>39</v>
      </c>
      <c r="D169" s="6" t="s">
        <v>31</v>
      </c>
      <c r="E169" s="7">
        <f>ROUND((20*3*3),2)</f>
        <v>180</v>
      </c>
      <c r="F169" s="8">
        <v>6.19</v>
      </c>
      <c r="G169" s="8">
        <f>TRUNC((F169*1.2423),2)</f>
        <v>7.68</v>
      </c>
      <c r="H169" s="8">
        <f>TRUNC((E169*G169),2)</f>
        <v>1382.4</v>
      </c>
    </row>
    <row r="170" spans="1:8" ht="38.25" x14ac:dyDescent="0.25">
      <c r="A170" s="6" t="s">
        <v>96</v>
      </c>
      <c r="B170" s="6">
        <v>93368</v>
      </c>
      <c r="C170" s="10" t="s">
        <v>40</v>
      </c>
      <c r="D170" s="6" t="s">
        <v>31</v>
      </c>
      <c r="E170" s="7">
        <v>0</v>
      </c>
      <c r="F170" s="8">
        <v>23.89</v>
      </c>
      <c r="G170" s="8">
        <f t="shared" ref="G170:G175" si="39">TRUNC((F170*1.2423),2)</f>
        <v>29.67</v>
      </c>
      <c r="H170" s="8">
        <f t="shared" ref="H170:H175" si="40">TRUNC((E170*G170),2)</f>
        <v>0</v>
      </c>
    </row>
    <row r="171" spans="1:8" ht="25.5" x14ac:dyDescent="0.25">
      <c r="A171" s="6" t="s">
        <v>100</v>
      </c>
      <c r="B171" s="6">
        <v>97103</v>
      </c>
      <c r="C171" s="10" t="s">
        <v>69</v>
      </c>
      <c r="D171" s="6" t="s">
        <v>17</v>
      </c>
      <c r="E171" s="7">
        <f>ROUND((10*7),2)</f>
        <v>70</v>
      </c>
      <c r="F171" s="8">
        <v>274.74</v>
      </c>
      <c r="G171" s="8">
        <f t="shared" si="39"/>
        <v>341.3</v>
      </c>
      <c r="H171" s="8">
        <f t="shared" si="40"/>
        <v>23891</v>
      </c>
    </row>
    <row r="172" spans="1:8" ht="38.25" x14ac:dyDescent="0.25">
      <c r="A172" s="6" t="s">
        <v>161</v>
      </c>
      <c r="B172" s="6">
        <v>104497</v>
      </c>
      <c r="C172" s="10" t="s">
        <v>70</v>
      </c>
      <c r="D172" s="6" t="s">
        <v>44</v>
      </c>
      <c r="E172" s="7">
        <v>20</v>
      </c>
      <c r="F172" s="8">
        <v>8880.93</v>
      </c>
      <c r="G172" s="8">
        <f t="shared" si="39"/>
        <v>11032.77</v>
      </c>
      <c r="H172" s="8">
        <f t="shared" si="40"/>
        <v>220655.4</v>
      </c>
    </row>
    <row r="173" spans="1:8" ht="25.5" x14ac:dyDescent="0.25">
      <c r="A173" s="6" t="s">
        <v>162</v>
      </c>
      <c r="B173" s="6">
        <v>100947</v>
      </c>
      <c r="C173" s="12" t="s">
        <v>71</v>
      </c>
      <c r="D173" s="6" t="s">
        <v>23</v>
      </c>
      <c r="E173" s="7">
        <f>ROUND((E172*6.2*30),2)</f>
        <v>3720</v>
      </c>
      <c r="F173" s="8">
        <v>2.4</v>
      </c>
      <c r="G173" s="8">
        <f t="shared" si="39"/>
        <v>2.98</v>
      </c>
      <c r="H173" s="8">
        <f t="shared" si="40"/>
        <v>11085.6</v>
      </c>
    </row>
    <row r="174" spans="1:8" ht="25.5" x14ac:dyDescent="0.25">
      <c r="A174" s="6" t="s">
        <v>163</v>
      </c>
      <c r="B174" s="6">
        <v>100948</v>
      </c>
      <c r="C174" s="12" t="s">
        <v>75</v>
      </c>
      <c r="D174" s="6" t="s">
        <v>23</v>
      </c>
      <c r="E174" s="7">
        <f>ROUND((E172*6.2*85),2)</f>
        <v>10540</v>
      </c>
      <c r="F174" s="8">
        <v>0.95</v>
      </c>
      <c r="G174" s="8">
        <f t="shared" si="39"/>
        <v>1.18</v>
      </c>
      <c r="H174" s="8">
        <f t="shared" si="40"/>
        <v>12437.2</v>
      </c>
    </row>
    <row r="175" spans="1:8" ht="25.5" x14ac:dyDescent="0.25">
      <c r="A175" s="6" t="s">
        <v>164</v>
      </c>
      <c r="B175" s="6">
        <v>102768</v>
      </c>
      <c r="C175" s="10" t="s">
        <v>228</v>
      </c>
      <c r="D175" s="6" t="s">
        <v>25</v>
      </c>
      <c r="E175" s="7">
        <v>2</v>
      </c>
      <c r="F175" s="8">
        <v>49846.879999999997</v>
      </c>
      <c r="G175" s="8">
        <f t="shared" si="39"/>
        <v>61924.77</v>
      </c>
      <c r="H175" s="8">
        <f t="shared" si="40"/>
        <v>123849.54</v>
      </c>
    </row>
    <row r="176" spans="1:8" x14ac:dyDescent="0.25">
      <c r="A176" s="45" t="s">
        <v>49</v>
      </c>
      <c r="B176" s="46"/>
      <c r="C176" s="46"/>
      <c r="D176" s="46"/>
      <c r="E176" s="46"/>
      <c r="F176" s="46"/>
      <c r="G176" s="47"/>
      <c r="H176" s="9">
        <f>SUM(H169:H175)</f>
        <v>393301.13999999996</v>
      </c>
    </row>
    <row r="177" spans="1:8" x14ac:dyDescent="0.25">
      <c r="A177" s="2">
        <v>4</v>
      </c>
      <c r="B177" s="54" t="s">
        <v>51</v>
      </c>
      <c r="C177" s="55"/>
      <c r="D177" s="55"/>
      <c r="E177" s="55"/>
      <c r="F177" s="55"/>
      <c r="G177" s="55"/>
      <c r="H177" s="56"/>
    </row>
    <row r="178" spans="1:8" x14ac:dyDescent="0.25">
      <c r="A178" s="6" t="s">
        <v>148</v>
      </c>
      <c r="B178" s="6" t="s">
        <v>21</v>
      </c>
      <c r="C178" s="10" t="s">
        <v>52</v>
      </c>
      <c r="D178" s="7" t="s">
        <v>23</v>
      </c>
      <c r="E178" s="7">
        <f>E160</f>
        <v>900</v>
      </c>
      <c r="F178" s="8">
        <f>COMPOSIÇÕES!F20</f>
        <v>1.8599999999999999</v>
      </c>
      <c r="G178" s="8">
        <f t="shared" ref="G178:G180" si="41">TRUNC((F178*1.2423),2)</f>
        <v>2.31</v>
      </c>
      <c r="H178" s="8">
        <f>TRUNC((E178*G178),2)</f>
        <v>2079</v>
      </c>
    </row>
    <row r="179" spans="1:8" ht="25.5" x14ac:dyDescent="0.25">
      <c r="A179" s="6" t="s">
        <v>149</v>
      </c>
      <c r="B179" s="6">
        <v>88908</v>
      </c>
      <c r="C179" s="10" t="s">
        <v>155</v>
      </c>
      <c r="D179" s="7" t="s">
        <v>54</v>
      </c>
      <c r="E179" s="7">
        <v>30</v>
      </c>
      <c r="F179" s="8">
        <v>112.37</v>
      </c>
      <c r="G179" s="8">
        <f t="shared" si="41"/>
        <v>139.59</v>
      </c>
      <c r="H179" s="8">
        <f>TRUNC((E179*G179),2)</f>
        <v>4187.7</v>
      </c>
    </row>
    <row r="180" spans="1:8" ht="25.5" x14ac:dyDescent="0.25">
      <c r="A180" s="6" t="s">
        <v>150</v>
      </c>
      <c r="B180" s="6">
        <v>88907</v>
      </c>
      <c r="C180" s="10" t="s">
        <v>156</v>
      </c>
      <c r="D180" s="7" t="s">
        <v>56</v>
      </c>
      <c r="E180" s="7">
        <v>60</v>
      </c>
      <c r="F180" s="8">
        <v>275.02999999999997</v>
      </c>
      <c r="G180" s="8">
        <f t="shared" si="41"/>
        <v>341.66</v>
      </c>
      <c r="H180" s="8">
        <f>TRUNC((E180*G180),2)</f>
        <v>20499.599999999999</v>
      </c>
    </row>
    <row r="181" spans="1:8" x14ac:dyDescent="0.25">
      <c r="A181" s="45" t="s">
        <v>50</v>
      </c>
      <c r="B181" s="46"/>
      <c r="C181" s="46"/>
      <c r="D181" s="46"/>
      <c r="E181" s="46"/>
      <c r="F181" s="46"/>
      <c r="G181" s="47"/>
      <c r="H181" s="9">
        <f>SUM(H178:H180)</f>
        <v>26766.3</v>
      </c>
    </row>
    <row r="182" spans="1:8" x14ac:dyDescent="0.25">
      <c r="A182" s="45" t="s">
        <v>57</v>
      </c>
      <c r="B182" s="46"/>
      <c r="C182" s="46"/>
      <c r="D182" s="46"/>
      <c r="E182" s="46"/>
      <c r="F182" s="46"/>
      <c r="G182" s="47"/>
      <c r="H182" s="40">
        <f>H162+H167+H176+H181</f>
        <v>491333.96999999991</v>
      </c>
    </row>
    <row r="184" spans="1:8" x14ac:dyDescent="0.25">
      <c r="A184" s="65" t="s">
        <v>4</v>
      </c>
      <c r="B184" s="65"/>
      <c r="C184" s="87" t="s">
        <v>243</v>
      </c>
      <c r="D184" s="43" t="s">
        <v>3</v>
      </c>
      <c r="E184" s="84" t="s">
        <v>76</v>
      </c>
      <c r="F184" s="85"/>
      <c r="G184" s="85"/>
      <c r="H184" s="86"/>
    </row>
    <row r="185" spans="1:8" x14ac:dyDescent="0.25">
      <c r="A185" s="2">
        <v>1</v>
      </c>
      <c r="B185" s="54" t="s">
        <v>14</v>
      </c>
      <c r="C185" s="55"/>
      <c r="D185" s="55"/>
      <c r="E185" s="55"/>
      <c r="F185" s="55"/>
      <c r="G185" s="55"/>
      <c r="H185" s="56"/>
    </row>
    <row r="186" spans="1:8" ht="25.5" x14ac:dyDescent="0.25">
      <c r="A186" s="6" t="s">
        <v>15</v>
      </c>
      <c r="B186" s="6">
        <v>103689</v>
      </c>
      <c r="C186" s="10" t="s">
        <v>145</v>
      </c>
      <c r="D186" s="6" t="s">
        <v>17</v>
      </c>
      <c r="E186" s="7">
        <v>2.88</v>
      </c>
      <c r="F186" s="8">
        <v>462.39</v>
      </c>
      <c r="G186" s="8">
        <f>TRUNC((F186*1.2423),2)</f>
        <v>574.41999999999996</v>
      </c>
      <c r="H186" s="8">
        <f>TRUNC((E186*G186),2)</f>
        <v>1654.32</v>
      </c>
    </row>
    <row r="187" spans="1:8" x14ac:dyDescent="0.25">
      <c r="A187" s="6" t="s">
        <v>18</v>
      </c>
      <c r="B187" s="6" t="s">
        <v>16</v>
      </c>
      <c r="C187" s="10" t="s">
        <v>22</v>
      </c>
      <c r="D187" s="6" t="s">
        <v>23</v>
      </c>
      <c r="E187" s="7">
        <f>ROUND((30*30),2)</f>
        <v>900</v>
      </c>
      <c r="F187" s="8">
        <f>COMPOSIÇÕES!F5</f>
        <v>1.8599999999999999</v>
      </c>
      <c r="G187" s="8">
        <f t="shared" ref="G187:G188" si="42">TRUNC((F187*1.2423),2)</f>
        <v>2.31</v>
      </c>
      <c r="H187" s="8">
        <f t="shared" ref="H187:H188" si="43">TRUNC((E187*G187),2)</f>
        <v>2079</v>
      </c>
    </row>
    <row r="188" spans="1:8" x14ac:dyDescent="0.25">
      <c r="A188" s="6" t="s">
        <v>20</v>
      </c>
      <c r="B188" s="6" t="s">
        <v>19</v>
      </c>
      <c r="C188" s="10" t="s">
        <v>146</v>
      </c>
      <c r="D188" s="6" t="s">
        <v>147</v>
      </c>
      <c r="E188" s="7">
        <v>1</v>
      </c>
      <c r="F188" s="8">
        <f>COMPOSIÇÕES!F14</f>
        <v>14600.800000000001</v>
      </c>
      <c r="G188" s="8">
        <f t="shared" si="42"/>
        <v>18138.57</v>
      </c>
      <c r="H188" s="8">
        <f t="shared" si="43"/>
        <v>18138.57</v>
      </c>
    </row>
    <row r="189" spans="1:8" x14ac:dyDescent="0.25">
      <c r="A189" s="45" t="s">
        <v>26</v>
      </c>
      <c r="B189" s="46"/>
      <c r="C189" s="46"/>
      <c r="D189" s="46"/>
      <c r="E189" s="46"/>
      <c r="F189" s="46"/>
      <c r="G189" s="47"/>
      <c r="H189" s="9">
        <f>SUM(H186:H188)</f>
        <v>21871.89</v>
      </c>
    </row>
    <row r="190" spans="1:8" x14ac:dyDescent="0.25">
      <c r="A190" s="2">
        <v>2</v>
      </c>
      <c r="B190" s="54" t="s">
        <v>27</v>
      </c>
      <c r="C190" s="55"/>
      <c r="D190" s="55"/>
      <c r="E190" s="55"/>
      <c r="F190" s="55"/>
      <c r="G190" s="55"/>
      <c r="H190" s="56"/>
    </row>
    <row r="191" spans="1:8" ht="38.25" x14ac:dyDescent="0.25">
      <c r="A191" s="6" t="s">
        <v>151</v>
      </c>
      <c r="B191" s="6">
        <v>100978</v>
      </c>
      <c r="C191" s="10" t="s">
        <v>33</v>
      </c>
      <c r="D191" s="6" t="s">
        <v>31</v>
      </c>
      <c r="E191" s="7">
        <v>0</v>
      </c>
      <c r="F191" s="8">
        <v>7.62</v>
      </c>
      <c r="G191" s="8">
        <f>TRUNC((F191*1.2423),2)</f>
        <v>9.4600000000000009</v>
      </c>
      <c r="H191" s="8">
        <f t="shared" ref="H191:H193" si="44">TRUNC((E191*G191),2)</f>
        <v>0</v>
      </c>
    </row>
    <row r="192" spans="1:8" ht="25.5" x14ac:dyDescent="0.25">
      <c r="A192" s="6" t="s">
        <v>152</v>
      </c>
      <c r="B192" s="6">
        <v>93589</v>
      </c>
      <c r="C192" s="10" t="s">
        <v>77</v>
      </c>
      <c r="D192" s="6" t="s">
        <v>29</v>
      </c>
      <c r="E192" s="7">
        <v>0</v>
      </c>
      <c r="F192" s="8">
        <v>2.9</v>
      </c>
      <c r="G192" s="8">
        <f t="shared" ref="G192:G193" si="45">TRUNC((F192*1.2423),2)</f>
        <v>3.6</v>
      </c>
      <c r="H192" s="8">
        <f t="shared" si="44"/>
        <v>0</v>
      </c>
    </row>
    <row r="193" spans="1:8" ht="38.25" x14ac:dyDescent="0.25">
      <c r="A193" s="6" t="s">
        <v>153</v>
      </c>
      <c r="B193" s="11" t="s">
        <v>35</v>
      </c>
      <c r="C193" s="10" t="s">
        <v>36</v>
      </c>
      <c r="D193" s="6" t="s">
        <v>31</v>
      </c>
      <c r="E193" s="7">
        <v>0</v>
      </c>
      <c r="F193" s="8">
        <v>20.82</v>
      </c>
      <c r="G193" s="8">
        <f t="shared" si="45"/>
        <v>25.86</v>
      </c>
      <c r="H193" s="8">
        <f t="shared" si="44"/>
        <v>0</v>
      </c>
    </row>
    <row r="194" spans="1:8" x14ac:dyDescent="0.25">
      <c r="A194" s="45" t="s">
        <v>37</v>
      </c>
      <c r="B194" s="46"/>
      <c r="C194" s="46"/>
      <c r="D194" s="46"/>
      <c r="E194" s="46"/>
      <c r="F194" s="46"/>
      <c r="G194" s="47"/>
      <c r="H194" s="9">
        <f>SUM(H191:H193)</f>
        <v>0</v>
      </c>
    </row>
    <row r="195" spans="1:8" x14ac:dyDescent="0.25">
      <c r="A195" s="2">
        <v>3</v>
      </c>
      <c r="B195" s="54" t="s">
        <v>38</v>
      </c>
      <c r="C195" s="55"/>
      <c r="D195" s="55"/>
      <c r="E195" s="55"/>
      <c r="F195" s="55"/>
      <c r="G195" s="55"/>
      <c r="H195" s="56"/>
    </row>
    <row r="196" spans="1:8" ht="38.25" x14ac:dyDescent="0.25">
      <c r="A196" s="6" t="s">
        <v>85</v>
      </c>
      <c r="B196" s="6">
        <v>102281</v>
      </c>
      <c r="C196" s="10" t="s">
        <v>39</v>
      </c>
      <c r="D196" s="6" t="s">
        <v>31</v>
      </c>
      <c r="E196" s="7">
        <f>ROUND((E200*3*3),2)</f>
        <v>45</v>
      </c>
      <c r="F196" s="8">
        <v>6.19</v>
      </c>
      <c r="G196" s="8">
        <f>TRUNC((F196*1.2423),2)</f>
        <v>7.68</v>
      </c>
      <c r="H196" s="8">
        <f>TRUNC((E196*G196),2)</f>
        <v>345.6</v>
      </c>
    </row>
    <row r="197" spans="1:8" ht="38.25" x14ac:dyDescent="0.25">
      <c r="A197" s="6" t="s">
        <v>96</v>
      </c>
      <c r="B197" s="6">
        <v>93368</v>
      </c>
      <c r="C197" s="10" t="s">
        <v>40</v>
      </c>
      <c r="D197" s="6" t="s">
        <v>31</v>
      </c>
      <c r="E197" s="7">
        <v>0</v>
      </c>
      <c r="F197" s="8">
        <v>23.89</v>
      </c>
      <c r="G197" s="8">
        <f t="shared" ref="G197:G203" si="46">TRUNC((F197*1.2423),2)</f>
        <v>29.67</v>
      </c>
      <c r="H197" s="8">
        <f t="shared" ref="H197:H203" si="47">TRUNC((E197*G197),2)</f>
        <v>0</v>
      </c>
    </row>
    <row r="198" spans="1:8" ht="25.5" x14ac:dyDescent="0.25">
      <c r="A198" s="6" t="s">
        <v>100</v>
      </c>
      <c r="B198" s="6">
        <v>97625</v>
      </c>
      <c r="C198" s="10" t="s">
        <v>172</v>
      </c>
      <c r="D198" s="6" t="s">
        <v>31</v>
      </c>
      <c r="E198" s="7">
        <f>ROUND((2.6*1.6*5),2)</f>
        <v>20.8</v>
      </c>
      <c r="F198" s="8">
        <v>58.37</v>
      </c>
      <c r="G198" s="8">
        <f t="shared" si="46"/>
        <v>72.510000000000005</v>
      </c>
      <c r="H198" s="8">
        <f t="shared" si="47"/>
        <v>1508.2</v>
      </c>
    </row>
    <row r="199" spans="1:8" ht="25.5" x14ac:dyDescent="0.25">
      <c r="A199" s="6" t="s">
        <v>161</v>
      </c>
      <c r="B199" s="6">
        <v>97103</v>
      </c>
      <c r="C199" s="10" t="s">
        <v>69</v>
      </c>
      <c r="D199" s="6" t="s">
        <v>17</v>
      </c>
      <c r="E199" s="7">
        <f>ROUND((5*3.5),2)</f>
        <v>17.5</v>
      </c>
      <c r="F199" s="8">
        <v>274.74</v>
      </c>
      <c r="G199" s="8">
        <f t="shared" si="46"/>
        <v>341.3</v>
      </c>
      <c r="H199" s="8">
        <f t="shared" si="47"/>
        <v>5972.75</v>
      </c>
    </row>
    <row r="200" spans="1:8" ht="38.25" x14ac:dyDescent="0.25">
      <c r="A200" s="6" t="s">
        <v>162</v>
      </c>
      <c r="B200" s="6">
        <v>104494</v>
      </c>
      <c r="C200" s="10" t="s">
        <v>173</v>
      </c>
      <c r="D200" s="6" t="s">
        <v>44</v>
      </c>
      <c r="E200" s="7">
        <v>5</v>
      </c>
      <c r="F200" s="8">
        <v>7406.74</v>
      </c>
      <c r="G200" s="8">
        <f t="shared" si="46"/>
        <v>9201.39</v>
      </c>
      <c r="H200" s="8">
        <f t="shared" si="47"/>
        <v>46006.95</v>
      </c>
    </row>
    <row r="201" spans="1:8" ht="25.5" x14ac:dyDescent="0.25">
      <c r="A201" s="6" t="s">
        <v>163</v>
      </c>
      <c r="B201" s="6">
        <v>100947</v>
      </c>
      <c r="C201" s="12" t="s">
        <v>71</v>
      </c>
      <c r="D201" s="6" t="s">
        <v>23</v>
      </c>
      <c r="E201" s="7">
        <f>ROUND((E200*6.2*30),2)</f>
        <v>930</v>
      </c>
      <c r="F201" s="8">
        <v>2.4</v>
      </c>
      <c r="G201" s="8">
        <f t="shared" si="46"/>
        <v>2.98</v>
      </c>
      <c r="H201" s="8">
        <f t="shared" si="47"/>
        <v>2771.4</v>
      </c>
    </row>
    <row r="202" spans="1:8" ht="25.5" x14ac:dyDescent="0.25">
      <c r="A202" s="6" t="s">
        <v>164</v>
      </c>
      <c r="B202" s="6">
        <v>100948</v>
      </c>
      <c r="C202" s="12" t="s">
        <v>75</v>
      </c>
      <c r="D202" s="6" t="s">
        <v>23</v>
      </c>
      <c r="E202" s="7">
        <f>ROUND((E200*6.2*85),2)</f>
        <v>2635</v>
      </c>
      <c r="F202" s="8">
        <v>0.95</v>
      </c>
      <c r="G202" s="8">
        <f t="shared" si="46"/>
        <v>1.18</v>
      </c>
      <c r="H202" s="8">
        <f t="shared" si="47"/>
        <v>3109.3</v>
      </c>
    </row>
    <row r="203" spans="1:8" ht="25.5" x14ac:dyDescent="0.25">
      <c r="A203" s="6" t="s">
        <v>165</v>
      </c>
      <c r="B203" s="6">
        <v>102763</v>
      </c>
      <c r="C203" s="10" t="s">
        <v>174</v>
      </c>
      <c r="D203" s="6" t="s">
        <v>25</v>
      </c>
      <c r="E203" s="7">
        <v>2</v>
      </c>
      <c r="F203" s="8">
        <v>29141.200000000001</v>
      </c>
      <c r="G203" s="8">
        <f t="shared" si="46"/>
        <v>36202.11</v>
      </c>
      <c r="H203" s="8">
        <f t="shared" si="47"/>
        <v>72404.22</v>
      </c>
    </row>
    <row r="204" spans="1:8" x14ac:dyDescent="0.25">
      <c r="A204" s="45" t="s">
        <v>49</v>
      </c>
      <c r="B204" s="46"/>
      <c r="C204" s="46"/>
      <c r="D204" s="46"/>
      <c r="E204" s="46"/>
      <c r="F204" s="46"/>
      <c r="G204" s="47"/>
      <c r="H204" s="9">
        <f>SUM(H196:H203)</f>
        <v>132118.42000000001</v>
      </c>
    </row>
    <row r="205" spans="1:8" x14ac:dyDescent="0.25">
      <c r="A205" s="2">
        <v>4</v>
      </c>
      <c r="B205" s="54" t="s">
        <v>51</v>
      </c>
      <c r="C205" s="55"/>
      <c r="D205" s="55"/>
      <c r="E205" s="55"/>
      <c r="F205" s="55"/>
      <c r="G205" s="55"/>
      <c r="H205" s="56"/>
    </row>
    <row r="206" spans="1:8" x14ac:dyDescent="0.25">
      <c r="A206" s="6" t="s">
        <v>148</v>
      </c>
      <c r="B206" s="6" t="s">
        <v>21</v>
      </c>
      <c r="C206" s="10" t="s">
        <v>52</v>
      </c>
      <c r="D206" s="7" t="s">
        <v>23</v>
      </c>
      <c r="E206" s="7">
        <f>E187</f>
        <v>900</v>
      </c>
      <c r="F206" s="8">
        <f>COMPOSIÇÕES!F20</f>
        <v>1.8599999999999999</v>
      </c>
      <c r="G206" s="8">
        <f>TRUNC((F206*1.2423),2)</f>
        <v>2.31</v>
      </c>
      <c r="H206" s="8">
        <f>TRUNC((E206*G206),2)</f>
        <v>2079</v>
      </c>
    </row>
    <row r="207" spans="1:8" ht="25.5" x14ac:dyDescent="0.25">
      <c r="A207" s="6" t="s">
        <v>149</v>
      </c>
      <c r="B207" s="6">
        <v>88908</v>
      </c>
      <c r="C207" s="10" t="s">
        <v>155</v>
      </c>
      <c r="D207" s="7" t="s">
        <v>54</v>
      </c>
      <c r="E207" s="7">
        <v>30</v>
      </c>
      <c r="F207" s="8">
        <v>112.37</v>
      </c>
      <c r="G207" s="8">
        <f t="shared" ref="G207:G208" si="48">TRUNC((F207*1.2423),2)</f>
        <v>139.59</v>
      </c>
      <c r="H207" s="8">
        <f>TRUNC((E207*G207),2)</f>
        <v>4187.7</v>
      </c>
    </row>
    <row r="208" spans="1:8" ht="25.5" x14ac:dyDescent="0.25">
      <c r="A208" s="6" t="s">
        <v>150</v>
      </c>
      <c r="B208" s="6">
        <v>88907</v>
      </c>
      <c r="C208" s="10" t="s">
        <v>156</v>
      </c>
      <c r="D208" s="7" t="s">
        <v>56</v>
      </c>
      <c r="E208" s="7">
        <v>60</v>
      </c>
      <c r="F208" s="8">
        <v>275.02999999999997</v>
      </c>
      <c r="G208" s="8">
        <f t="shared" si="48"/>
        <v>341.66</v>
      </c>
      <c r="H208" s="8">
        <f>TRUNC((E208*G208),2)</f>
        <v>20499.599999999999</v>
      </c>
    </row>
    <row r="209" spans="1:8" x14ac:dyDescent="0.25">
      <c r="A209" s="45" t="s">
        <v>50</v>
      </c>
      <c r="B209" s="46"/>
      <c r="C209" s="46"/>
      <c r="D209" s="46"/>
      <c r="E209" s="46"/>
      <c r="F209" s="46"/>
      <c r="G209" s="47"/>
      <c r="H209" s="9">
        <f>SUM(H206:H208)</f>
        <v>26766.3</v>
      </c>
    </row>
    <row r="210" spans="1:8" x14ac:dyDescent="0.25">
      <c r="A210" s="45" t="s">
        <v>57</v>
      </c>
      <c r="B210" s="46"/>
      <c r="C210" s="46"/>
      <c r="D210" s="46"/>
      <c r="E210" s="46"/>
      <c r="F210" s="46"/>
      <c r="G210" s="47"/>
      <c r="H210" s="40">
        <f>H189+H194+H204+H209</f>
        <v>180756.61</v>
      </c>
    </row>
    <row r="212" spans="1:8" ht="15.75" x14ac:dyDescent="0.25">
      <c r="A212" s="65" t="s">
        <v>4</v>
      </c>
      <c r="B212" s="65"/>
      <c r="C212" s="44" t="s">
        <v>257</v>
      </c>
      <c r="D212" s="43" t="s">
        <v>3</v>
      </c>
      <c r="E212" s="84" t="s">
        <v>256</v>
      </c>
      <c r="F212" s="85"/>
      <c r="G212" s="85"/>
      <c r="H212" s="86"/>
    </row>
    <row r="213" spans="1:8" x14ac:dyDescent="0.25">
      <c r="A213" s="2">
        <v>1</v>
      </c>
      <c r="B213" s="54" t="s">
        <v>14</v>
      </c>
      <c r="C213" s="55"/>
      <c r="D213" s="55"/>
      <c r="E213" s="55"/>
      <c r="F213" s="55"/>
      <c r="G213" s="55"/>
      <c r="H213" s="56"/>
    </row>
    <row r="214" spans="1:8" ht="25.5" x14ac:dyDescent="0.25">
      <c r="A214" s="6" t="s">
        <v>15</v>
      </c>
      <c r="B214" s="6">
        <v>103689</v>
      </c>
      <c r="C214" s="10" t="s">
        <v>145</v>
      </c>
      <c r="D214" s="6" t="s">
        <v>17</v>
      </c>
      <c r="E214" s="7">
        <v>2.88</v>
      </c>
      <c r="F214" s="8">
        <v>462.39</v>
      </c>
      <c r="G214" s="8">
        <f>TRUNC((F214*1.2423),2)</f>
        <v>574.41999999999996</v>
      </c>
      <c r="H214" s="8">
        <f>TRUNC((E214*G214),2)</f>
        <v>1654.32</v>
      </c>
    </row>
    <row r="215" spans="1:8" x14ac:dyDescent="0.25">
      <c r="A215" s="6" t="s">
        <v>18</v>
      </c>
      <c r="B215" s="6" t="s">
        <v>16</v>
      </c>
      <c r="C215" s="10" t="s">
        <v>22</v>
      </c>
      <c r="D215" s="6" t="s">
        <v>23</v>
      </c>
      <c r="E215" s="7">
        <f>ROUND((30*35),2)</f>
        <v>1050</v>
      </c>
      <c r="F215" s="8">
        <f>COMPOSIÇÕES!F5</f>
        <v>1.8599999999999999</v>
      </c>
      <c r="G215" s="8">
        <f t="shared" ref="G215:G216" si="49">TRUNC((F215*1.2423),2)</f>
        <v>2.31</v>
      </c>
      <c r="H215" s="8">
        <f t="shared" ref="H215:H216" si="50">TRUNC((E215*G215),2)</f>
        <v>2425.5</v>
      </c>
    </row>
    <row r="216" spans="1:8" x14ac:dyDescent="0.25">
      <c r="A216" s="6" t="s">
        <v>20</v>
      </c>
      <c r="B216" s="6" t="s">
        <v>19</v>
      </c>
      <c r="C216" s="10" t="s">
        <v>146</v>
      </c>
      <c r="D216" s="6" t="s">
        <v>147</v>
      </c>
      <c r="E216" s="7">
        <v>1</v>
      </c>
      <c r="F216" s="8">
        <f>COMPOSIÇÕES!F14</f>
        <v>14600.800000000001</v>
      </c>
      <c r="G216" s="8">
        <f t="shared" si="49"/>
        <v>18138.57</v>
      </c>
      <c r="H216" s="8">
        <f t="shared" si="50"/>
        <v>18138.57</v>
      </c>
    </row>
    <row r="217" spans="1:8" x14ac:dyDescent="0.25">
      <c r="A217" s="45" t="s">
        <v>26</v>
      </c>
      <c r="B217" s="46"/>
      <c r="C217" s="46"/>
      <c r="D217" s="46"/>
      <c r="E217" s="46"/>
      <c r="F217" s="46"/>
      <c r="G217" s="47"/>
      <c r="H217" s="9">
        <f>SUM(H214:H216)</f>
        <v>22218.39</v>
      </c>
    </row>
    <row r="218" spans="1:8" x14ac:dyDescent="0.25">
      <c r="A218" s="2">
        <v>2</v>
      </c>
      <c r="B218" s="54" t="s">
        <v>27</v>
      </c>
      <c r="C218" s="55"/>
      <c r="D218" s="55"/>
      <c r="E218" s="55"/>
      <c r="F218" s="55"/>
      <c r="G218" s="55"/>
      <c r="H218" s="56"/>
    </row>
    <row r="219" spans="1:8" ht="38.25" x14ac:dyDescent="0.25">
      <c r="A219" s="6" t="s">
        <v>151</v>
      </c>
      <c r="B219" s="6">
        <v>100978</v>
      </c>
      <c r="C219" s="10" t="s">
        <v>33</v>
      </c>
      <c r="D219" s="6" t="s">
        <v>31</v>
      </c>
      <c r="E219" s="7">
        <v>0</v>
      </c>
      <c r="F219" s="8">
        <v>7.62</v>
      </c>
      <c r="G219" s="8">
        <f t="shared" ref="G219:G221" si="51">TRUNC((F219*1.2423),2)</f>
        <v>9.4600000000000009</v>
      </c>
      <c r="H219" s="8">
        <f t="shared" ref="H219:H221" si="52">TRUNC((E219*G219),2)</f>
        <v>0</v>
      </c>
    </row>
    <row r="220" spans="1:8" ht="25.5" x14ac:dyDescent="0.25">
      <c r="A220" s="6" t="s">
        <v>152</v>
      </c>
      <c r="B220" s="6">
        <v>93589</v>
      </c>
      <c r="C220" s="10" t="s">
        <v>66</v>
      </c>
      <c r="D220" s="6" t="s">
        <v>29</v>
      </c>
      <c r="E220" s="7">
        <v>0</v>
      </c>
      <c r="F220" s="8">
        <v>2.9</v>
      </c>
      <c r="G220" s="8">
        <f t="shared" si="51"/>
        <v>3.6</v>
      </c>
      <c r="H220" s="8">
        <f t="shared" si="52"/>
        <v>0</v>
      </c>
    </row>
    <row r="221" spans="1:8" ht="25.5" x14ac:dyDescent="0.25">
      <c r="A221" s="6" t="s">
        <v>153</v>
      </c>
      <c r="B221" s="11" t="s">
        <v>24</v>
      </c>
      <c r="C221" s="10" t="s">
        <v>36</v>
      </c>
      <c r="D221" s="6" t="s">
        <v>31</v>
      </c>
      <c r="E221" s="7">
        <v>0</v>
      </c>
      <c r="F221" s="8">
        <v>20.82</v>
      </c>
      <c r="G221" s="8">
        <f t="shared" si="51"/>
        <v>25.86</v>
      </c>
      <c r="H221" s="8">
        <f t="shared" si="52"/>
        <v>0</v>
      </c>
    </row>
    <row r="222" spans="1:8" x14ac:dyDescent="0.25">
      <c r="A222" s="45" t="s">
        <v>37</v>
      </c>
      <c r="B222" s="46"/>
      <c r="C222" s="46"/>
      <c r="D222" s="46"/>
      <c r="E222" s="46"/>
      <c r="F222" s="46"/>
      <c r="G222" s="47"/>
      <c r="H222" s="9">
        <f>SUM(H219:H221)</f>
        <v>0</v>
      </c>
    </row>
    <row r="223" spans="1:8" x14ac:dyDescent="0.25">
      <c r="A223" s="2">
        <v>3</v>
      </c>
      <c r="B223" s="54" t="s">
        <v>38</v>
      </c>
      <c r="C223" s="55"/>
      <c r="D223" s="55"/>
      <c r="E223" s="55"/>
      <c r="F223" s="55"/>
      <c r="G223" s="55"/>
      <c r="H223" s="56"/>
    </row>
    <row r="224" spans="1:8" ht="38.25" x14ac:dyDescent="0.25">
      <c r="A224" s="6" t="s">
        <v>85</v>
      </c>
      <c r="B224" s="6">
        <v>102281</v>
      </c>
      <c r="C224" s="10" t="s">
        <v>39</v>
      </c>
      <c r="D224" s="6" t="s">
        <v>31</v>
      </c>
      <c r="E224" s="7">
        <f>ROUND((2.2*1.5*(E228+E229)),2)</f>
        <v>85.8</v>
      </c>
      <c r="F224" s="8">
        <v>6.19</v>
      </c>
      <c r="G224" s="8">
        <f>TRUNC((F224*1.2423),2)</f>
        <v>7.68</v>
      </c>
      <c r="H224" s="8">
        <f>TRUNC((E224*G224),2)</f>
        <v>658.94</v>
      </c>
    </row>
    <row r="225" spans="1:8" ht="38.25" x14ac:dyDescent="0.25">
      <c r="A225" s="6" t="s">
        <v>96</v>
      </c>
      <c r="B225" s="6">
        <v>93368</v>
      </c>
      <c r="C225" s="10" t="s">
        <v>40</v>
      </c>
      <c r="D225" s="6" t="s">
        <v>31</v>
      </c>
      <c r="E225" s="7">
        <f>ROUND((E224-((E228+E229)*1.13)),2)</f>
        <v>56.42</v>
      </c>
      <c r="F225" s="8">
        <v>23.89</v>
      </c>
      <c r="G225" s="8">
        <f t="shared" ref="G225:G233" si="53">TRUNC((F225*1.2423),2)</f>
        <v>29.67</v>
      </c>
      <c r="H225" s="8">
        <f t="shared" ref="H225:H233" si="54">TRUNC((E225*G225),2)</f>
        <v>1673.98</v>
      </c>
    </row>
    <row r="226" spans="1:8" ht="25.5" x14ac:dyDescent="0.25">
      <c r="A226" s="6" t="s">
        <v>100</v>
      </c>
      <c r="B226" s="6">
        <v>101623</v>
      </c>
      <c r="C226" s="10" t="s">
        <v>41</v>
      </c>
      <c r="D226" s="6" t="s">
        <v>31</v>
      </c>
      <c r="E226" s="7">
        <f>ROUND(((E228+E229)*1*0.1),2)</f>
        <v>2.6</v>
      </c>
      <c r="F226" s="8">
        <v>253.05</v>
      </c>
      <c r="G226" s="8">
        <f t="shared" si="53"/>
        <v>314.36</v>
      </c>
      <c r="H226" s="8">
        <f t="shared" si="54"/>
        <v>817.33</v>
      </c>
    </row>
    <row r="227" spans="1:8" ht="25.5" x14ac:dyDescent="0.25">
      <c r="A227" s="6" t="s">
        <v>161</v>
      </c>
      <c r="B227" s="6">
        <v>93589</v>
      </c>
      <c r="C227" s="12" t="s">
        <v>78</v>
      </c>
      <c r="D227" s="6" t="s">
        <v>29</v>
      </c>
      <c r="E227" s="7">
        <f>ROUND((E226*25),2)</f>
        <v>65</v>
      </c>
      <c r="F227" s="8">
        <v>2.9</v>
      </c>
      <c r="G227" s="8">
        <f t="shared" si="53"/>
        <v>3.6</v>
      </c>
      <c r="H227" s="8">
        <f t="shared" si="54"/>
        <v>234</v>
      </c>
    </row>
    <row r="228" spans="1:8" ht="38.25" x14ac:dyDescent="0.25">
      <c r="A228" s="6" t="s">
        <v>162</v>
      </c>
      <c r="B228" s="6">
        <v>92216</v>
      </c>
      <c r="C228" s="10" t="s">
        <v>43</v>
      </c>
      <c r="D228" s="6" t="s">
        <v>44</v>
      </c>
      <c r="E228" s="7">
        <f>5+13</f>
        <v>18</v>
      </c>
      <c r="F228" s="8">
        <v>620.05999999999995</v>
      </c>
      <c r="G228" s="8">
        <f t="shared" si="53"/>
        <v>770.3</v>
      </c>
      <c r="H228" s="8">
        <f t="shared" si="54"/>
        <v>13865.4</v>
      </c>
    </row>
    <row r="229" spans="1:8" ht="38.25" x14ac:dyDescent="0.25">
      <c r="A229" s="6" t="s">
        <v>163</v>
      </c>
      <c r="B229" s="6">
        <v>92815</v>
      </c>
      <c r="C229" s="10" t="s">
        <v>175</v>
      </c>
      <c r="D229" s="6" t="s">
        <v>44</v>
      </c>
      <c r="E229" s="7">
        <v>8</v>
      </c>
      <c r="F229" s="8">
        <v>107.01</v>
      </c>
      <c r="G229" s="8">
        <f t="shared" si="53"/>
        <v>132.93</v>
      </c>
      <c r="H229" s="8">
        <f t="shared" si="54"/>
        <v>1063.44</v>
      </c>
    </row>
    <row r="230" spans="1:8" ht="25.5" x14ac:dyDescent="0.25">
      <c r="A230" s="6" t="s">
        <v>164</v>
      </c>
      <c r="B230" s="6">
        <v>100947</v>
      </c>
      <c r="C230" s="10" t="s">
        <v>71</v>
      </c>
      <c r="D230" s="6" t="s">
        <v>23</v>
      </c>
      <c r="E230" s="7">
        <f>ROUND((E228*1.08*30),2)</f>
        <v>583.20000000000005</v>
      </c>
      <c r="F230" s="8">
        <v>2.4</v>
      </c>
      <c r="G230" s="8">
        <f t="shared" si="53"/>
        <v>2.98</v>
      </c>
      <c r="H230" s="8">
        <f t="shared" si="54"/>
        <v>1737.93</v>
      </c>
    </row>
    <row r="231" spans="1:8" ht="25.5" x14ac:dyDescent="0.25">
      <c r="A231" s="6" t="s">
        <v>165</v>
      </c>
      <c r="B231" s="6">
        <v>100948</v>
      </c>
      <c r="C231" s="10" t="s">
        <v>79</v>
      </c>
      <c r="D231" s="6" t="s">
        <v>23</v>
      </c>
      <c r="E231" s="7">
        <f>ROUND((E228*1.08*5),2)</f>
        <v>97.2</v>
      </c>
      <c r="F231" s="8">
        <v>0.95</v>
      </c>
      <c r="G231" s="8">
        <f t="shared" si="53"/>
        <v>1.18</v>
      </c>
      <c r="H231" s="8">
        <f t="shared" si="54"/>
        <v>114.69</v>
      </c>
    </row>
    <row r="232" spans="1:8" ht="25.5" x14ac:dyDescent="0.25">
      <c r="A232" s="6" t="s">
        <v>160</v>
      </c>
      <c r="B232" s="6">
        <v>100946</v>
      </c>
      <c r="C232" s="12" t="s">
        <v>176</v>
      </c>
      <c r="D232" s="6" t="s">
        <v>23</v>
      </c>
      <c r="E232" s="7">
        <f>ROUND((E229*1.08*9),2)</f>
        <v>77.760000000000005</v>
      </c>
      <c r="F232" s="8">
        <v>2.6</v>
      </c>
      <c r="G232" s="8">
        <f t="shared" si="53"/>
        <v>3.22</v>
      </c>
      <c r="H232" s="8">
        <f t="shared" si="54"/>
        <v>250.38</v>
      </c>
    </row>
    <row r="233" spans="1:8" ht="25.5" x14ac:dyDescent="0.25">
      <c r="A233" s="6" t="s">
        <v>166</v>
      </c>
      <c r="B233" s="6">
        <v>102744</v>
      </c>
      <c r="C233" s="10" t="s">
        <v>226</v>
      </c>
      <c r="D233" s="6" t="s">
        <v>25</v>
      </c>
      <c r="E233" s="7">
        <v>2</v>
      </c>
      <c r="F233" s="8">
        <v>7113.94</v>
      </c>
      <c r="G233" s="8">
        <f t="shared" si="53"/>
        <v>8837.64</v>
      </c>
      <c r="H233" s="8">
        <f t="shared" si="54"/>
        <v>17675.28</v>
      </c>
    </row>
    <row r="234" spans="1:8" x14ac:dyDescent="0.25">
      <c r="A234" s="45" t="s">
        <v>49</v>
      </c>
      <c r="B234" s="46"/>
      <c r="C234" s="46"/>
      <c r="D234" s="46"/>
      <c r="E234" s="46"/>
      <c r="F234" s="46"/>
      <c r="G234" s="47"/>
      <c r="H234" s="9">
        <f>SUM(H224:H233)</f>
        <v>38091.369999999995</v>
      </c>
    </row>
    <row r="235" spans="1:8" x14ac:dyDescent="0.25">
      <c r="A235" s="2">
        <v>4</v>
      </c>
      <c r="B235" s="54" t="s">
        <v>51</v>
      </c>
      <c r="C235" s="55"/>
      <c r="D235" s="55"/>
      <c r="E235" s="55"/>
      <c r="F235" s="55"/>
      <c r="G235" s="55"/>
      <c r="H235" s="56"/>
    </row>
    <row r="236" spans="1:8" x14ac:dyDescent="0.25">
      <c r="A236" s="6" t="s">
        <v>148</v>
      </c>
      <c r="B236" s="6" t="s">
        <v>21</v>
      </c>
      <c r="C236" s="10" t="s">
        <v>52</v>
      </c>
      <c r="D236" s="7" t="s">
        <v>23</v>
      </c>
      <c r="E236" s="7">
        <f>E215</f>
        <v>1050</v>
      </c>
      <c r="F236" s="8">
        <f>COMPOSIÇÕES!F20</f>
        <v>1.8599999999999999</v>
      </c>
      <c r="G236" s="8">
        <f t="shared" ref="G236:G238" si="55">TRUNC((F236*1.2423),2)</f>
        <v>2.31</v>
      </c>
      <c r="H236" s="8">
        <f>TRUNC((E236*G236),2)</f>
        <v>2425.5</v>
      </c>
    </row>
    <row r="237" spans="1:8" ht="25.5" x14ac:dyDescent="0.25">
      <c r="A237" s="6" t="s">
        <v>149</v>
      </c>
      <c r="B237" s="6">
        <v>88908</v>
      </c>
      <c r="C237" s="10" t="s">
        <v>53</v>
      </c>
      <c r="D237" s="7" t="s">
        <v>54</v>
      </c>
      <c r="E237" s="7">
        <v>30</v>
      </c>
      <c r="F237" s="8">
        <v>112.37</v>
      </c>
      <c r="G237" s="8">
        <f t="shared" si="55"/>
        <v>139.59</v>
      </c>
      <c r="H237" s="8">
        <f>TRUNC((E237*G237),2)</f>
        <v>4187.7</v>
      </c>
    </row>
    <row r="238" spans="1:8" ht="25.5" x14ac:dyDescent="0.25">
      <c r="A238" s="6" t="s">
        <v>150</v>
      </c>
      <c r="B238" s="6">
        <v>88907</v>
      </c>
      <c r="C238" s="10" t="s">
        <v>55</v>
      </c>
      <c r="D238" s="7" t="s">
        <v>56</v>
      </c>
      <c r="E238" s="7">
        <v>60</v>
      </c>
      <c r="F238" s="8">
        <v>275.02999999999997</v>
      </c>
      <c r="G238" s="8">
        <f t="shared" si="55"/>
        <v>341.66</v>
      </c>
      <c r="H238" s="8">
        <f>TRUNC((E238*G238),2)</f>
        <v>20499.599999999999</v>
      </c>
    </row>
    <row r="239" spans="1:8" x14ac:dyDescent="0.25">
      <c r="A239" s="45" t="s">
        <v>50</v>
      </c>
      <c r="B239" s="46"/>
      <c r="C239" s="46"/>
      <c r="D239" s="46"/>
      <c r="E239" s="46"/>
      <c r="F239" s="46"/>
      <c r="G239" s="47"/>
      <c r="H239" s="9">
        <f>SUM(H236:H238)</f>
        <v>27112.799999999999</v>
      </c>
    </row>
    <row r="240" spans="1:8" x14ac:dyDescent="0.25">
      <c r="A240" s="45" t="s">
        <v>57</v>
      </c>
      <c r="B240" s="46"/>
      <c r="C240" s="46"/>
      <c r="D240" s="46"/>
      <c r="E240" s="46"/>
      <c r="F240" s="46"/>
      <c r="G240" s="47"/>
      <c r="H240" s="40">
        <f>H217+H222+H234+H239</f>
        <v>87422.56</v>
      </c>
    </row>
    <row r="242" spans="1:8" ht="15.75" x14ac:dyDescent="0.25">
      <c r="A242" s="65" t="s">
        <v>4</v>
      </c>
      <c r="B242" s="65"/>
      <c r="C242" s="44" t="s">
        <v>258</v>
      </c>
      <c r="D242" s="43" t="s">
        <v>3</v>
      </c>
      <c r="E242" s="66" t="s">
        <v>256</v>
      </c>
      <c r="F242" s="66"/>
      <c r="G242" s="66"/>
      <c r="H242" s="66"/>
    </row>
    <row r="243" spans="1:8" x14ac:dyDescent="0.25">
      <c r="A243" s="2">
        <v>1</v>
      </c>
      <c r="B243" s="54" t="s">
        <v>14</v>
      </c>
      <c r="C243" s="55"/>
      <c r="D243" s="55"/>
      <c r="E243" s="55"/>
      <c r="F243" s="55"/>
      <c r="G243" s="55"/>
      <c r="H243" s="56"/>
    </row>
    <row r="244" spans="1:8" ht="25.5" x14ac:dyDescent="0.25">
      <c r="A244" s="6" t="s">
        <v>15</v>
      </c>
      <c r="B244" s="6">
        <v>103689</v>
      </c>
      <c r="C244" s="10" t="s">
        <v>145</v>
      </c>
      <c r="D244" s="6" t="s">
        <v>17</v>
      </c>
      <c r="E244" s="7">
        <v>2.88</v>
      </c>
      <c r="F244" s="8">
        <v>462.39</v>
      </c>
      <c r="G244" s="8">
        <f>TRUNC((F244*1.2423),2)</f>
        <v>574.41999999999996</v>
      </c>
      <c r="H244" s="8">
        <f>TRUNC((E244*G244),2)</f>
        <v>1654.32</v>
      </c>
    </row>
    <row r="245" spans="1:8" x14ac:dyDescent="0.25">
      <c r="A245" s="6" t="s">
        <v>18</v>
      </c>
      <c r="B245" s="6" t="s">
        <v>16</v>
      </c>
      <c r="C245" s="10" t="s">
        <v>22</v>
      </c>
      <c r="D245" s="6" t="s">
        <v>23</v>
      </c>
      <c r="E245" s="7">
        <f>ROUND((30*34),2)</f>
        <v>1020</v>
      </c>
      <c r="F245" s="8">
        <f>COMPOSIÇÕES!F5</f>
        <v>1.8599999999999999</v>
      </c>
      <c r="G245" s="8">
        <f t="shared" ref="G245:G246" si="56">TRUNC((F245*1.2423),2)</f>
        <v>2.31</v>
      </c>
      <c r="H245" s="8">
        <f t="shared" ref="H245:H246" si="57">TRUNC((E245*G245),2)</f>
        <v>2356.1999999999998</v>
      </c>
    </row>
    <row r="246" spans="1:8" x14ac:dyDescent="0.25">
      <c r="A246" s="6" t="s">
        <v>20</v>
      </c>
      <c r="B246" s="6" t="s">
        <v>19</v>
      </c>
      <c r="C246" s="10" t="s">
        <v>146</v>
      </c>
      <c r="D246" s="6" t="s">
        <v>147</v>
      </c>
      <c r="E246" s="7">
        <v>1</v>
      </c>
      <c r="F246" s="8">
        <f>COMPOSIÇÕES!F14</f>
        <v>14600.800000000001</v>
      </c>
      <c r="G246" s="8">
        <f t="shared" si="56"/>
        <v>18138.57</v>
      </c>
      <c r="H246" s="8">
        <f t="shared" si="57"/>
        <v>18138.57</v>
      </c>
    </row>
    <row r="247" spans="1:8" x14ac:dyDescent="0.25">
      <c r="A247" s="45" t="s">
        <v>26</v>
      </c>
      <c r="B247" s="46"/>
      <c r="C247" s="46"/>
      <c r="D247" s="46"/>
      <c r="E247" s="46"/>
      <c r="F247" s="46"/>
      <c r="G247" s="47"/>
      <c r="H247" s="9">
        <f>SUM(H244:H246)</f>
        <v>22149.09</v>
      </c>
    </row>
    <row r="248" spans="1:8" x14ac:dyDescent="0.25">
      <c r="A248" s="2">
        <v>2</v>
      </c>
      <c r="B248" s="54" t="s">
        <v>27</v>
      </c>
      <c r="C248" s="55"/>
      <c r="D248" s="55"/>
      <c r="E248" s="55"/>
      <c r="F248" s="55"/>
      <c r="G248" s="55"/>
      <c r="H248" s="56"/>
    </row>
    <row r="249" spans="1:8" ht="38.25" x14ac:dyDescent="0.25">
      <c r="A249" s="6" t="s">
        <v>151</v>
      </c>
      <c r="B249" s="6">
        <v>100978</v>
      </c>
      <c r="C249" s="10" t="s">
        <v>33</v>
      </c>
      <c r="D249" s="6" t="s">
        <v>31</v>
      </c>
      <c r="E249" s="7">
        <f>ROUND((63.36*6),2)</f>
        <v>380.16</v>
      </c>
      <c r="F249" s="8">
        <v>7.62</v>
      </c>
      <c r="G249" s="8">
        <f t="shared" ref="G249:G251" si="58">TRUNC((F249*1.2423),2)</f>
        <v>9.4600000000000009</v>
      </c>
      <c r="H249" s="8">
        <f t="shared" ref="H249:H251" si="59">TRUNC((E249*G249),2)</f>
        <v>3596.31</v>
      </c>
    </row>
    <row r="250" spans="1:8" ht="25.5" x14ac:dyDescent="0.25">
      <c r="A250" s="6" t="s">
        <v>152</v>
      </c>
      <c r="B250" s="6">
        <v>93589</v>
      </c>
      <c r="C250" s="10" t="s">
        <v>74</v>
      </c>
      <c r="D250" s="6" t="s">
        <v>29</v>
      </c>
      <c r="E250" s="7">
        <f>ROUND((E249*1.25*2),2)</f>
        <v>950.4</v>
      </c>
      <c r="F250" s="8">
        <v>2.9</v>
      </c>
      <c r="G250" s="8">
        <f t="shared" si="58"/>
        <v>3.6</v>
      </c>
      <c r="H250" s="8">
        <f t="shared" si="59"/>
        <v>3421.44</v>
      </c>
    </row>
    <row r="251" spans="1:8" ht="25.5" x14ac:dyDescent="0.25">
      <c r="A251" s="6" t="s">
        <v>153</v>
      </c>
      <c r="B251" s="11" t="s">
        <v>24</v>
      </c>
      <c r="C251" s="10" t="s">
        <v>36</v>
      </c>
      <c r="D251" s="6" t="s">
        <v>31</v>
      </c>
      <c r="E251" s="7">
        <f>E249</f>
        <v>380.16</v>
      </c>
      <c r="F251" s="8">
        <v>20.82</v>
      </c>
      <c r="G251" s="8">
        <f t="shared" si="58"/>
        <v>25.86</v>
      </c>
      <c r="H251" s="8">
        <f t="shared" si="59"/>
        <v>9830.93</v>
      </c>
    </row>
    <row r="252" spans="1:8" x14ac:dyDescent="0.25">
      <c r="A252" s="45" t="s">
        <v>37</v>
      </c>
      <c r="B252" s="46"/>
      <c r="C252" s="46"/>
      <c r="D252" s="46"/>
      <c r="E252" s="46"/>
      <c r="F252" s="46"/>
      <c r="G252" s="47"/>
      <c r="H252" s="9">
        <f>SUM(H249:H251)</f>
        <v>16848.68</v>
      </c>
    </row>
    <row r="253" spans="1:8" x14ac:dyDescent="0.25">
      <c r="A253" s="2">
        <v>3</v>
      </c>
      <c r="B253" s="54" t="s">
        <v>38</v>
      </c>
      <c r="C253" s="55"/>
      <c r="D253" s="55"/>
      <c r="E253" s="55"/>
      <c r="F253" s="55"/>
      <c r="G253" s="55"/>
      <c r="H253" s="56"/>
    </row>
    <row r="254" spans="1:8" ht="38.25" x14ac:dyDescent="0.25">
      <c r="A254" s="6" t="s">
        <v>85</v>
      </c>
      <c r="B254" s="6">
        <v>102281</v>
      </c>
      <c r="C254" s="10" t="s">
        <v>39</v>
      </c>
      <c r="D254" s="6" t="s">
        <v>31</v>
      </c>
      <c r="E254" s="7">
        <f>ROUND((2.8*3*E258),2)</f>
        <v>84</v>
      </c>
      <c r="F254" s="8">
        <v>6.19</v>
      </c>
      <c r="G254" s="8">
        <f>TRUNC((F254*1.2423),2)</f>
        <v>7.68</v>
      </c>
      <c r="H254" s="8">
        <f>TRUNC((E254*G254),2)</f>
        <v>645.12</v>
      </c>
    </row>
    <row r="255" spans="1:8" x14ac:dyDescent="0.25">
      <c r="A255" s="6" t="s">
        <v>96</v>
      </c>
      <c r="B255" s="6">
        <v>93368</v>
      </c>
      <c r="C255" s="10" t="s">
        <v>40</v>
      </c>
      <c r="D255" s="6" t="s">
        <v>31</v>
      </c>
      <c r="E255" s="7">
        <f>ROUND((E254-(E258*2.54)),2)</f>
        <v>58.6</v>
      </c>
      <c r="F255" s="8">
        <v>23.89</v>
      </c>
      <c r="G255" s="8">
        <f t="shared" ref="G255:G261" si="60">TRUNC((F255*1.2423),2)</f>
        <v>29.67</v>
      </c>
      <c r="H255" s="8">
        <f t="shared" ref="H255:H261" si="61">TRUNC((E255*G255),2)</f>
        <v>1738.66</v>
      </c>
    </row>
    <row r="256" spans="1:8" ht="25.5" x14ac:dyDescent="0.25">
      <c r="A256" s="6" t="s">
        <v>100</v>
      </c>
      <c r="B256" s="6">
        <v>101623</v>
      </c>
      <c r="C256" s="10" t="s">
        <v>41</v>
      </c>
      <c r="D256" s="6" t="s">
        <v>31</v>
      </c>
      <c r="E256" s="7">
        <f>ROUND((E258*1*0.1),2)</f>
        <v>1</v>
      </c>
      <c r="F256" s="8">
        <v>253.05</v>
      </c>
      <c r="G256" s="8">
        <f t="shared" si="60"/>
        <v>314.36</v>
      </c>
      <c r="H256" s="8">
        <f t="shared" si="61"/>
        <v>314.36</v>
      </c>
    </row>
    <row r="257" spans="1:8" ht="25.5" x14ac:dyDescent="0.25">
      <c r="A257" s="6" t="s">
        <v>161</v>
      </c>
      <c r="B257" s="6">
        <v>93589</v>
      </c>
      <c r="C257" s="12" t="s">
        <v>67</v>
      </c>
      <c r="D257" s="6" t="s">
        <v>29</v>
      </c>
      <c r="E257" s="7">
        <f>ROUND((E256*24.5),2)</f>
        <v>24.5</v>
      </c>
      <c r="F257" s="8">
        <v>2.9</v>
      </c>
      <c r="G257" s="8">
        <f t="shared" si="60"/>
        <v>3.6</v>
      </c>
      <c r="H257" s="8">
        <f t="shared" si="61"/>
        <v>88.2</v>
      </c>
    </row>
    <row r="258" spans="1:8" ht="38.25" x14ac:dyDescent="0.25">
      <c r="A258" s="6" t="s">
        <v>162</v>
      </c>
      <c r="B258" s="6">
        <v>92818</v>
      </c>
      <c r="C258" s="10" t="s">
        <v>59</v>
      </c>
      <c r="D258" s="6" t="s">
        <v>44</v>
      </c>
      <c r="E258" s="7">
        <v>10</v>
      </c>
      <c r="F258" s="8">
        <v>1282.8900000000001</v>
      </c>
      <c r="G258" s="8">
        <f t="shared" si="60"/>
        <v>1593.73</v>
      </c>
      <c r="H258" s="8">
        <f t="shared" si="61"/>
        <v>15937.3</v>
      </c>
    </row>
    <row r="259" spans="1:8" ht="25.5" x14ac:dyDescent="0.25">
      <c r="A259" s="6" t="s">
        <v>163</v>
      </c>
      <c r="B259" s="6">
        <v>100947</v>
      </c>
      <c r="C259" s="10" t="s">
        <v>71</v>
      </c>
      <c r="D259" s="6" t="s">
        <v>23</v>
      </c>
      <c r="E259" s="7">
        <f>ROUND((E258*2.1*30),2)</f>
        <v>630</v>
      </c>
      <c r="F259" s="8">
        <v>2.4</v>
      </c>
      <c r="G259" s="8">
        <f t="shared" si="60"/>
        <v>2.98</v>
      </c>
      <c r="H259" s="8">
        <f t="shared" si="61"/>
        <v>1877.4</v>
      </c>
    </row>
    <row r="260" spans="1:8" ht="25.5" x14ac:dyDescent="0.25">
      <c r="A260" s="6" t="s">
        <v>164</v>
      </c>
      <c r="B260" s="6">
        <v>100948</v>
      </c>
      <c r="C260" s="10" t="s">
        <v>80</v>
      </c>
      <c r="D260" s="6" t="s">
        <v>23</v>
      </c>
      <c r="E260" s="7">
        <f>ROUND((E258*2.1*4),2)</f>
        <v>84</v>
      </c>
      <c r="F260" s="8">
        <v>0.95</v>
      </c>
      <c r="G260" s="8">
        <f t="shared" si="60"/>
        <v>1.18</v>
      </c>
      <c r="H260" s="8">
        <f t="shared" si="61"/>
        <v>99.12</v>
      </c>
    </row>
    <row r="261" spans="1:8" ht="25.5" x14ac:dyDescent="0.25">
      <c r="A261" s="6" t="s">
        <v>165</v>
      </c>
      <c r="B261" s="6">
        <v>102742</v>
      </c>
      <c r="C261" s="10" t="s">
        <v>61</v>
      </c>
      <c r="D261" s="6" t="s">
        <v>25</v>
      </c>
      <c r="E261" s="7">
        <v>2</v>
      </c>
      <c r="F261" s="8">
        <v>14218.78</v>
      </c>
      <c r="G261" s="8">
        <f t="shared" si="60"/>
        <v>17663.990000000002</v>
      </c>
      <c r="H261" s="8">
        <f t="shared" si="61"/>
        <v>35327.980000000003</v>
      </c>
    </row>
    <row r="262" spans="1:8" x14ac:dyDescent="0.25">
      <c r="A262" s="45" t="s">
        <v>49</v>
      </c>
      <c r="B262" s="46"/>
      <c r="C262" s="46"/>
      <c r="D262" s="46"/>
      <c r="E262" s="46"/>
      <c r="F262" s="46"/>
      <c r="G262" s="47"/>
      <c r="H262" s="9">
        <f>SUM(H254:H261)</f>
        <v>56028.14</v>
      </c>
    </row>
    <row r="263" spans="1:8" x14ac:dyDescent="0.25">
      <c r="A263" s="2">
        <v>4</v>
      </c>
      <c r="B263" s="54" t="s">
        <v>51</v>
      </c>
      <c r="C263" s="55"/>
      <c r="D263" s="55"/>
      <c r="E263" s="55"/>
      <c r="F263" s="55"/>
      <c r="G263" s="55"/>
      <c r="H263" s="56"/>
    </row>
    <row r="264" spans="1:8" x14ac:dyDescent="0.25">
      <c r="A264" s="6" t="s">
        <v>148</v>
      </c>
      <c r="B264" s="6" t="s">
        <v>21</v>
      </c>
      <c r="C264" s="10" t="s">
        <v>52</v>
      </c>
      <c r="D264" s="7" t="s">
        <v>23</v>
      </c>
      <c r="E264" s="7">
        <f>E245</f>
        <v>1020</v>
      </c>
      <c r="F264" s="8">
        <f>COMPOSIÇÕES!F20</f>
        <v>1.8599999999999999</v>
      </c>
      <c r="G264" s="8">
        <f t="shared" ref="G264:G266" si="62">TRUNC((F264*1.2423),2)</f>
        <v>2.31</v>
      </c>
      <c r="H264" s="8">
        <f>TRUNC((E264*G264),2)</f>
        <v>2356.1999999999998</v>
      </c>
    </row>
    <row r="265" spans="1:8" ht="25.5" x14ac:dyDescent="0.25">
      <c r="A265" s="6" t="s">
        <v>149</v>
      </c>
      <c r="B265" s="6">
        <v>88908</v>
      </c>
      <c r="C265" s="10" t="s">
        <v>53</v>
      </c>
      <c r="D265" s="7" t="s">
        <v>54</v>
      </c>
      <c r="E265" s="7">
        <v>30</v>
      </c>
      <c r="F265" s="8">
        <v>112.37</v>
      </c>
      <c r="G265" s="8">
        <f t="shared" si="62"/>
        <v>139.59</v>
      </c>
      <c r="H265" s="8">
        <f>TRUNC((E265*G265),2)</f>
        <v>4187.7</v>
      </c>
    </row>
    <row r="266" spans="1:8" ht="25.5" x14ac:dyDescent="0.25">
      <c r="A266" s="6" t="s">
        <v>150</v>
      </c>
      <c r="B266" s="6">
        <v>88907</v>
      </c>
      <c r="C266" s="10" t="s">
        <v>55</v>
      </c>
      <c r="D266" s="7" t="s">
        <v>56</v>
      </c>
      <c r="E266" s="7">
        <v>60</v>
      </c>
      <c r="F266" s="8">
        <v>275.02999999999997</v>
      </c>
      <c r="G266" s="8">
        <f t="shared" si="62"/>
        <v>341.66</v>
      </c>
      <c r="H266" s="8">
        <f>TRUNC((E266*G266),2)</f>
        <v>20499.599999999999</v>
      </c>
    </row>
    <row r="267" spans="1:8" x14ac:dyDescent="0.25">
      <c r="A267" s="45" t="s">
        <v>50</v>
      </c>
      <c r="B267" s="46"/>
      <c r="C267" s="46"/>
      <c r="D267" s="46"/>
      <c r="E267" s="46"/>
      <c r="F267" s="46"/>
      <c r="G267" s="47"/>
      <c r="H267" s="9">
        <f>SUM(H264:H266)</f>
        <v>27043.5</v>
      </c>
    </row>
    <row r="268" spans="1:8" x14ac:dyDescent="0.25">
      <c r="A268" s="45" t="s">
        <v>57</v>
      </c>
      <c r="B268" s="46"/>
      <c r="C268" s="46"/>
      <c r="D268" s="46"/>
      <c r="E268" s="46"/>
      <c r="F268" s="46"/>
      <c r="G268" s="47"/>
      <c r="H268" s="40">
        <f>H247+H252+H262+H267</f>
        <v>122069.41</v>
      </c>
    </row>
    <row r="270" spans="1:8" x14ac:dyDescent="0.25">
      <c r="A270" s="65" t="s">
        <v>4</v>
      </c>
      <c r="B270" s="65"/>
      <c r="C270" s="87" t="s">
        <v>244</v>
      </c>
      <c r="D270" s="43" t="s">
        <v>3</v>
      </c>
      <c r="E270" s="84" t="s">
        <v>245</v>
      </c>
      <c r="F270" s="85"/>
      <c r="G270" s="85"/>
      <c r="H270" s="86"/>
    </row>
    <row r="271" spans="1:8" x14ac:dyDescent="0.25">
      <c r="A271" s="2">
        <v>1</v>
      </c>
      <c r="B271" s="54" t="s">
        <v>14</v>
      </c>
      <c r="C271" s="55"/>
      <c r="D271" s="55"/>
      <c r="E271" s="55"/>
      <c r="F271" s="55"/>
      <c r="G271" s="55"/>
      <c r="H271" s="56"/>
    </row>
    <row r="272" spans="1:8" ht="25.5" x14ac:dyDescent="0.25">
      <c r="A272" s="6" t="s">
        <v>15</v>
      </c>
      <c r="B272" s="6">
        <v>103689</v>
      </c>
      <c r="C272" s="10" t="s">
        <v>145</v>
      </c>
      <c r="D272" s="6" t="s">
        <v>17</v>
      </c>
      <c r="E272" s="7">
        <v>2.88</v>
      </c>
      <c r="F272" s="8">
        <v>462.39</v>
      </c>
      <c r="G272" s="8">
        <f>TRUNC((F272*1.2423),2)</f>
        <v>574.41999999999996</v>
      </c>
      <c r="H272" s="8">
        <f>TRUNC((E272*G272),2)</f>
        <v>1654.32</v>
      </c>
    </row>
    <row r="273" spans="1:8" x14ac:dyDescent="0.25">
      <c r="A273" s="6" t="s">
        <v>18</v>
      </c>
      <c r="B273" s="6" t="s">
        <v>16</v>
      </c>
      <c r="C273" s="10" t="s">
        <v>22</v>
      </c>
      <c r="D273" s="6" t="s">
        <v>23</v>
      </c>
      <c r="E273" s="7">
        <f>ROUND((30*26),2)</f>
        <v>780</v>
      </c>
      <c r="F273" s="8">
        <f>COMPOSIÇÕES!F5</f>
        <v>1.8599999999999999</v>
      </c>
      <c r="G273" s="8">
        <f t="shared" ref="G273:G274" si="63">TRUNC((F273*1.2423),2)</f>
        <v>2.31</v>
      </c>
      <c r="H273" s="8">
        <f t="shared" ref="H273:H274" si="64">TRUNC((E273*G273),2)</f>
        <v>1801.8</v>
      </c>
    </row>
    <row r="274" spans="1:8" x14ac:dyDescent="0.25">
      <c r="A274" s="6" t="s">
        <v>20</v>
      </c>
      <c r="B274" s="6" t="s">
        <v>19</v>
      </c>
      <c r="C274" s="10" t="s">
        <v>146</v>
      </c>
      <c r="D274" s="6" t="s">
        <v>147</v>
      </c>
      <c r="E274" s="7">
        <v>1</v>
      </c>
      <c r="F274" s="8">
        <f>COMPOSIÇÕES!F14</f>
        <v>14600.800000000001</v>
      </c>
      <c r="G274" s="8">
        <f t="shared" si="63"/>
        <v>18138.57</v>
      </c>
      <c r="H274" s="8">
        <f t="shared" si="64"/>
        <v>18138.57</v>
      </c>
    </row>
    <row r="275" spans="1:8" x14ac:dyDescent="0.25">
      <c r="A275" s="45" t="s">
        <v>26</v>
      </c>
      <c r="B275" s="46"/>
      <c r="C275" s="46"/>
      <c r="D275" s="46"/>
      <c r="E275" s="46"/>
      <c r="F275" s="46"/>
      <c r="G275" s="47"/>
      <c r="H275" s="9">
        <f>SUM(H272:H274)</f>
        <v>21594.69</v>
      </c>
    </row>
    <row r="276" spans="1:8" x14ac:dyDescent="0.25">
      <c r="A276" s="2">
        <v>2</v>
      </c>
      <c r="B276" s="54" t="s">
        <v>27</v>
      </c>
      <c r="C276" s="55"/>
      <c r="D276" s="55"/>
      <c r="E276" s="55"/>
      <c r="F276" s="55"/>
      <c r="G276" s="55"/>
      <c r="H276" s="56"/>
    </row>
    <row r="277" spans="1:8" ht="38.25" x14ac:dyDescent="0.25">
      <c r="A277" s="6" t="s">
        <v>151</v>
      </c>
      <c r="B277" s="6">
        <v>100978</v>
      </c>
      <c r="C277" s="10" t="s">
        <v>33</v>
      </c>
      <c r="D277" s="6" t="s">
        <v>31</v>
      </c>
      <c r="E277" s="7">
        <f>ROUND((40.01*6),2)</f>
        <v>240.06</v>
      </c>
      <c r="F277" s="8">
        <v>7.62</v>
      </c>
      <c r="G277" s="8">
        <f t="shared" ref="G277:G279" si="65">TRUNC((F277*1.2423),2)</f>
        <v>9.4600000000000009</v>
      </c>
      <c r="H277" s="8">
        <f t="shared" ref="H277:H279" si="66">TRUNC((E277*G277),2)</f>
        <v>2270.96</v>
      </c>
    </row>
    <row r="278" spans="1:8" ht="25.5" x14ac:dyDescent="0.25">
      <c r="A278" s="6" t="s">
        <v>152</v>
      </c>
      <c r="B278" s="6">
        <v>93589</v>
      </c>
      <c r="C278" s="10" t="s">
        <v>81</v>
      </c>
      <c r="D278" s="6" t="s">
        <v>29</v>
      </c>
      <c r="E278" s="7">
        <f>ROUND((E277*1.25*7.5),2)</f>
        <v>2250.56</v>
      </c>
      <c r="F278" s="8">
        <v>2.9</v>
      </c>
      <c r="G278" s="8">
        <f t="shared" si="65"/>
        <v>3.6</v>
      </c>
      <c r="H278" s="8">
        <f t="shared" si="66"/>
        <v>8102.01</v>
      </c>
    </row>
    <row r="279" spans="1:8" ht="25.5" x14ac:dyDescent="0.25">
      <c r="A279" s="6" t="s">
        <v>153</v>
      </c>
      <c r="B279" s="11" t="s">
        <v>24</v>
      </c>
      <c r="C279" s="10" t="s">
        <v>36</v>
      </c>
      <c r="D279" s="6" t="s">
        <v>31</v>
      </c>
      <c r="E279" s="7">
        <f>E277</f>
        <v>240.06</v>
      </c>
      <c r="F279" s="8">
        <v>20.82</v>
      </c>
      <c r="G279" s="8">
        <f t="shared" si="65"/>
        <v>25.86</v>
      </c>
      <c r="H279" s="8">
        <f t="shared" si="66"/>
        <v>6207.95</v>
      </c>
    </row>
    <row r="280" spans="1:8" x14ac:dyDescent="0.25">
      <c r="A280" s="45" t="s">
        <v>37</v>
      </c>
      <c r="B280" s="46"/>
      <c r="C280" s="46"/>
      <c r="D280" s="46"/>
      <c r="E280" s="46"/>
      <c r="F280" s="46"/>
      <c r="G280" s="47"/>
      <c r="H280" s="9">
        <f>SUM(H277:H279)</f>
        <v>16580.920000000002</v>
      </c>
    </row>
    <row r="281" spans="1:8" x14ac:dyDescent="0.25">
      <c r="A281" s="2">
        <v>3</v>
      </c>
      <c r="B281" s="54" t="s">
        <v>38</v>
      </c>
      <c r="C281" s="55"/>
      <c r="D281" s="55"/>
      <c r="E281" s="55"/>
      <c r="F281" s="55"/>
      <c r="G281" s="55"/>
      <c r="H281" s="56"/>
    </row>
    <row r="282" spans="1:8" ht="38.25" x14ac:dyDescent="0.25">
      <c r="A282" s="6" t="s">
        <v>85</v>
      </c>
      <c r="B282" s="6">
        <v>102281</v>
      </c>
      <c r="C282" s="10" t="s">
        <v>39</v>
      </c>
      <c r="D282" s="6" t="s">
        <v>31</v>
      </c>
      <c r="E282" s="7">
        <f>ROUND((10*2*2),2)</f>
        <v>40</v>
      </c>
      <c r="F282" s="8">
        <v>6.19</v>
      </c>
      <c r="G282" s="8">
        <f>TRUNC((F282*1.2423),2)</f>
        <v>7.68</v>
      </c>
      <c r="H282" s="8">
        <f>TRUNC((E282*G282),2)</f>
        <v>307.2</v>
      </c>
    </row>
    <row r="283" spans="1:8" ht="38.25" x14ac:dyDescent="0.25">
      <c r="A283" s="6" t="s">
        <v>96</v>
      </c>
      <c r="B283" s="6">
        <v>93368</v>
      </c>
      <c r="C283" s="10" t="s">
        <v>40</v>
      </c>
      <c r="D283" s="6" t="s">
        <v>31</v>
      </c>
      <c r="E283" s="7">
        <v>0</v>
      </c>
      <c r="F283" s="8">
        <v>23.89</v>
      </c>
      <c r="G283" s="8">
        <f t="shared" ref="G283:G293" si="67">TRUNC((F283*1.2423),2)</f>
        <v>29.67</v>
      </c>
      <c r="H283" s="8">
        <f t="shared" ref="H283:H293" si="68">TRUNC((E283*G283),2)</f>
        <v>0</v>
      </c>
    </row>
    <row r="284" spans="1:8" ht="25.5" x14ac:dyDescent="0.25">
      <c r="A284" s="6" t="s">
        <v>100</v>
      </c>
      <c r="B284" s="6">
        <v>97103</v>
      </c>
      <c r="C284" s="10" t="s">
        <v>69</v>
      </c>
      <c r="D284" s="6" t="s">
        <v>17</v>
      </c>
      <c r="E284" s="7">
        <f>ROUND((10*2.5),2)</f>
        <v>25</v>
      </c>
      <c r="F284" s="8">
        <v>274.74</v>
      </c>
      <c r="G284" s="8">
        <f t="shared" si="67"/>
        <v>341.3</v>
      </c>
      <c r="H284" s="8">
        <f t="shared" si="68"/>
        <v>8532.5</v>
      </c>
    </row>
    <row r="285" spans="1:8" ht="38.25" x14ac:dyDescent="0.25">
      <c r="A285" s="6" t="s">
        <v>161</v>
      </c>
      <c r="B285" s="6">
        <v>104492</v>
      </c>
      <c r="C285" s="10" t="s">
        <v>82</v>
      </c>
      <c r="D285" s="6" t="s">
        <v>44</v>
      </c>
      <c r="E285" s="7">
        <v>10</v>
      </c>
      <c r="F285" s="8">
        <v>5483.5</v>
      </c>
      <c r="G285" s="8">
        <f t="shared" si="67"/>
        <v>6812.15</v>
      </c>
      <c r="H285" s="8">
        <f t="shared" si="68"/>
        <v>68121.5</v>
      </c>
    </row>
    <row r="286" spans="1:8" ht="25.5" x14ac:dyDescent="0.25">
      <c r="A286" s="6" t="s">
        <v>162</v>
      </c>
      <c r="B286" s="6">
        <v>100947</v>
      </c>
      <c r="C286" s="12" t="s">
        <v>71</v>
      </c>
      <c r="D286" s="6" t="s">
        <v>23</v>
      </c>
      <c r="E286" s="7">
        <f>ROUND((E285*3.3*30),2)</f>
        <v>990</v>
      </c>
      <c r="F286" s="8">
        <v>2.4</v>
      </c>
      <c r="G286" s="8">
        <f t="shared" si="67"/>
        <v>2.98</v>
      </c>
      <c r="H286" s="8">
        <f t="shared" si="68"/>
        <v>2950.2</v>
      </c>
    </row>
    <row r="287" spans="1:8" ht="25.5" x14ac:dyDescent="0.25">
      <c r="A287" s="6" t="s">
        <v>163</v>
      </c>
      <c r="B287" s="6">
        <v>100948</v>
      </c>
      <c r="C287" s="12" t="s">
        <v>83</v>
      </c>
      <c r="D287" s="6" t="s">
        <v>23</v>
      </c>
      <c r="E287" s="7">
        <f>ROUND((E285*3.3*87),2)</f>
        <v>2871</v>
      </c>
      <c r="F287" s="8">
        <v>0.95</v>
      </c>
      <c r="G287" s="8">
        <f t="shared" si="67"/>
        <v>1.18</v>
      </c>
      <c r="H287" s="8">
        <f t="shared" si="68"/>
        <v>3387.78</v>
      </c>
    </row>
    <row r="288" spans="1:8" ht="38.25" x14ac:dyDescent="0.25">
      <c r="A288" s="6" t="s">
        <v>164</v>
      </c>
      <c r="B288" s="6">
        <v>92210</v>
      </c>
      <c r="C288" s="12" t="s">
        <v>89</v>
      </c>
      <c r="D288" s="6" t="s">
        <v>44</v>
      </c>
      <c r="E288" s="7">
        <v>24</v>
      </c>
      <c r="F288" s="8">
        <v>173.44</v>
      </c>
      <c r="G288" s="8">
        <f t="shared" si="67"/>
        <v>215.46</v>
      </c>
      <c r="H288" s="8">
        <f t="shared" si="68"/>
        <v>5171.04</v>
      </c>
    </row>
    <row r="289" spans="1:8" ht="25.5" x14ac:dyDescent="0.25">
      <c r="A289" s="6" t="s">
        <v>165</v>
      </c>
      <c r="B289" s="6">
        <v>100947</v>
      </c>
      <c r="C289" s="10" t="s">
        <v>221</v>
      </c>
      <c r="D289" s="6" t="s">
        <v>23</v>
      </c>
      <c r="E289" s="7">
        <f>ROUND((E288*0.19*26.5),2)</f>
        <v>120.84</v>
      </c>
      <c r="F289" s="8">
        <v>2.4</v>
      </c>
      <c r="G289" s="8">
        <f t="shared" si="67"/>
        <v>2.98</v>
      </c>
      <c r="H289" s="8">
        <f t="shared" si="68"/>
        <v>360.1</v>
      </c>
    </row>
    <row r="290" spans="1:8" ht="25.5" x14ac:dyDescent="0.25">
      <c r="A290" s="6" t="s">
        <v>160</v>
      </c>
      <c r="B290" s="6">
        <v>97956</v>
      </c>
      <c r="C290" s="10" t="s">
        <v>90</v>
      </c>
      <c r="D290" s="6" t="s">
        <v>25</v>
      </c>
      <c r="E290" s="7">
        <v>1</v>
      </c>
      <c r="F290" s="8">
        <v>1683.94</v>
      </c>
      <c r="G290" s="8">
        <f t="shared" si="67"/>
        <v>2091.9499999999998</v>
      </c>
      <c r="H290" s="8">
        <f t="shared" si="68"/>
        <v>2091.9499999999998</v>
      </c>
    </row>
    <row r="291" spans="1:8" x14ac:dyDescent="0.25">
      <c r="A291" s="6" t="s">
        <v>166</v>
      </c>
      <c r="B291" s="6" t="s">
        <v>224</v>
      </c>
      <c r="C291" s="10" t="s">
        <v>225</v>
      </c>
      <c r="D291" s="6" t="s">
        <v>25</v>
      </c>
      <c r="E291" s="7">
        <v>1</v>
      </c>
      <c r="F291" s="8">
        <f>COMPOSIÇÕES!F51</f>
        <v>874.63</v>
      </c>
      <c r="G291" s="8">
        <f t="shared" si="67"/>
        <v>1086.55</v>
      </c>
      <c r="H291" s="8">
        <f t="shared" si="68"/>
        <v>1086.55</v>
      </c>
    </row>
    <row r="292" spans="1:8" ht="25.5" x14ac:dyDescent="0.25">
      <c r="A292" s="6" t="s">
        <v>167</v>
      </c>
      <c r="B292" s="6">
        <v>102737</v>
      </c>
      <c r="C292" s="12" t="s">
        <v>222</v>
      </c>
      <c r="D292" s="6" t="s">
        <v>25</v>
      </c>
      <c r="E292" s="7">
        <v>1</v>
      </c>
      <c r="F292" s="8">
        <v>1144.42</v>
      </c>
      <c r="G292" s="8">
        <f t="shared" si="67"/>
        <v>1421.71</v>
      </c>
      <c r="H292" s="8">
        <f t="shared" si="68"/>
        <v>1421.71</v>
      </c>
    </row>
    <row r="293" spans="1:8" ht="25.5" x14ac:dyDescent="0.25">
      <c r="A293" s="6" t="s">
        <v>223</v>
      </c>
      <c r="B293" s="6">
        <v>102762</v>
      </c>
      <c r="C293" s="10" t="s">
        <v>84</v>
      </c>
      <c r="D293" s="6" t="s">
        <v>25</v>
      </c>
      <c r="E293" s="7">
        <v>2</v>
      </c>
      <c r="F293" s="8">
        <v>20981.78</v>
      </c>
      <c r="G293" s="8">
        <f t="shared" si="67"/>
        <v>26065.66</v>
      </c>
      <c r="H293" s="8">
        <f t="shared" si="68"/>
        <v>52131.32</v>
      </c>
    </row>
    <row r="294" spans="1:8" x14ac:dyDescent="0.25">
      <c r="A294" s="45" t="s">
        <v>49</v>
      </c>
      <c r="B294" s="46"/>
      <c r="C294" s="46"/>
      <c r="D294" s="46"/>
      <c r="E294" s="46"/>
      <c r="F294" s="46"/>
      <c r="G294" s="47"/>
      <c r="H294" s="9">
        <f>SUM(H282:H293)</f>
        <v>145561.85</v>
      </c>
    </row>
    <row r="295" spans="1:8" x14ac:dyDescent="0.25">
      <c r="A295" s="2">
        <v>4</v>
      </c>
      <c r="B295" s="54" t="s">
        <v>51</v>
      </c>
      <c r="C295" s="55"/>
      <c r="D295" s="55"/>
      <c r="E295" s="55"/>
      <c r="F295" s="55"/>
      <c r="G295" s="55"/>
      <c r="H295" s="56"/>
    </row>
    <row r="296" spans="1:8" x14ac:dyDescent="0.25">
      <c r="A296" s="6" t="s">
        <v>148</v>
      </c>
      <c r="B296" s="6" t="s">
        <v>21</v>
      </c>
      <c r="C296" s="10" t="s">
        <v>52</v>
      </c>
      <c r="D296" s="7" t="s">
        <v>23</v>
      </c>
      <c r="E296" s="7">
        <f>E273</f>
        <v>780</v>
      </c>
      <c r="F296" s="8">
        <f>COMPOSIÇÕES!F20</f>
        <v>1.8599999999999999</v>
      </c>
      <c r="G296" s="8">
        <f t="shared" ref="G296:G298" si="69">TRUNC((F296*1.2423),2)</f>
        <v>2.31</v>
      </c>
      <c r="H296" s="8">
        <f>TRUNC((E296*G296),2)</f>
        <v>1801.8</v>
      </c>
    </row>
    <row r="297" spans="1:8" ht="25.5" x14ac:dyDescent="0.25">
      <c r="A297" s="6" t="s">
        <v>149</v>
      </c>
      <c r="B297" s="6">
        <v>88908</v>
      </c>
      <c r="C297" s="10" t="s">
        <v>53</v>
      </c>
      <c r="D297" s="7" t="s">
        <v>54</v>
      </c>
      <c r="E297" s="7">
        <v>0</v>
      </c>
      <c r="F297" s="8">
        <v>112.37</v>
      </c>
      <c r="G297" s="8">
        <f t="shared" si="69"/>
        <v>139.59</v>
      </c>
      <c r="H297" s="8">
        <f>TRUNC((E297*G297),2)</f>
        <v>0</v>
      </c>
    </row>
    <row r="298" spans="1:8" ht="25.5" x14ac:dyDescent="0.25">
      <c r="A298" s="6" t="s">
        <v>150</v>
      </c>
      <c r="B298" s="6">
        <v>88907</v>
      </c>
      <c r="C298" s="10" t="s">
        <v>55</v>
      </c>
      <c r="D298" s="7" t="s">
        <v>56</v>
      </c>
      <c r="E298" s="7">
        <v>0</v>
      </c>
      <c r="F298" s="8">
        <v>275.02999999999997</v>
      </c>
      <c r="G298" s="8">
        <f t="shared" si="69"/>
        <v>341.66</v>
      </c>
      <c r="H298" s="8">
        <f>TRUNC((E298*G298),2)</f>
        <v>0</v>
      </c>
    </row>
    <row r="299" spans="1:8" x14ac:dyDescent="0.25">
      <c r="A299" s="45" t="s">
        <v>50</v>
      </c>
      <c r="B299" s="46"/>
      <c r="C299" s="46"/>
      <c r="D299" s="46"/>
      <c r="E299" s="46"/>
      <c r="F299" s="46"/>
      <c r="G299" s="47"/>
      <c r="H299" s="9">
        <f>SUM(H296:H298)</f>
        <v>1801.8</v>
      </c>
    </row>
    <row r="300" spans="1:8" x14ac:dyDescent="0.25">
      <c r="A300" s="45" t="s">
        <v>57</v>
      </c>
      <c r="B300" s="46"/>
      <c r="C300" s="46"/>
      <c r="D300" s="46"/>
      <c r="E300" s="46"/>
      <c r="F300" s="46"/>
      <c r="G300" s="47"/>
      <c r="H300" s="40">
        <f>H275+H280+H294+H299</f>
        <v>185539.26</v>
      </c>
    </row>
    <row r="302" spans="1:8" x14ac:dyDescent="0.25">
      <c r="A302" s="65" t="s">
        <v>4</v>
      </c>
      <c r="B302" s="65"/>
      <c r="C302" s="87" t="s">
        <v>281</v>
      </c>
      <c r="D302" s="43" t="s">
        <v>3</v>
      </c>
      <c r="E302" s="84" t="s">
        <v>247</v>
      </c>
      <c r="F302" s="85"/>
      <c r="G302" s="85"/>
      <c r="H302" s="86"/>
    </row>
    <row r="303" spans="1:8" x14ac:dyDescent="0.25">
      <c r="A303" s="2">
        <v>1</v>
      </c>
      <c r="B303" s="54" t="s">
        <v>14</v>
      </c>
      <c r="C303" s="55"/>
      <c r="D303" s="55"/>
      <c r="E303" s="55"/>
      <c r="F303" s="55"/>
      <c r="G303" s="55"/>
      <c r="H303" s="56"/>
    </row>
    <row r="304" spans="1:8" ht="25.5" x14ac:dyDescent="0.25">
      <c r="A304" s="6" t="s">
        <v>15</v>
      </c>
      <c r="B304" s="6">
        <v>103689</v>
      </c>
      <c r="C304" s="10" t="s">
        <v>145</v>
      </c>
      <c r="D304" s="6" t="s">
        <v>17</v>
      </c>
      <c r="E304" s="7">
        <v>2.88</v>
      </c>
      <c r="F304" s="8">
        <v>462.39</v>
      </c>
      <c r="G304" s="8">
        <f>TRUNC((F304*1.2423),2)</f>
        <v>574.41999999999996</v>
      </c>
      <c r="H304" s="8">
        <f>TRUNC((E304*G304),2)</f>
        <v>1654.32</v>
      </c>
    </row>
    <row r="305" spans="1:8" x14ac:dyDescent="0.25">
      <c r="A305" s="6" t="s">
        <v>18</v>
      </c>
      <c r="B305" s="6" t="s">
        <v>16</v>
      </c>
      <c r="C305" s="10" t="s">
        <v>22</v>
      </c>
      <c r="D305" s="6" t="s">
        <v>23</v>
      </c>
      <c r="E305" s="7">
        <f>ROUND((30*26),2)</f>
        <v>780</v>
      </c>
      <c r="F305" s="8">
        <f>COMPOSIÇÕES!F5</f>
        <v>1.8599999999999999</v>
      </c>
      <c r="G305" s="8">
        <f t="shared" ref="G305:G306" si="70">TRUNC((F305*1.2423),2)</f>
        <v>2.31</v>
      </c>
      <c r="H305" s="8">
        <f t="shared" ref="H305:H306" si="71">TRUNC((E305*G305),2)</f>
        <v>1801.8</v>
      </c>
    </row>
    <row r="306" spans="1:8" x14ac:dyDescent="0.25">
      <c r="A306" s="6" t="s">
        <v>20</v>
      </c>
      <c r="B306" s="6" t="s">
        <v>19</v>
      </c>
      <c r="C306" s="10" t="s">
        <v>146</v>
      </c>
      <c r="D306" s="6" t="s">
        <v>147</v>
      </c>
      <c r="E306" s="7">
        <v>1</v>
      </c>
      <c r="F306" s="8">
        <f>COMPOSIÇÕES!F14</f>
        <v>14600.800000000001</v>
      </c>
      <c r="G306" s="8">
        <f t="shared" si="70"/>
        <v>18138.57</v>
      </c>
      <c r="H306" s="8">
        <f t="shared" si="71"/>
        <v>18138.57</v>
      </c>
    </row>
    <row r="307" spans="1:8" x14ac:dyDescent="0.25">
      <c r="A307" s="45" t="s">
        <v>26</v>
      </c>
      <c r="B307" s="46"/>
      <c r="C307" s="46"/>
      <c r="D307" s="46"/>
      <c r="E307" s="46"/>
      <c r="F307" s="46"/>
      <c r="G307" s="47"/>
      <c r="H307" s="9">
        <f>SUM(H304:H306)</f>
        <v>21594.69</v>
      </c>
    </row>
    <row r="308" spans="1:8" x14ac:dyDescent="0.25">
      <c r="A308" s="2">
        <v>2</v>
      </c>
      <c r="B308" s="54" t="s">
        <v>27</v>
      </c>
      <c r="C308" s="55"/>
      <c r="D308" s="55"/>
      <c r="E308" s="55"/>
      <c r="F308" s="55"/>
      <c r="G308" s="55"/>
      <c r="H308" s="56"/>
    </row>
    <row r="309" spans="1:8" ht="38.25" x14ac:dyDescent="0.25">
      <c r="A309" s="6" t="s">
        <v>151</v>
      </c>
      <c r="B309" s="6">
        <v>100978</v>
      </c>
      <c r="C309" s="10" t="s">
        <v>33</v>
      </c>
      <c r="D309" s="6" t="s">
        <v>31</v>
      </c>
      <c r="E309" s="7">
        <v>0</v>
      </c>
      <c r="F309" s="8">
        <v>7.62</v>
      </c>
      <c r="G309" s="8">
        <f>TRUNC((F309*1.2423),2)</f>
        <v>9.4600000000000009</v>
      </c>
      <c r="H309" s="8">
        <f t="shared" ref="H309:H311" si="72">TRUNC((E309*G309),2)</f>
        <v>0</v>
      </c>
    </row>
    <row r="310" spans="1:8" ht="25.5" x14ac:dyDescent="0.25">
      <c r="A310" s="6" t="s">
        <v>152</v>
      </c>
      <c r="B310" s="6">
        <v>93589</v>
      </c>
      <c r="C310" s="10" t="s">
        <v>81</v>
      </c>
      <c r="D310" s="6" t="s">
        <v>29</v>
      </c>
      <c r="E310" s="7">
        <v>0</v>
      </c>
      <c r="F310" s="8">
        <v>2.9</v>
      </c>
      <c r="G310" s="8">
        <f t="shared" ref="G310:G311" si="73">TRUNC((F310*1.2423),2)</f>
        <v>3.6</v>
      </c>
      <c r="H310" s="8">
        <f t="shared" si="72"/>
        <v>0</v>
      </c>
    </row>
    <row r="311" spans="1:8" ht="25.5" x14ac:dyDescent="0.25">
      <c r="A311" s="6" t="s">
        <v>153</v>
      </c>
      <c r="B311" s="11" t="s">
        <v>24</v>
      </c>
      <c r="C311" s="10" t="s">
        <v>36</v>
      </c>
      <c r="D311" s="6" t="s">
        <v>31</v>
      </c>
      <c r="E311" s="7">
        <v>0</v>
      </c>
      <c r="F311" s="8">
        <v>20.82</v>
      </c>
      <c r="G311" s="8">
        <f t="shared" si="73"/>
        <v>25.86</v>
      </c>
      <c r="H311" s="8">
        <f t="shared" si="72"/>
        <v>0</v>
      </c>
    </row>
    <row r="312" spans="1:8" x14ac:dyDescent="0.25">
      <c r="A312" s="45" t="s">
        <v>37</v>
      </c>
      <c r="B312" s="46"/>
      <c r="C312" s="46"/>
      <c r="D312" s="46"/>
      <c r="E312" s="46"/>
      <c r="F312" s="46"/>
      <c r="G312" s="47"/>
      <c r="H312" s="9">
        <f>SUM(H309:H311)</f>
        <v>0</v>
      </c>
    </row>
    <row r="313" spans="1:8" x14ac:dyDescent="0.25">
      <c r="A313" s="2">
        <v>3</v>
      </c>
      <c r="B313" s="54" t="s">
        <v>38</v>
      </c>
      <c r="C313" s="55"/>
      <c r="D313" s="55"/>
      <c r="E313" s="55"/>
      <c r="F313" s="55"/>
      <c r="G313" s="55"/>
      <c r="H313" s="56"/>
    </row>
    <row r="314" spans="1:8" x14ac:dyDescent="0.25">
      <c r="A314" s="2" t="s">
        <v>85</v>
      </c>
      <c r="B314" s="54" t="s">
        <v>248</v>
      </c>
      <c r="C314" s="55"/>
      <c r="D314" s="55"/>
      <c r="E314" s="55"/>
      <c r="F314" s="55"/>
      <c r="G314" s="55"/>
      <c r="H314" s="56"/>
    </row>
    <row r="315" spans="1:8" ht="25.5" x14ac:dyDescent="0.25">
      <c r="A315" s="6" t="s">
        <v>183</v>
      </c>
      <c r="B315" s="6">
        <v>102098</v>
      </c>
      <c r="C315" s="14" t="s">
        <v>86</v>
      </c>
      <c r="D315" s="6" t="s">
        <v>31</v>
      </c>
      <c r="E315" s="7">
        <f>ROUND((53*1.5*0.05),2)</f>
        <v>3.98</v>
      </c>
      <c r="F315" s="8">
        <v>2723.2</v>
      </c>
      <c r="G315" s="8">
        <f>TRUNC((F315*1.2423),2)</f>
        <v>3383.03</v>
      </c>
      <c r="H315" s="8">
        <f>TRUNC((E315*G315),2)</f>
        <v>13464.45</v>
      </c>
    </row>
    <row r="316" spans="1:8" ht="25.5" x14ac:dyDescent="0.25">
      <c r="A316" s="6" t="s">
        <v>184</v>
      </c>
      <c r="B316" s="6">
        <v>102332</v>
      </c>
      <c r="C316" s="10" t="s">
        <v>93</v>
      </c>
      <c r="D316" s="6" t="s">
        <v>23</v>
      </c>
      <c r="E316" s="7">
        <f>ROUND((E315*2.5548*12.5),2)</f>
        <v>127.1</v>
      </c>
      <c r="F316" s="8">
        <v>1.93</v>
      </c>
      <c r="G316" s="8">
        <f t="shared" ref="G316:G330" si="74">TRUNC((F316*1.2423),2)</f>
        <v>2.39</v>
      </c>
      <c r="H316" s="8">
        <f t="shared" ref="H316:H330" si="75">TRUNC((E316*G316),2)</f>
        <v>303.76</v>
      </c>
    </row>
    <row r="317" spans="1:8" ht="38.25" x14ac:dyDescent="0.25">
      <c r="A317" s="6" t="s">
        <v>185</v>
      </c>
      <c r="B317" s="6">
        <v>94273</v>
      </c>
      <c r="C317" s="10" t="s">
        <v>87</v>
      </c>
      <c r="D317" s="6" t="s">
        <v>44</v>
      </c>
      <c r="E317" s="7">
        <v>41</v>
      </c>
      <c r="F317" s="8">
        <v>50.87</v>
      </c>
      <c r="G317" s="8">
        <f t="shared" si="74"/>
        <v>63.19</v>
      </c>
      <c r="H317" s="8">
        <f t="shared" si="75"/>
        <v>2590.79</v>
      </c>
    </row>
    <row r="318" spans="1:8" ht="25.5" x14ac:dyDescent="0.25">
      <c r="A318" s="6" t="s">
        <v>186</v>
      </c>
      <c r="B318" s="6">
        <v>100947</v>
      </c>
      <c r="C318" s="10" t="s">
        <v>94</v>
      </c>
      <c r="D318" s="6" t="s">
        <v>23</v>
      </c>
      <c r="E318" s="7">
        <f>ROUND((E317*0.9*26),2)</f>
        <v>959.4</v>
      </c>
      <c r="F318" s="8">
        <v>2.4</v>
      </c>
      <c r="G318" s="8">
        <f t="shared" si="74"/>
        <v>2.98</v>
      </c>
      <c r="H318" s="8">
        <f t="shared" si="75"/>
        <v>2859.01</v>
      </c>
    </row>
    <row r="319" spans="1:8" ht="38.25" x14ac:dyDescent="0.25">
      <c r="A319" s="6" t="s">
        <v>187</v>
      </c>
      <c r="B319" s="6">
        <v>102281</v>
      </c>
      <c r="C319" s="10" t="s">
        <v>39</v>
      </c>
      <c r="D319" s="6" t="s">
        <v>31</v>
      </c>
      <c r="E319" s="7">
        <f>ROUND(((E324*1.5*1.5)+(E323*1*1)),2)</f>
        <v>185.5</v>
      </c>
      <c r="F319" s="8">
        <v>6.19</v>
      </c>
      <c r="G319" s="8">
        <f t="shared" si="74"/>
        <v>7.68</v>
      </c>
      <c r="H319" s="8">
        <f t="shared" si="75"/>
        <v>1424.64</v>
      </c>
    </row>
    <row r="320" spans="1:8" ht="38.25" x14ac:dyDescent="0.25">
      <c r="A320" s="6" t="s">
        <v>188</v>
      </c>
      <c r="B320" s="6">
        <v>93368</v>
      </c>
      <c r="C320" s="10" t="s">
        <v>40</v>
      </c>
      <c r="D320" s="6" t="s">
        <v>31</v>
      </c>
      <c r="E320" s="7">
        <f>ROUND((E319-((E323*0.18)+(E324*0.72))),2)</f>
        <v>127.54</v>
      </c>
      <c r="F320" s="8">
        <v>23.89</v>
      </c>
      <c r="G320" s="8">
        <f t="shared" si="74"/>
        <v>29.67</v>
      </c>
      <c r="H320" s="8">
        <f t="shared" si="75"/>
        <v>3784.11</v>
      </c>
    </row>
    <row r="321" spans="1:8" ht="25.5" x14ac:dyDescent="0.25">
      <c r="A321" s="6" t="s">
        <v>189</v>
      </c>
      <c r="B321" s="6">
        <v>101623</v>
      </c>
      <c r="C321" s="10" t="s">
        <v>41</v>
      </c>
      <c r="D321" s="6" t="s">
        <v>31</v>
      </c>
      <c r="E321" s="7">
        <f>ROUND(((E323*0.5*0.1)+(E324*1*0.1)),2)</f>
        <v>8.3000000000000007</v>
      </c>
      <c r="F321" s="8">
        <v>253.05</v>
      </c>
      <c r="G321" s="8">
        <f t="shared" si="74"/>
        <v>314.36</v>
      </c>
      <c r="H321" s="8">
        <f t="shared" si="75"/>
        <v>2609.1799999999998</v>
      </c>
    </row>
    <row r="322" spans="1:8" ht="25.5" x14ac:dyDescent="0.25">
      <c r="A322" s="6" t="s">
        <v>190</v>
      </c>
      <c r="B322" s="6">
        <v>93589</v>
      </c>
      <c r="C322" s="12" t="s">
        <v>95</v>
      </c>
      <c r="D322" s="6" t="s">
        <v>29</v>
      </c>
      <c r="E322" s="7">
        <f>ROUND((E321*12.5),2)</f>
        <v>103.75</v>
      </c>
      <c r="F322" s="8">
        <v>2.9</v>
      </c>
      <c r="G322" s="8">
        <f t="shared" si="74"/>
        <v>3.6</v>
      </c>
      <c r="H322" s="8">
        <f t="shared" si="75"/>
        <v>373.5</v>
      </c>
    </row>
    <row r="323" spans="1:8" ht="38.25" x14ac:dyDescent="0.25">
      <c r="A323" s="6" t="s">
        <v>191</v>
      </c>
      <c r="B323" s="6">
        <v>92210</v>
      </c>
      <c r="C323" s="12" t="s">
        <v>89</v>
      </c>
      <c r="D323" s="6" t="s">
        <v>44</v>
      </c>
      <c r="E323" s="7">
        <v>10</v>
      </c>
      <c r="F323" s="8">
        <v>173.44</v>
      </c>
      <c r="G323" s="8">
        <f t="shared" si="74"/>
        <v>215.46</v>
      </c>
      <c r="H323" s="8">
        <f t="shared" si="75"/>
        <v>2154.6</v>
      </c>
    </row>
    <row r="324" spans="1:8" ht="38.25" x14ac:dyDescent="0.25">
      <c r="A324" s="6" t="s">
        <v>192</v>
      </c>
      <c r="B324" s="6">
        <v>92214</v>
      </c>
      <c r="C324" s="10" t="s">
        <v>45</v>
      </c>
      <c r="D324" s="6" t="s">
        <v>44</v>
      </c>
      <c r="E324" s="7">
        <f>23+55</f>
        <v>78</v>
      </c>
      <c r="F324" s="8">
        <v>520.55999999999995</v>
      </c>
      <c r="G324" s="8">
        <f t="shared" si="74"/>
        <v>646.69000000000005</v>
      </c>
      <c r="H324" s="8">
        <f t="shared" si="75"/>
        <v>50441.82</v>
      </c>
    </row>
    <row r="325" spans="1:8" ht="25.5" x14ac:dyDescent="0.25">
      <c r="A325" s="6" t="s">
        <v>193</v>
      </c>
      <c r="B325" s="6">
        <v>100947</v>
      </c>
      <c r="C325" s="10" t="s">
        <v>94</v>
      </c>
      <c r="D325" s="6" t="s">
        <v>23</v>
      </c>
      <c r="E325" s="7">
        <f>ROUND((((E323*0.19)+(E324*0.57))*26),2)</f>
        <v>1205.3599999999999</v>
      </c>
      <c r="F325" s="8">
        <v>2.4</v>
      </c>
      <c r="G325" s="8">
        <f t="shared" si="74"/>
        <v>2.98</v>
      </c>
      <c r="H325" s="8">
        <f t="shared" si="75"/>
        <v>3591.97</v>
      </c>
    </row>
    <row r="326" spans="1:8" ht="25.5" x14ac:dyDescent="0.25">
      <c r="A326" s="6" t="s">
        <v>194</v>
      </c>
      <c r="B326" s="6">
        <v>102739</v>
      </c>
      <c r="C326" s="10" t="s">
        <v>48</v>
      </c>
      <c r="D326" s="6" t="s">
        <v>25</v>
      </c>
      <c r="E326" s="7">
        <v>1</v>
      </c>
      <c r="F326" s="8">
        <v>3913.7</v>
      </c>
      <c r="G326" s="8">
        <f t="shared" si="74"/>
        <v>4861.9799999999996</v>
      </c>
      <c r="H326" s="8">
        <f t="shared" si="75"/>
        <v>4861.9799999999996</v>
      </c>
    </row>
    <row r="327" spans="1:8" ht="25.5" x14ac:dyDescent="0.25">
      <c r="A327" s="6" t="s">
        <v>195</v>
      </c>
      <c r="B327" s="6">
        <v>97956</v>
      </c>
      <c r="C327" s="10" t="s">
        <v>90</v>
      </c>
      <c r="D327" s="6" t="s">
        <v>25</v>
      </c>
      <c r="E327" s="7">
        <v>1</v>
      </c>
      <c r="F327" s="8">
        <v>1683.94</v>
      </c>
      <c r="G327" s="8">
        <f t="shared" si="74"/>
        <v>2091.9499999999998</v>
      </c>
      <c r="H327" s="8">
        <f t="shared" si="75"/>
        <v>2091.9499999999998</v>
      </c>
    </row>
    <row r="328" spans="1:8" ht="38.25" x14ac:dyDescent="0.25">
      <c r="A328" s="6" t="s">
        <v>196</v>
      </c>
      <c r="B328" s="6">
        <v>99290</v>
      </c>
      <c r="C328" s="12" t="s">
        <v>91</v>
      </c>
      <c r="D328" s="6" t="s">
        <v>25</v>
      </c>
      <c r="E328" s="7">
        <v>2</v>
      </c>
      <c r="F328" s="8">
        <v>4475.13</v>
      </c>
      <c r="G328" s="8">
        <f t="shared" si="74"/>
        <v>5559.45</v>
      </c>
      <c r="H328" s="8">
        <f t="shared" si="75"/>
        <v>11118.9</v>
      </c>
    </row>
    <row r="329" spans="1:8" ht="25.5" x14ac:dyDescent="0.25">
      <c r="A329" s="6" t="s">
        <v>197</v>
      </c>
      <c r="B329" s="6">
        <v>99241</v>
      </c>
      <c r="C329" s="10" t="s">
        <v>92</v>
      </c>
      <c r="D329" s="6" t="s">
        <v>44</v>
      </c>
      <c r="E329" s="7">
        <v>1</v>
      </c>
      <c r="F329" s="8">
        <v>2045.58</v>
      </c>
      <c r="G329" s="8">
        <f t="shared" si="74"/>
        <v>2541.2199999999998</v>
      </c>
      <c r="H329" s="8">
        <f t="shared" si="75"/>
        <v>2541.2199999999998</v>
      </c>
    </row>
    <row r="330" spans="1:8" x14ac:dyDescent="0.25">
      <c r="A330" s="6" t="s">
        <v>198</v>
      </c>
      <c r="B330" s="6" t="s">
        <v>181</v>
      </c>
      <c r="C330" s="12" t="s">
        <v>182</v>
      </c>
      <c r="D330" s="6" t="s">
        <v>25</v>
      </c>
      <c r="E330" s="7">
        <v>2</v>
      </c>
      <c r="F330" s="8">
        <f>COMPOSIÇÕES!F83</f>
        <v>2013.6100000000001</v>
      </c>
      <c r="G330" s="8">
        <f t="shared" si="74"/>
        <v>2501.5</v>
      </c>
      <c r="H330" s="8">
        <f t="shared" si="75"/>
        <v>5003</v>
      </c>
    </row>
    <row r="331" spans="1:8" x14ac:dyDescent="0.25">
      <c r="A331" s="45" t="s">
        <v>97</v>
      </c>
      <c r="B331" s="46"/>
      <c r="C331" s="46"/>
      <c r="D331" s="46"/>
      <c r="E331" s="46"/>
      <c r="F331" s="46"/>
      <c r="G331" s="47"/>
      <c r="H331" s="9">
        <f>SUM(H315:H330)</f>
        <v>109214.87999999999</v>
      </c>
    </row>
    <row r="332" spans="1:8" x14ac:dyDescent="0.25">
      <c r="A332" s="2" t="s">
        <v>100</v>
      </c>
      <c r="B332" s="54" t="s">
        <v>229</v>
      </c>
      <c r="C332" s="55"/>
      <c r="D332" s="55"/>
      <c r="E332" s="55"/>
      <c r="F332" s="55"/>
      <c r="G332" s="55"/>
      <c r="H332" s="56"/>
    </row>
    <row r="333" spans="1:8" ht="38.25" x14ac:dyDescent="0.25">
      <c r="A333" s="6" t="s">
        <v>206</v>
      </c>
      <c r="B333" s="6">
        <v>102281</v>
      </c>
      <c r="C333" s="10" t="s">
        <v>39</v>
      </c>
      <c r="D333" s="6" t="s">
        <v>31</v>
      </c>
      <c r="E333" s="7">
        <f>ROUND((E338*3),2)</f>
        <v>600</v>
      </c>
      <c r="F333" s="8">
        <v>6.19</v>
      </c>
      <c r="G333" s="8">
        <f>TRUNC((F333*1.2423),2)</f>
        <v>7.68</v>
      </c>
      <c r="H333" s="8">
        <f t="shared" ref="H333:H343" si="76">TRUNC((E333*G333),2)</f>
        <v>4608</v>
      </c>
    </row>
    <row r="334" spans="1:8" ht="25.5" x14ac:dyDescent="0.25">
      <c r="A334" s="6" t="s">
        <v>207</v>
      </c>
      <c r="B334" s="11" t="s">
        <v>159</v>
      </c>
      <c r="C334" s="12" t="s">
        <v>116</v>
      </c>
      <c r="D334" s="6" t="s">
        <v>31</v>
      </c>
      <c r="E334" s="7">
        <f>ROUND((E338*1.5*0.2),2)</f>
        <v>60</v>
      </c>
      <c r="F334" s="8">
        <v>133.04</v>
      </c>
      <c r="G334" s="8">
        <f t="shared" ref="G334:G343" si="77">TRUNC((F334*1.2423),2)</f>
        <v>165.27</v>
      </c>
      <c r="H334" s="8">
        <f t="shared" si="76"/>
        <v>9916.2000000000007</v>
      </c>
    </row>
    <row r="335" spans="1:8" ht="38.25" x14ac:dyDescent="0.25">
      <c r="A335" s="6" t="s">
        <v>208</v>
      </c>
      <c r="B335" s="6">
        <v>100978</v>
      </c>
      <c r="C335" s="10" t="s">
        <v>33</v>
      </c>
      <c r="D335" s="6" t="s">
        <v>31</v>
      </c>
      <c r="E335" s="7">
        <f>E334</f>
        <v>60</v>
      </c>
      <c r="F335" s="8">
        <v>7.62</v>
      </c>
      <c r="G335" s="8">
        <f t="shared" si="77"/>
        <v>9.4600000000000009</v>
      </c>
      <c r="H335" s="8">
        <f t="shared" si="76"/>
        <v>567.6</v>
      </c>
    </row>
    <row r="336" spans="1:8" ht="25.5" x14ac:dyDescent="0.25">
      <c r="A336" s="6" t="s">
        <v>209</v>
      </c>
      <c r="B336" s="6">
        <v>93589</v>
      </c>
      <c r="C336" s="10" t="s">
        <v>122</v>
      </c>
      <c r="D336" s="6" t="s">
        <v>29</v>
      </c>
      <c r="E336" s="7">
        <f>ROUND((E334*1.25*8),2)</f>
        <v>600</v>
      </c>
      <c r="F336" s="8">
        <v>2.9</v>
      </c>
      <c r="G336" s="8">
        <f t="shared" si="77"/>
        <v>3.6</v>
      </c>
      <c r="H336" s="8">
        <f t="shared" si="76"/>
        <v>2160</v>
      </c>
    </row>
    <row r="337" spans="1:8" ht="38.25" x14ac:dyDescent="0.25">
      <c r="A337" s="6" t="s">
        <v>210</v>
      </c>
      <c r="B337" s="6">
        <v>93368</v>
      </c>
      <c r="C337" s="10" t="s">
        <v>40</v>
      </c>
      <c r="D337" s="6" t="s">
        <v>31</v>
      </c>
      <c r="E337" s="7">
        <f>ROUND((8.37*E338),2)</f>
        <v>1674</v>
      </c>
      <c r="F337" s="8">
        <v>23.89</v>
      </c>
      <c r="G337" s="8">
        <f t="shared" si="77"/>
        <v>29.67</v>
      </c>
      <c r="H337" s="8">
        <f t="shared" si="76"/>
        <v>49667.58</v>
      </c>
    </row>
    <row r="338" spans="1:8" ht="38.25" x14ac:dyDescent="0.25">
      <c r="A338" s="6" t="s">
        <v>211</v>
      </c>
      <c r="B338" s="6">
        <v>92216</v>
      </c>
      <c r="C338" s="10" t="s">
        <v>43</v>
      </c>
      <c r="D338" s="6" t="s">
        <v>44</v>
      </c>
      <c r="E338" s="7">
        <v>200</v>
      </c>
      <c r="F338" s="8">
        <v>620.05999999999995</v>
      </c>
      <c r="G338" s="8">
        <f t="shared" si="77"/>
        <v>770.3</v>
      </c>
      <c r="H338" s="8">
        <f t="shared" si="76"/>
        <v>154060</v>
      </c>
    </row>
    <row r="339" spans="1:8" ht="38.25" x14ac:dyDescent="0.25">
      <c r="A339" s="6" t="s">
        <v>212</v>
      </c>
      <c r="B339" s="6">
        <v>92839</v>
      </c>
      <c r="C339" s="10" t="s">
        <v>121</v>
      </c>
      <c r="D339" s="6" t="s">
        <v>44</v>
      </c>
      <c r="E339" s="7">
        <v>40</v>
      </c>
      <c r="F339" s="8">
        <v>545.37</v>
      </c>
      <c r="G339" s="8">
        <f t="shared" si="77"/>
        <v>677.51</v>
      </c>
      <c r="H339" s="8">
        <f t="shared" si="76"/>
        <v>27100.400000000001</v>
      </c>
    </row>
    <row r="340" spans="1:8" ht="25.5" x14ac:dyDescent="0.25">
      <c r="A340" s="6" t="s">
        <v>213</v>
      </c>
      <c r="B340" s="6">
        <v>100947</v>
      </c>
      <c r="C340" s="10" t="s">
        <v>94</v>
      </c>
      <c r="D340" s="6" t="s">
        <v>23</v>
      </c>
      <c r="E340" s="7">
        <f>ROUND((((E338*1.08)+(E339*0.335))*26),2)</f>
        <v>5964.4</v>
      </c>
      <c r="F340" s="8">
        <v>2.4</v>
      </c>
      <c r="G340" s="8">
        <f t="shared" si="77"/>
        <v>2.98</v>
      </c>
      <c r="H340" s="8">
        <f t="shared" si="76"/>
        <v>17773.91</v>
      </c>
    </row>
    <row r="341" spans="1:8" ht="38.25" x14ac:dyDescent="0.25">
      <c r="A341" s="6" t="s">
        <v>214</v>
      </c>
      <c r="B341" s="6">
        <v>99290</v>
      </c>
      <c r="C341" s="12" t="s">
        <v>91</v>
      </c>
      <c r="D341" s="6" t="s">
        <v>25</v>
      </c>
      <c r="E341" s="7">
        <v>6</v>
      </c>
      <c r="F341" s="8">
        <v>4475.13</v>
      </c>
      <c r="G341" s="8">
        <f t="shared" si="77"/>
        <v>5559.45</v>
      </c>
      <c r="H341" s="8">
        <f t="shared" si="76"/>
        <v>33356.699999999997</v>
      </c>
    </row>
    <row r="342" spans="1:8" ht="25.5" x14ac:dyDescent="0.25">
      <c r="A342" s="6" t="s">
        <v>215</v>
      </c>
      <c r="B342" s="6">
        <v>99241</v>
      </c>
      <c r="C342" s="10" t="s">
        <v>92</v>
      </c>
      <c r="D342" s="6" t="s">
        <v>44</v>
      </c>
      <c r="E342" s="7">
        <f>6*1</f>
        <v>6</v>
      </c>
      <c r="F342" s="8">
        <v>2045.58</v>
      </c>
      <c r="G342" s="8">
        <f t="shared" si="77"/>
        <v>2541.2199999999998</v>
      </c>
      <c r="H342" s="8">
        <f t="shared" si="76"/>
        <v>15247.32</v>
      </c>
    </row>
    <row r="343" spans="1:8" x14ac:dyDescent="0.25">
      <c r="A343" s="6" t="s">
        <v>216</v>
      </c>
      <c r="B343" s="6" t="s">
        <v>204</v>
      </c>
      <c r="C343" s="10" t="s">
        <v>205</v>
      </c>
      <c r="D343" s="6" t="s">
        <v>25</v>
      </c>
      <c r="E343" s="7">
        <v>6</v>
      </c>
      <c r="F343" s="8">
        <v>389.96</v>
      </c>
      <c r="G343" s="8">
        <f t="shared" si="77"/>
        <v>484.44</v>
      </c>
      <c r="H343" s="8">
        <f t="shared" si="76"/>
        <v>2906.64</v>
      </c>
    </row>
    <row r="344" spans="1:8" x14ac:dyDescent="0.25">
      <c r="A344" s="45" t="s">
        <v>99</v>
      </c>
      <c r="B344" s="46"/>
      <c r="C344" s="46"/>
      <c r="D344" s="46"/>
      <c r="E344" s="46"/>
      <c r="F344" s="46"/>
      <c r="G344" s="47"/>
      <c r="H344" s="9">
        <f>SUM(H333:H343)</f>
        <v>317364.35000000003</v>
      </c>
    </row>
    <row r="345" spans="1:8" x14ac:dyDescent="0.25">
      <c r="A345" s="45" t="s">
        <v>49</v>
      </c>
      <c r="B345" s="46"/>
      <c r="C345" s="46"/>
      <c r="D345" s="46"/>
      <c r="E345" s="46"/>
      <c r="F345" s="46"/>
      <c r="G345" s="47"/>
      <c r="H345" s="9">
        <f>H331+H344</f>
        <v>426579.23000000004</v>
      </c>
    </row>
    <row r="346" spans="1:8" x14ac:dyDescent="0.25">
      <c r="A346" s="2">
        <v>4</v>
      </c>
      <c r="B346" s="54" t="s">
        <v>51</v>
      </c>
      <c r="C346" s="55"/>
      <c r="D346" s="55"/>
      <c r="E346" s="55"/>
      <c r="F346" s="55"/>
      <c r="G346" s="55"/>
      <c r="H346" s="56"/>
    </row>
    <row r="347" spans="1:8" x14ac:dyDescent="0.25">
      <c r="A347" s="6" t="s">
        <v>148</v>
      </c>
      <c r="B347" s="6" t="s">
        <v>21</v>
      </c>
      <c r="C347" s="10" t="s">
        <v>52</v>
      </c>
      <c r="D347" s="7" t="s">
        <v>23</v>
      </c>
      <c r="E347" s="7">
        <f>E305</f>
        <v>780</v>
      </c>
      <c r="F347" s="8">
        <f>COMPOSIÇÕES!F20</f>
        <v>1.8599999999999999</v>
      </c>
      <c r="G347" s="8">
        <f>TRUNC((F347*1.2423),2)</f>
        <v>2.31</v>
      </c>
      <c r="H347" s="8">
        <f>TRUNC((E347*G347),2)</f>
        <v>1801.8</v>
      </c>
    </row>
    <row r="348" spans="1:8" x14ac:dyDescent="0.25">
      <c r="A348" s="6" t="s">
        <v>149</v>
      </c>
      <c r="B348" s="6" t="s">
        <v>178</v>
      </c>
      <c r="C348" s="10" t="s">
        <v>179</v>
      </c>
      <c r="D348" s="7" t="s">
        <v>56</v>
      </c>
      <c r="E348" s="7">
        <v>20</v>
      </c>
      <c r="F348" s="8">
        <v>677.2</v>
      </c>
      <c r="G348" s="8">
        <f t="shared" ref="G348:G350" si="78">TRUNC((F348*1.2423),2)</f>
        <v>841.28</v>
      </c>
      <c r="H348" s="8">
        <f>TRUNC((E348*G348),2)</f>
        <v>16825.599999999999</v>
      </c>
    </row>
    <row r="349" spans="1:8" ht="25.5" x14ac:dyDescent="0.25">
      <c r="A349" s="6" t="s">
        <v>150</v>
      </c>
      <c r="B349" s="6">
        <v>88908</v>
      </c>
      <c r="C349" s="10" t="s">
        <v>53</v>
      </c>
      <c r="D349" s="7" t="s">
        <v>54</v>
      </c>
      <c r="E349" s="7">
        <v>15</v>
      </c>
      <c r="F349" s="8">
        <v>112.37</v>
      </c>
      <c r="G349" s="8">
        <f t="shared" si="78"/>
        <v>139.59</v>
      </c>
      <c r="H349" s="8">
        <f>TRUNC((E349*G349),2)</f>
        <v>2093.85</v>
      </c>
    </row>
    <row r="350" spans="1:8" ht="25.5" x14ac:dyDescent="0.25">
      <c r="A350" s="6" t="s">
        <v>177</v>
      </c>
      <c r="B350" s="6">
        <v>88907</v>
      </c>
      <c r="C350" s="10" t="s">
        <v>55</v>
      </c>
      <c r="D350" s="7" t="s">
        <v>56</v>
      </c>
      <c r="E350" s="7">
        <v>30</v>
      </c>
      <c r="F350" s="8">
        <v>275.02999999999997</v>
      </c>
      <c r="G350" s="8">
        <f t="shared" si="78"/>
        <v>341.66</v>
      </c>
      <c r="H350" s="8">
        <f>TRUNC((E350*G350),2)</f>
        <v>10249.799999999999</v>
      </c>
    </row>
    <row r="351" spans="1:8" x14ac:dyDescent="0.25">
      <c r="A351" s="45" t="s">
        <v>50</v>
      </c>
      <c r="B351" s="46"/>
      <c r="C351" s="46"/>
      <c r="D351" s="46"/>
      <c r="E351" s="46"/>
      <c r="F351" s="46"/>
      <c r="G351" s="47"/>
      <c r="H351" s="9">
        <f>SUM(H347:H350)</f>
        <v>30971.049999999996</v>
      </c>
    </row>
    <row r="352" spans="1:8" x14ac:dyDescent="0.25">
      <c r="A352" s="45" t="s">
        <v>57</v>
      </c>
      <c r="B352" s="46"/>
      <c r="C352" s="46"/>
      <c r="D352" s="46"/>
      <c r="E352" s="46"/>
      <c r="F352" s="46"/>
      <c r="G352" s="47"/>
      <c r="H352" s="40">
        <f>H307+H312+H345+H351</f>
        <v>479144.97000000003</v>
      </c>
    </row>
    <row r="353" spans="3:8" ht="15.75" thickBot="1" x14ac:dyDescent="0.3"/>
    <row r="354" spans="3:8" ht="19.5" thickBot="1" x14ac:dyDescent="0.35">
      <c r="D354" s="88" t="s">
        <v>259</v>
      </c>
      <c r="E354" s="89"/>
      <c r="F354" s="89"/>
      <c r="G354" s="89"/>
      <c r="H354" s="90">
        <f>H36+H65+H96+H127+H155+H182+H210+H240+H268+H300+H352</f>
        <v>2326570.69</v>
      </c>
    </row>
    <row r="357" spans="3:8" x14ac:dyDescent="0.25">
      <c r="C357" s="1" t="s">
        <v>260</v>
      </c>
      <c r="D357" s="1"/>
      <c r="E357" s="1"/>
      <c r="F357" s="1"/>
      <c r="G357" s="1"/>
      <c r="H357" s="1"/>
    </row>
    <row r="358" spans="3:8" x14ac:dyDescent="0.25">
      <c r="C358" s="1"/>
      <c r="D358" s="1"/>
      <c r="E358" s="1"/>
      <c r="F358" s="1"/>
      <c r="G358" s="23"/>
      <c r="H358" s="23"/>
    </row>
    <row r="359" spans="3:8" x14ac:dyDescent="0.25">
      <c r="C359" s="1"/>
      <c r="D359" s="1"/>
      <c r="E359" s="57"/>
      <c r="F359" s="57"/>
      <c r="G359" s="57"/>
      <c r="H359" s="57"/>
    </row>
    <row r="360" spans="3:8" x14ac:dyDescent="0.25">
      <c r="C360" s="1"/>
      <c r="D360" s="1"/>
      <c r="E360" s="58" t="s">
        <v>241</v>
      </c>
      <c r="F360" s="58"/>
      <c r="G360" s="58"/>
      <c r="H360" s="58"/>
    </row>
    <row r="361" spans="3:8" x14ac:dyDescent="0.25">
      <c r="C361" s="1"/>
      <c r="D361" s="1"/>
      <c r="E361" s="1"/>
      <c r="F361" s="1"/>
      <c r="G361" s="1"/>
      <c r="H361" s="1"/>
    </row>
  </sheetData>
  <mergeCells count="132">
    <mergeCell ref="A352:G352"/>
    <mergeCell ref="D354:G354"/>
    <mergeCell ref="E359:H359"/>
    <mergeCell ref="E360:H360"/>
    <mergeCell ref="B332:H332"/>
    <mergeCell ref="A344:G344"/>
    <mergeCell ref="A345:G345"/>
    <mergeCell ref="B346:H346"/>
    <mergeCell ref="A351:G351"/>
    <mergeCell ref="B308:H308"/>
    <mergeCell ref="A312:G312"/>
    <mergeCell ref="B313:H313"/>
    <mergeCell ref="B314:H314"/>
    <mergeCell ref="A331:G331"/>
    <mergeCell ref="A302:B302"/>
    <mergeCell ref="E302:H302"/>
    <mergeCell ref="B303:H303"/>
    <mergeCell ref="A307:G307"/>
    <mergeCell ref="A299:G299"/>
    <mergeCell ref="A300:G300"/>
    <mergeCell ref="B281:H281"/>
    <mergeCell ref="A294:G294"/>
    <mergeCell ref="B295:H295"/>
    <mergeCell ref="B271:H271"/>
    <mergeCell ref="A275:G275"/>
    <mergeCell ref="B276:H276"/>
    <mergeCell ref="A280:G280"/>
    <mergeCell ref="A270:B270"/>
    <mergeCell ref="E270:H270"/>
    <mergeCell ref="B253:H253"/>
    <mergeCell ref="A262:G262"/>
    <mergeCell ref="B263:H263"/>
    <mergeCell ref="A267:G267"/>
    <mergeCell ref="A268:G268"/>
    <mergeCell ref="B243:H243"/>
    <mergeCell ref="A247:G247"/>
    <mergeCell ref="B248:H248"/>
    <mergeCell ref="A252:G252"/>
    <mergeCell ref="A242:B242"/>
    <mergeCell ref="E242:H242"/>
    <mergeCell ref="B223:H223"/>
    <mergeCell ref="A234:G234"/>
    <mergeCell ref="B235:H235"/>
    <mergeCell ref="A239:G239"/>
    <mergeCell ref="A240:G240"/>
    <mergeCell ref="B213:H213"/>
    <mergeCell ref="A217:G217"/>
    <mergeCell ref="B218:H218"/>
    <mergeCell ref="A222:G222"/>
    <mergeCell ref="E212:H212"/>
    <mergeCell ref="A212:B212"/>
    <mergeCell ref="B195:H195"/>
    <mergeCell ref="A204:G204"/>
    <mergeCell ref="B205:H205"/>
    <mergeCell ref="A209:G209"/>
    <mergeCell ref="A210:G210"/>
    <mergeCell ref="B185:H185"/>
    <mergeCell ref="A189:G189"/>
    <mergeCell ref="B190:H190"/>
    <mergeCell ref="A194:G194"/>
    <mergeCell ref="A184:B184"/>
    <mergeCell ref="E184:H184"/>
    <mergeCell ref="B168:H168"/>
    <mergeCell ref="A176:G176"/>
    <mergeCell ref="B177:H177"/>
    <mergeCell ref="A181:G181"/>
    <mergeCell ref="A182:G182"/>
    <mergeCell ref="B158:H158"/>
    <mergeCell ref="A162:G162"/>
    <mergeCell ref="B163:H163"/>
    <mergeCell ref="A167:G167"/>
    <mergeCell ref="A157:B157"/>
    <mergeCell ref="E157:H157"/>
    <mergeCell ref="B140:H140"/>
    <mergeCell ref="A149:G149"/>
    <mergeCell ref="B150:H150"/>
    <mergeCell ref="A154:G154"/>
    <mergeCell ref="A155:G155"/>
    <mergeCell ref="B130:H130"/>
    <mergeCell ref="A134:G134"/>
    <mergeCell ref="B135:H135"/>
    <mergeCell ref="A139:G139"/>
    <mergeCell ref="E129:H129"/>
    <mergeCell ref="A129:B129"/>
    <mergeCell ref="B109:H109"/>
    <mergeCell ref="A121:G121"/>
    <mergeCell ref="B122:H122"/>
    <mergeCell ref="A126:G126"/>
    <mergeCell ref="A127:G127"/>
    <mergeCell ref="B99:H99"/>
    <mergeCell ref="A103:G103"/>
    <mergeCell ref="B104:H104"/>
    <mergeCell ref="A108:G108"/>
    <mergeCell ref="E98:H98"/>
    <mergeCell ref="A98:B98"/>
    <mergeCell ref="A30:G30"/>
    <mergeCell ref="A1:H1"/>
    <mergeCell ref="A2:B2"/>
    <mergeCell ref="E7:H7"/>
    <mergeCell ref="A7:B7"/>
    <mergeCell ref="E2:H2"/>
    <mergeCell ref="A4:H4"/>
    <mergeCell ref="B8:H8"/>
    <mergeCell ref="A12:G12"/>
    <mergeCell ref="B13:H13"/>
    <mergeCell ref="A17:G17"/>
    <mergeCell ref="B18:H18"/>
    <mergeCell ref="B31:H31"/>
    <mergeCell ref="A35:G35"/>
    <mergeCell ref="A36:G36"/>
    <mergeCell ref="E38:H38"/>
    <mergeCell ref="A38:B38"/>
    <mergeCell ref="B39:H39"/>
    <mergeCell ref="A43:G43"/>
    <mergeCell ref="B44:H44"/>
    <mergeCell ref="A48:G48"/>
    <mergeCell ref="B49:H49"/>
    <mergeCell ref="A59:G59"/>
    <mergeCell ref="B60:H60"/>
    <mergeCell ref="A64:G64"/>
    <mergeCell ref="A65:G65"/>
    <mergeCell ref="E67:H67"/>
    <mergeCell ref="A96:G96"/>
    <mergeCell ref="A67:B67"/>
    <mergeCell ref="B68:H68"/>
    <mergeCell ref="A72:G72"/>
    <mergeCell ref="B73:H73"/>
    <mergeCell ref="A77:G77"/>
    <mergeCell ref="B78:H78"/>
    <mergeCell ref="A90:G90"/>
    <mergeCell ref="B91:H91"/>
    <mergeCell ref="A95:G95"/>
  </mergeCells>
  <pageMargins left="0.511811024" right="0.511811024" top="0.78740157499999996" bottom="0.78740157499999996" header="0.31496062000000002" footer="0.31496062000000002"/>
  <pageSetup paperSize="9" scale="5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42E4E-79C6-4436-A3E4-AA10DD9EE15C}">
  <dimension ref="A1:F83"/>
  <sheetViews>
    <sheetView topLeftCell="A7" workbookViewId="0">
      <selection activeCell="F20" sqref="F20"/>
    </sheetView>
  </sheetViews>
  <sheetFormatPr defaultRowHeight="15" x14ac:dyDescent="0.25"/>
  <cols>
    <col min="1" max="1" width="13.28515625" bestFit="1" customWidth="1"/>
    <col min="2" max="2" width="80.7109375" customWidth="1"/>
    <col min="3" max="6" width="12.7109375" customWidth="1"/>
  </cols>
  <sheetData>
    <row r="1" spans="1:6" x14ac:dyDescent="0.25">
      <c r="A1" s="78" t="s">
        <v>123</v>
      </c>
      <c r="B1" s="79"/>
      <c r="C1" s="79"/>
      <c r="D1" s="79"/>
      <c r="E1" s="79"/>
      <c r="F1" s="80"/>
    </row>
    <row r="2" spans="1:6" ht="30" x14ac:dyDescent="0.25">
      <c r="A2" s="5" t="s">
        <v>8</v>
      </c>
      <c r="B2" s="4" t="s">
        <v>9</v>
      </c>
      <c r="C2" s="4" t="s">
        <v>10</v>
      </c>
      <c r="D2" s="4" t="s">
        <v>11</v>
      </c>
      <c r="E2" s="5" t="s">
        <v>12</v>
      </c>
      <c r="F2" s="5" t="s">
        <v>13</v>
      </c>
    </row>
    <row r="3" spans="1:6" ht="25.5" x14ac:dyDescent="0.25">
      <c r="A3" s="6">
        <v>5914636</v>
      </c>
      <c r="B3" s="10" t="s">
        <v>102</v>
      </c>
      <c r="C3" s="6" t="s">
        <v>103</v>
      </c>
      <c r="D3" s="7">
        <v>1</v>
      </c>
      <c r="E3" s="8">
        <v>1.04</v>
      </c>
      <c r="F3" s="8">
        <f>TRUNC((D3*E3),2)</f>
        <v>1.04</v>
      </c>
    </row>
    <row r="4" spans="1:6" x14ac:dyDescent="0.25">
      <c r="A4" s="6">
        <v>88282</v>
      </c>
      <c r="B4" s="10" t="s">
        <v>124</v>
      </c>
      <c r="C4" s="6" t="s">
        <v>88</v>
      </c>
      <c r="D4" s="7">
        <v>0.03</v>
      </c>
      <c r="E4" s="8">
        <v>27.54</v>
      </c>
      <c r="F4" s="8">
        <f t="shared" ref="F4" si="0">TRUNC((D4*E4),2)</f>
        <v>0.82</v>
      </c>
    </row>
    <row r="5" spans="1:6" x14ac:dyDescent="0.25">
      <c r="A5" s="46" t="s">
        <v>104</v>
      </c>
      <c r="B5" s="46"/>
      <c r="C5" s="46"/>
      <c r="D5" s="46"/>
      <c r="E5" s="46"/>
      <c r="F5" s="8">
        <f>SUM(F3:F4)</f>
        <v>1.8599999999999999</v>
      </c>
    </row>
    <row r="7" spans="1:6" x14ac:dyDescent="0.25">
      <c r="A7" s="78" t="s">
        <v>125</v>
      </c>
      <c r="B7" s="79"/>
      <c r="C7" s="79"/>
      <c r="D7" s="79"/>
      <c r="E7" s="79"/>
      <c r="F7" s="80"/>
    </row>
    <row r="8" spans="1:6" ht="30" x14ac:dyDescent="0.25">
      <c r="A8" s="5" t="s">
        <v>8</v>
      </c>
      <c r="B8" s="4" t="s">
        <v>9</v>
      </c>
      <c r="C8" s="4" t="s">
        <v>10</v>
      </c>
      <c r="D8" s="4" t="s">
        <v>11</v>
      </c>
      <c r="E8" s="5" t="s">
        <v>12</v>
      </c>
      <c r="F8" s="5" t="s">
        <v>13</v>
      </c>
    </row>
    <row r="9" spans="1:6" x14ac:dyDescent="0.25">
      <c r="A9" s="6">
        <v>90778</v>
      </c>
      <c r="B9" s="10" t="s">
        <v>105</v>
      </c>
      <c r="C9" s="6" t="s">
        <v>88</v>
      </c>
      <c r="D9" s="15">
        <v>8</v>
      </c>
      <c r="E9" s="8">
        <v>135.80000000000001</v>
      </c>
      <c r="F9" s="8">
        <f>TRUNC((D9*E9),2)</f>
        <v>1086.4000000000001</v>
      </c>
    </row>
    <row r="10" spans="1:6" x14ac:dyDescent="0.25">
      <c r="A10" s="6">
        <v>90776</v>
      </c>
      <c r="B10" s="10" t="s">
        <v>106</v>
      </c>
      <c r="C10" s="6" t="s">
        <v>88</v>
      </c>
      <c r="D10" s="15">
        <v>80</v>
      </c>
      <c r="E10" s="8">
        <v>75.41</v>
      </c>
      <c r="F10" s="8">
        <f t="shared" ref="F10:F13" si="1">TRUNC((D10*E10),2)</f>
        <v>6032.8</v>
      </c>
    </row>
    <row r="11" spans="1:6" x14ac:dyDescent="0.25">
      <c r="A11" s="6">
        <v>90781</v>
      </c>
      <c r="B11" s="10" t="s">
        <v>126</v>
      </c>
      <c r="C11" s="6" t="s">
        <v>88</v>
      </c>
      <c r="D11" s="15">
        <v>40</v>
      </c>
      <c r="E11" s="8">
        <v>45.09</v>
      </c>
      <c r="F11" s="8">
        <f t="shared" si="1"/>
        <v>1803.6</v>
      </c>
    </row>
    <row r="12" spans="1:6" ht="25.5" x14ac:dyDescent="0.25">
      <c r="A12" s="6">
        <v>92139</v>
      </c>
      <c r="B12" s="10" t="s">
        <v>127</v>
      </c>
      <c r="C12" s="6" t="s">
        <v>54</v>
      </c>
      <c r="D12" s="15">
        <v>40</v>
      </c>
      <c r="E12" s="8">
        <v>44.54</v>
      </c>
      <c r="F12" s="8">
        <f t="shared" si="1"/>
        <v>1781.6</v>
      </c>
    </row>
    <row r="13" spans="1:6" ht="25.5" x14ac:dyDescent="0.25">
      <c r="A13" s="6">
        <v>91138</v>
      </c>
      <c r="B13" s="10" t="s">
        <v>128</v>
      </c>
      <c r="C13" s="6" t="s">
        <v>56</v>
      </c>
      <c r="D13" s="15">
        <v>40</v>
      </c>
      <c r="E13" s="8">
        <v>97.41</v>
      </c>
      <c r="F13" s="8">
        <f t="shared" si="1"/>
        <v>3896.4</v>
      </c>
    </row>
    <row r="14" spans="1:6" x14ac:dyDescent="0.25">
      <c r="A14" s="46" t="s">
        <v>129</v>
      </c>
      <c r="B14" s="46"/>
      <c r="C14" s="46"/>
      <c r="D14" s="46"/>
      <c r="E14" s="46"/>
      <c r="F14" s="8">
        <f>SUM(F9:F13)</f>
        <v>14600.800000000001</v>
      </c>
    </row>
    <row r="16" spans="1:6" x14ac:dyDescent="0.25">
      <c r="A16" s="78" t="s">
        <v>130</v>
      </c>
      <c r="B16" s="79"/>
      <c r="C16" s="79"/>
      <c r="D16" s="79"/>
      <c r="E16" s="79"/>
      <c r="F16" s="80"/>
    </row>
    <row r="17" spans="1:6" ht="30" x14ac:dyDescent="0.25">
      <c r="A17" s="5" t="s">
        <v>8</v>
      </c>
      <c r="B17" s="4" t="s">
        <v>9</v>
      </c>
      <c r="C17" s="4" t="s">
        <v>10</v>
      </c>
      <c r="D17" s="4" t="s">
        <v>11</v>
      </c>
      <c r="E17" s="5" t="s">
        <v>12</v>
      </c>
      <c r="F17" s="5" t="s">
        <v>13</v>
      </c>
    </row>
    <row r="18" spans="1:6" ht="25.5" x14ac:dyDescent="0.25">
      <c r="A18" s="6">
        <v>5914636</v>
      </c>
      <c r="B18" s="10" t="s">
        <v>102</v>
      </c>
      <c r="C18" s="6" t="s">
        <v>103</v>
      </c>
      <c r="D18" s="15">
        <v>1</v>
      </c>
      <c r="E18" s="8">
        <v>1.04</v>
      </c>
      <c r="F18" s="8">
        <f>TRUNC((D18*E18),2)</f>
        <v>1.04</v>
      </c>
    </row>
    <row r="19" spans="1:6" x14ac:dyDescent="0.25">
      <c r="A19" s="6">
        <v>88282</v>
      </c>
      <c r="B19" s="10" t="s">
        <v>124</v>
      </c>
      <c r="C19" s="6" t="s">
        <v>88</v>
      </c>
      <c r="D19" s="15">
        <v>0.03</v>
      </c>
      <c r="E19" s="8">
        <v>27.54</v>
      </c>
      <c r="F19" s="8">
        <f t="shared" ref="F19" si="2">TRUNC((D19*E19),2)</f>
        <v>0.82</v>
      </c>
    </row>
    <row r="20" spans="1:6" x14ac:dyDescent="0.25">
      <c r="A20" s="46" t="s">
        <v>104</v>
      </c>
      <c r="B20" s="46"/>
      <c r="C20" s="46"/>
      <c r="D20" s="46"/>
      <c r="E20" s="46"/>
      <c r="F20" s="8">
        <f>SUM(F18:F19)</f>
        <v>1.8599999999999999</v>
      </c>
    </row>
    <row r="22" spans="1:6" x14ac:dyDescent="0.25">
      <c r="A22" s="81" t="s">
        <v>157</v>
      </c>
      <c r="B22" s="82"/>
      <c r="C22" s="82"/>
      <c r="D22" s="82"/>
      <c r="E22" s="82"/>
      <c r="F22" s="83"/>
    </row>
    <row r="23" spans="1:6" ht="30" x14ac:dyDescent="0.25">
      <c r="A23" s="5" t="s">
        <v>8</v>
      </c>
      <c r="B23" s="4" t="s">
        <v>9</v>
      </c>
      <c r="C23" s="4" t="s">
        <v>10</v>
      </c>
      <c r="D23" s="4" t="s">
        <v>11</v>
      </c>
      <c r="E23" s="5" t="s">
        <v>12</v>
      </c>
      <c r="F23" s="5" t="s">
        <v>13</v>
      </c>
    </row>
    <row r="24" spans="1:6" ht="25.5" x14ac:dyDescent="0.25">
      <c r="A24" s="6">
        <v>5631</v>
      </c>
      <c r="B24" s="10" t="s">
        <v>109</v>
      </c>
      <c r="C24" s="6" t="s">
        <v>56</v>
      </c>
      <c r="D24" s="15">
        <v>1.8238500000000001E-2</v>
      </c>
      <c r="E24" s="8">
        <v>232.48</v>
      </c>
      <c r="F24" s="8">
        <f t="shared" ref="F24:F30" si="3">TRUNC((D24*E24),2)</f>
        <v>4.24</v>
      </c>
    </row>
    <row r="25" spans="1:6" ht="25.5" x14ac:dyDescent="0.25">
      <c r="A25" s="6">
        <v>5632</v>
      </c>
      <c r="B25" s="10" t="s">
        <v>110</v>
      </c>
      <c r="C25" s="6" t="s">
        <v>54</v>
      </c>
      <c r="D25" s="15">
        <v>4.4127300000000001E-2</v>
      </c>
      <c r="E25" s="8">
        <v>104</v>
      </c>
      <c r="F25" s="8">
        <f t="shared" si="3"/>
        <v>4.58</v>
      </c>
    </row>
    <row r="26" spans="1:6" ht="38.25" x14ac:dyDescent="0.25">
      <c r="A26" s="6">
        <v>5684</v>
      </c>
      <c r="B26" s="10" t="s">
        <v>111</v>
      </c>
      <c r="C26" s="6" t="s">
        <v>56</v>
      </c>
      <c r="D26" s="15">
        <v>3.0539E-3</v>
      </c>
      <c r="E26" s="8">
        <v>175.57</v>
      </c>
      <c r="F26" s="8">
        <f t="shared" si="3"/>
        <v>0.53</v>
      </c>
    </row>
    <row r="27" spans="1:6" ht="38.25" x14ac:dyDescent="0.25">
      <c r="A27" s="6">
        <v>5685</v>
      </c>
      <c r="B27" s="10" t="s">
        <v>112</v>
      </c>
      <c r="C27" s="6" t="s">
        <v>54</v>
      </c>
      <c r="D27" s="15">
        <v>5.9311900000000001E-2</v>
      </c>
      <c r="E27" s="8">
        <v>77.400000000000006</v>
      </c>
      <c r="F27" s="8">
        <f t="shared" si="3"/>
        <v>4.59</v>
      </c>
    </row>
    <row r="28" spans="1:6" ht="38.25" x14ac:dyDescent="0.25">
      <c r="A28" s="6">
        <v>73436</v>
      </c>
      <c r="B28" s="10" t="s">
        <v>113</v>
      </c>
      <c r="C28" s="6" t="s">
        <v>56</v>
      </c>
      <c r="D28" s="15">
        <v>4.5808999999999997E-3</v>
      </c>
      <c r="E28" s="8">
        <v>178.85</v>
      </c>
      <c r="F28" s="8">
        <f t="shared" si="3"/>
        <v>0.81</v>
      </c>
    </row>
    <row r="29" spans="1:6" x14ac:dyDescent="0.25">
      <c r="A29" s="6">
        <v>88316</v>
      </c>
      <c r="B29" s="10" t="s">
        <v>101</v>
      </c>
      <c r="C29" s="6" t="s">
        <v>88</v>
      </c>
      <c r="D29" s="15">
        <v>6.2365799999999999E-2</v>
      </c>
      <c r="E29" s="8">
        <v>24.31</v>
      </c>
      <c r="F29" s="8">
        <f t="shared" si="3"/>
        <v>1.51</v>
      </c>
    </row>
    <row r="30" spans="1:6" ht="38.25" x14ac:dyDescent="0.25">
      <c r="A30" s="6">
        <v>93244</v>
      </c>
      <c r="B30" s="10" t="s">
        <v>114</v>
      </c>
      <c r="C30" s="6" t="s">
        <v>54</v>
      </c>
      <c r="D30" s="15">
        <v>5.77849E-2</v>
      </c>
      <c r="E30" s="8">
        <v>79.08</v>
      </c>
      <c r="F30" s="8">
        <f t="shared" si="3"/>
        <v>4.5599999999999996</v>
      </c>
    </row>
    <row r="31" spans="1:6" x14ac:dyDescent="0.25">
      <c r="A31" s="46" t="s">
        <v>115</v>
      </c>
      <c r="B31" s="46"/>
      <c r="C31" s="46"/>
      <c r="D31" s="46"/>
      <c r="E31" s="47"/>
      <c r="F31" s="8">
        <f>SUM(F24:F30)</f>
        <v>20.82</v>
      </c>
    </row>
    <row r="33" spans="1:6" x14ac:dyDescent="0.25">
      <c r="A33" s="81" t="s">
        <v>131</v>
      </c>
      <c r="B33" s="82"/>
      <c r="C33" s="82"/>
      <c r="D33" s="82"/>
      <c r="E33" s="82"/>
      <c r="F33" s="83"/>
    </row>
    <row r="34" spans="1:6" ht="30" x14ac:dyDescent="0.25">
      <c r="A34" s="5" t="s">
        <v>8</v>
      </c>
      <c r="B34" s="4" t="s">
        <v>9</v>
      </c>
      <c r="C34" s="4" t="s">
        <v>10</v>
      </c>
      <c r="D34" s="4" t="s">
        <v>11</v>
      </c>
      <c r="E34" s="5" t="s">
        <v>12</v>
      </c>
      <c r="F34" s="5" t="s">
        <v>13</v>
      </c>
    </row>
    <row r="35" spans="1:6" x14ac:dyDescent="0.25">
      <c r="A35" s="6">
        <v>546</v>
      </c>
      <c r="B35" s="10" t="s">
        <v>132</v>
      </c>
      <c r="C35" s="6" t="s">
        <v>133</v>
      </c>
      <c r="D35" s="7">
        <v>40.96</v>
      </c>
      <c r="E35" s="8">
        <v>8.39</v>
      </c>
      <c r="F35" s="8">
        <f t="shared" ref="F35:F40" si="4">TRUNC((D35*E35),2)</f>
        <v>343.65</v>
      </c>
    </row>
    <row r="36" spans="1:6" x14ac:dyDescent="0.25">
      <c r="A36" s="6">
        <v>6110</v>
      </c>
      <c r="B36" s="10" t="s">
        <v>134</v>
      </c>
      <c r="C36" s="6" t="s">
        <v>88</v>
      </c>
      <c r="D36" s="7">
        <v>6</v>
      </c>
      <c r="E36" s="8">
        <v>22.85</v>
      </c>
      <c r="F36" s="8">
        <f t="shared" si="4"/>
        <v>137.1</v>
      </c>
    </row>
    <row r="37" spans="1:6" x14ac:dyDescent="0.25">
      <c r="A37" s="6">
        <v>4777</v>
      </c>
      <c r="B37" s="10" t="s">
        <v>135</v>
      </c>
      <c r="C37" s="6" t="s">
        <v>133</v>
      </c>
      <c r="D37" s="7">
        <v>32.9</v>
      </c>
      <c r="E37" s="8">
        <v>9.76</v>
      </c>
      <c r="F37" s="8">
        <f t="shared" si="4"/>
        <v>321.10000000000002</v>
      </c>
    </row>
    <row r="38" spans="1:6" x14ac:dyDescent="0.25">
      <c r="A38" s="6">
        <v>6160</v>
      </c>
      <c r="B38" s="10" t="s">
        <v>136</v>
      </c>
      <c r="C38" s="6" t="s">
        <v>88</v>
      </c>
      <c r="D38" s="7">
        <v>6</v>
      </c>
      <c r="E38" s="8">
        <v>27.81</v>
      </c>
      <c r="F38" s="8">
        <f t="shared" si="4"/>
        <v>166.86</v>
      </c>
    </row>
    <row r="39" spans="1:6" x14ac:dyDescent="0.25">
      <c r="A39" s="6">
        <v>44495</v>
      </c>
      <c r="B39" s="10" t="s">
        <v>137</v>
      </c>
      <c r="C39" s="6" t="s">
        <v>10</v>
      </c>
      <c r="D39" s="7">
        <v>2</v>
      </c>
      <c r="E39" s="8">
        <v>26.98</v>
      </c>
      <c r="F39" s="8">
        <f t="shared" si="4"/>
        <v>53.96</v>
      </c>
    </row>
    <row r="40" spans="1:6" x14ac:dyDescent="0.25">
      <c r="A40" s="6">
        <v>10998</v>
      </c>
      <c r="B40" s="10" t="s">
        <v>138</v>
      </c>
      <c r="C40" s="6" t="s">
        <v>133</v>
      </c>
      <c r="D40" s="7">
        <v>1</v>
      </c>
      <c r="E40" s="8">
        <v>63.93</v>
      </c>
      <c r="F40" s="8">
        <f t="shared" si="4"/>
        <v>63.93</v>
      </c>
    </row>
    <row r="41" spans="1:6" x14ac:dyDescent="0.25">
      <c r="A41" s="46" t="s">
        <v>107</v>
      </c>
      <c r="B41" s="46"/>
      <c r="C41" s="46"/>
      <c r="D41" s="46"/>
      <c r="E41" s="47"/>
      <c r="F41" s="8">
        <f>SUM(F35:F40)</f>
        <v>1086.6000000000001</v>
      </c>
    </row>
    <row r="43" spans="1:6" x14ac:dyDescent="0.25">
      <c r="A43" s="81" t="s">
        <v>139</v>
      </c>
      <c r="B43" s="82"/>
      <c r="C43" s="82"/>
      <c r="D43" s="82"/>
      <c r="E43" s="82"/>
      <c r="F43" s="83"/>
    </row>
    <row r="44" spans="1:6" ht="30" x14ac:dyDescent="0.25">
      <c r="A44" s="5" t="s">
        <v>8</v>
      </c>
      <c r="B44" s="4" t="s">
        <v>9</v>
      </c>
      <c r="C44" s="4" t="s">
        <v>10</v>
      </c>
      <c r="D44" s="4" t="s">
        <v>11</v>
      </c>
      <c r="E44" s="5" t="s">
        <v>12</v>
      </c>
      <c r="F44" s="5" t="s">
        <v>13</v>
      </c>
    </row>
    <row r="45" spans="1:6" x14ac:dyDescent="0.25">
      <c r="A45" s="6">
        <v>546</v>
      </c>
      <c r="B45" s="10" t="s">
        <v>132</v>
      </c>
      <c r="C45" s="6" t="s">
        <v>133</v>
      </c>
      <c r="D45" s="7">
        <v>24.7</v>
      </c>
      <c r="E45" s="8">
        <v>8.39</v>
      </c>
      <c r="F45" s="8">
        <f t="shared" ref="F45:F50" si="5">TRUNC((D45*E45),2)</f>
        <v>207.23</v>
      </c>
    </row>
    <row r="46" spans="1:6" x14ac:dyDescent="0.25">
      <c r="A46" s="6">
        <v>6110</v>
      </c>
      <c r="B46" s="10" t="s">
        <v>134</v>
      </c>
      <c r="C46" s="6" t="s">
        <v>88</v>
      </c>
      <c r="D46" s="7">
        <v>6</v>
      </c>
      <c r="E46" s="8">
        <v>22.85</v>
      </c>
      <c r="F46" s="8">
        <f t="shared" si="5"/>
        <v>137.1</v>
      </c>
    </row>
    <row r="47" spans="1:6" x14ac:dyDescent="0.25">
      <c r="A47" s="6">
        <v>4777</v>
      </c>
      <c r="B47" s="10" t="s">
        <v>135</v>
      </c>
      <c r="C47" s="6" t="s">
        <v>133</v>
      </c>
      <c r="D47" s="7">
        <v>26.47</v>
      </c>
      <c r="E47" s="8">
        <v>9.76</v>
      </c>
      <c r="F47" s="8">
        <f t="shared" si="5"/>
        <v>258.33999999999997</v>
      </c>
    </row>
    <row r="48" spans="1:6" x14ac:dyDescent="0.25">
      <c r="A48" s="6">
        <v>6160</v>
      </c>
      <c r="B48" s="10" t="s">
        <v>136</v>
      </c>
      <c r="C48" s="6" t="s">
        <v>88</v>
      </c>
      <c r="D48" s="7">
        <v>6</v>
      </c>
      <c r="E48" s="8">
        <v>27.81</v>
      </c>
      <c r="F48" s="8">
        <f t="shared" si="5"/>
        <v>166.86</v>
      </c>
    </row>
    <row r="49" spans="1:6" x14ac:dyDescent="0.25">
      <c r="A49" s="6">
        <v>44495</v>
      </c>
      <c r="B49" s="10" t="s">
        <v>137</v>
      </c>
      <c r="C49" s="6" t="s">
        <v>10</v>
      </c>
      <c r="D49" s="7">
        <v>2</v>
      </c>
      <c r="E49" s="8">
        <v>26.98</v>
      </c>
      <c r="F49" s="8">
        <f t="shared" si="5"/>
        <v>53.96</v>
      </c>
    </row>
    <row r="50" spans="1:6" x14ac:dyDescent="0.25">
      <c r="A50" s="6">
        <v>10998</v>
      </c>
      <c r="B50" s="10" t="s">
        <v>138</v>
      </c>
      <c r="C50" s="6" t="s">
        <v>133</v>
      </c>
      <c r="D50" s="7">
        <v>0.8</v>
      </c>
      <c r="E50" s="8">
        <v>63.93</v>
      </c>
      <c r="F50" s="8">
        <f t="shared" si="5"/>
        <v>51.14</v>
      </c>
    </row>
    <row r="51" spans="1:6" x14ac:dyDescent="0.25">
      <c r="A51" s="46" t="s">
        <v>107</v>
      </c>
      <c r="B51" s="46"/>
      <c r="C51" s="46"/>
      <c r="D51" s="46"/>
      <c r="E51" s="47"/>
      <c r="F51" s="8">
        <f>SUM(F45:F50)</f>
        <v>874.63</v>
      </c>
    </row>
    <row r="53" spans="1:6" x14ac:dyDescent="0.25">
      <c r="A53" s="81" t="s">
        <v>140</v>
      </c>
      <c r="B53" s="82"/>
      <c r="C53" s="82"/>
      <c r="D53" s="82"/>
      <c r="E53" s="82"/>
      <c r="F53" s="83"/>
    </row>
    <row r="54" spans="1:6" ht="30" x14ac:dyDescent="0.25">
      <c r="A54" s="5" t="s">
        <v>8</v>
      </c>
      <c r="B54" s="4" t="s">
        <v>9</v>
      </c>
      <c r="C54" s="4" t="s">
        <v>10</v>
      </c>
      <c r="D54" s="4" t="s">
        <v>11</v>
      </c>
      <c r="E54" s="5" t="s">
        <v>12</v>
      </c>
      <c r="F54" s="5" t="s">
        <v>13</v>
      </c>
    </row>
    <row r="55" spans="1:6" ht="25.5" x14ac:dyDescent="0.25">
      <c r="A55" s="6">
        <v>92770</v>
      </c>
      <c r="B55" s="10" t="s">
        <v>141</v>
      </c>
      <c r="C55" s="6" t="s">
        <v>133</v>
      </c>
      <c r="D55" s="7">
        <v>19.89</v>
      </c>
      <c r="E55" s="8">
        <v>12.31</v>
      </c>
      <c r="F55" s="8">
        <f t="shared" ref="F55:F56" si="6">TRUNC((D55*E55),2)</f>
        <v>244.84</v>
      </c>
    </row>
    <row r="56" spans="1:6" ht="25.5" x14ac:dyDescent="0.25">
      <c r="A56" s="6">
        <v>34492</v>
      </c>
      <c r="B56" s="10" t="s">
        <v>142</v>
      </c>
      <c r="C56" s="6" t="s">
        <v>31</v>
      </c>
      <c r="D56" s="7">
        <v>0.27</v>
      </c>
      <c r="E56" s="8">
        <v>537.5</v>
      </c>
      <c r="F56" s="8">
        <f t="shared" si="6"/>
        <v>145.12</v>
      </c>
    </row>
    <row r="57" spans="1:6" x14ac:dyDescent="0.25">
      <c r="A57" s="46" t="s">
        <v>107</v>
      </c>
      <c r="B57" s="46"/>
      <c r="C57" s="46"/>
      <c r="D57" s="46"/>
      <c r="E57" s="47"/>
      <c r="F57" s="8">
        <f>SUM(F55:F56)</f>
        <v>389.96000000000004</v>
      </c>
    </row>
    <row r="59" spans="1:6" x14ac:dyDescent="0.25">
      <c r="A59" s="81" t="s">
        <v>143</v>
      </c>
      <c r="B59" s="82"/>
      <c r="C59" s="82"/>
      <c r="D59" s="82"/>
      <c r="E59" s="82"/>
      <c r="F59" s="83"/>
    </row>
    <row r="60" spans="1:6" ht="30" x14ac:dyDescent="0.25">
      <c r="A60" s="5" t="s">
        <v>8</v>
      </c>
      <c r="B60" s="4" t="s">
        <v>9</v>
      </c>
      <c r="C60" s="4" t="s">
        <v>10</v>
      </c>
      <c r="D60" s="4" t="s">
        <v>11</v>
      </c>
      <c r="E60" s="5" t="s">
        <v>12</v>
      </c>
      <c r="F60" s="5" t="s">
        <v>13</v>
      </c>
    </row>
    <row r="61" spans="1:6" ht="25.5" x14ac:dyDescent="0.25">
      <c r="A61" s="6">
        <v>92770</v>
      </c>
      <c r="B61" s="10" t="s">
        <v>141</v>
      </c>
      <c r="C61" s="6" t="s">
        <v>133</v>
      </c>
      <c r="D61" s="7">
        <v>35.36</v>
      </c>
      <c r="E61" s="8">
        <v>12.31</v>
      </c>
      <c r="F61" s="8">
        <f t="shared" ref="F61:F62" si="7">TRUNC((D61*E61),2)</f>
        <v>435.28</v>
      </c>
    </row>
    <row r="62" spans="1:6" ht="25.5" x14ac:dyDescent="0.25">
      <c r="A62" s="6">
        <v>34492</v>
      </c>
      <c r="B62" s="10" t="s">
        <v>142</v>
      </c>
      <c r="C62" s="6" t="s">
        <v>31</v>
      </c>
      <c r="D62" s="7">
        <v>0.48</v>
      </c>
      <c r="E62" s="8">
        <v>537.5</v>
      </c>
      <c r="F62" s="8">
        <f t="shared" si="7"/>
        <v>258</v>
      </c>
    </row>
    <row r="63" spans="1:6" x14ac:dyDescent="0.25">
      <c r="A63" s="46" t="s">
        <v>107</v>
      </c>
      <c r="B63" s="46"/>
      <c r="C63" s="46"/>
      <c r="D63" s="46"/>
      <c r="E63" s="47"/>
      <c r="F63" s="8">
        <f>SUM(F61:F62)</f>
        <v>693.28</v>
      </c>
    </row>
    <row r="65" spans="1:6" x14ac:dyDescent="0.25">
      <c r="A65" s="81" t="s">
        <v>158</v>
      </c>
      <c r="B65" s="82"/>
      <c r="C65" s="82"/>
      <c r="D65" s="82"/>
      <c r="E65" s="82"/>
      <c r="F65" s="83"/>
    </row>
    <row r="66" spans="1:6" ht="30" x14ac:dyDescent="0.25">
      <c r="A66" s="5" t="s">
        <v>8</v>
      </c>
      <c r="B66" s="4" t="s">
        <v>9</v>
      </c>
      <c r="C66" s="4" t="s">
        <v>10</v>
      </c>
      <c r="D66" s="4" t="s">
        <v>11</v>
      </c>
      <c r="E66" s="5" t="s">
        <v>12</v>
      </c>
      <c r="F66" s="5" t="s">
        <v>13</v>
      </c>
    </row>
    <row r="67" spans="1:6" ht="38.25" x14ac:dyDescent="0.25">
      <c r="A67" s="6">
        <v>5678</v>
      </c>
      <c r="B67" s="10" t="s">
        <v>117</v>
      </c>
      <c r="C67" s="6" t="s">
        <v>56</v>
      </c>
      <c r="D67" s="15">
        <v>0.128</v>
      </c>
      <c r="E67" s="8">
        <v>154.88999999999999</v>
      </c>
      <c r="F67" s="8">
        <f t="shared" ref="F67:F72" si="8">TRUNC((D67*E67),2)</f>
        <v>19.82</v>
      </c>
    </row>
    <row r="68" spans="1:6" ht="38.25" x14ac:dyDescent="0.25">
      <c r="A68" s="6">
        <v>5679</v>
      </c>
      <c r="B68" s="10" t="s">
        <v>118</v>
      </c>
      <c r="C68" s="6" t="s">
        <v>54</v>
      </c>
      <c r="D68" s="15">
        <v>0.63980000000000004</v>
      </c>
      <c r="E68" s="8">
        <v>71.83</v>
      </c>
      <c r="F68" s="8">
        <f t="shared" si="8"/>
        <v>45.95</v>
      </c>
    </row>
    <row r="69" spans="1:6" x14ac:dyDescent="0.25">
      <c r="A69" s="6">
        <v>88309</v>
      </c>
      <c r="B69" s="10" t="s">
        <v>108</v>
      </c>
      <c r="C69" s="6" t="s">
        <v>88</v>
      </c>
      <c r="D69" s="15">
        <v>0.92130000000000001</v>
      </c>
      <c r="E69" s="8">
        <v>29.39</v>
      </c>
      <c r="F69" s="8">
        <f t="shared" si="8"/>
        <v>27.07</v>
      </c>
    </row>
    <row r="70" spans="1:6" x14ac:dyDescent="0.25">
      <c r="A70" s="6">
        <v>88316</v>
      </c>
      <c r="B70" s="10" t="s">
        <v>101</v>
      </c>
      <c r="C70" s="6" t="s">
        <v>88</v>
      </c>
      <c r="D70" s="15">
        <v>1.3818999999999999</v>
      </c>
      <c r="E70" s="8">
        <v>24.31</v>
      </c>
      <c r="F70" s="8">
        <f t="shared" si="8"/>
        <v>33.590000000000003</v>
      </c>
    </row>
    <row r="71" spans="1:6" ht="25.5" x14ac:dyDescent="0.25">
      <c r="A71" s="6">
        <v>91533</v>
      </c>
      <c r="B71" s="10" t="s">
        <v>119</v>
      </c>
      <c r="C71" s="6" t="s">
        <v>56</v>
      </c>
      <c r="D71" s="15">
        <v>7.1800000000000003E-2</v>
      </c>
      <c r="E71" s="8">
        <v>51.42</v>
      </c>
      <c r="F71" s="8">
        <f t="shared" si="8"/>
        <v>3.69</v>
      </c>
    </row>
    <row r="72" spans="1:6" ht="25.5" x14ac:dyDescent="0.25">
      <c r="A72" s="6">
        <v>91534</v>
      </c>
      <c r="B72" s="10" t="s">
        <v>120</v>
      </c>
      <c r="C72" s="6" t="s">
        <v>54</v>
      </c>
      <c r="D72" s="15">
        <v>6.6600000000000006E-2</v>
      </c>
      <c r="E72" s="8">
        <v>43.99</v>
      </c>
      <c r="F72" s="8">
        <f t="shared" si="8"/>
        <v>2.92</v>
      </c>
    </row>
    <row r="73" spans="1:6" x14ac:dyDescent="0.25">
      <c r="A73" s="46" t="s">
        <v>115</v>
      </c>
      <c r="B73" s="46"/>
      <c r="C73" s="46"/>
      <c r="D73" s="46"/>
      <c r="E73" s="47"/>
      <c r="F73" s="8">
        <f>SUM(F67:F72)</f>
        <v>133.04</v>
      </c>
    </row>
    <row r="75" spans="1:6" x14ac:dyDescent="0.25">
      <c r="A75" s="81" t="s">
        <v>180</v>
      </c>
      <c r="B75" s="82"/>
      <c r="C75" s="82"/>
      <c r="D75" s="82"/>
      <c r="E75" s="82"/>
      <c r="F75" s="83"/>
    </row>
    <row r="76" spans="1:6" ht="30" x14ac:dyDescent="0.25">
      <c r="A76" s="5" t="s">
        <v>8</v>
      </c>
      <c r="B76" s="4" t="s">
        <v>9</v>
      </c>
      <c r="C76" s="4" t="s">
        <v>10</v>
      </c>
      <c r="D76" s="4" t="s">
        <v>11</v>
      </c>
      <c r="E76" s="5" t="s">
        <v>12</v>
      </c>
      <c r="F76" s="5" t="s">
        <v>13</v>
      </c>
    </row>
    <row r="77" spans="1:6" x14ac:dyDescent="0.25">
      <c r="A77" s="6">
        <v>546</v>
      </c>
      <c r="B77" s="10" t="s">
        <v>132</v>
      </c>
      <c r="C77" s="6" t="s">
        <v>133</v>
      </c>
      <c r="D77" s="7">
        <v>92.16</v>
      </c>
      <c r="E77" s="8">
        <v>8.39</v>
      </c>
      <c r="F77" s="8">
        <f t="shared" ref="F77:F82" si="9">TRUNC((D77*E77),2)</f>
        <v>773.22</v>
      </c>
    </row>
    <row r="78" spans="1:6" x14ac:dyDescent="0.25">
      <c r="A78" s="6">
        <v>6110</v>
      </c>
      <c r="B78" s="10" t="s">
        <v>134</v>
      </c>
      <c r="C78" s="6" t="s">
        <v>88</v>
      </c>
      <c r="D78" s="7">
        <v>7</v>
      </c>
      <c r="E78" s="8">
        <v>22.85</v>
      </c>
      <c r="F78" s="8">
        <f t="shared" si="9"/>
        <v>159.94999999999999</v>
      </c>
    </row>
    <row r="79" spans="1:6" x14ac:dyDescent="0.25">
      <c r="A79" s="6">
        <v>4777</v>
      </c>
      <c r="B79" s="10" t="s">
        <v>135</v>
      </c>
      <c r="C79" s="6" t="s">
        <v>133</v>
      </c>
      <c r="D79" s="7">
        <v>74.02</v>
      </c>
      <c r="E79" s="8">
        <v>9.76</v>
      </c>
      <c r="F79" s="8">
        <f t="shared" si="9"/>
        <v>722.43</v>
      </c>
    </row>
    <row r="80" spans="1:6" x14ac:dyDescent="0.25">
      <c r="A80" s="6">
        <v>6160</v>
      </c>
      <c r="B80" s="10" t="s">
        <v>136</v>
      </c>
      <c r="C80" s="6" t="s">
        <v>88</v>
      </c>
      <c r="D80" s="7">
        <v>7</v>
      </c>
      <c r="E80" s="8">
        <v>27.81</v>
      </c>
      <c r="F80" s="8">
        <f t="shared" si="9"/>
        <v>194.67</v>
      </c>
    </row>
    <row r="81" spans="1:6" x14ac:dyDescent="0.25">
      <c r="A81" s="6">
        <v>44495</v>
      </c>
      <c r="B81" s="10" t="s">
        <v>137</v>
      </c>
      <c r="C81" s="6" t="s">
        <v>10</v>
      </c>
      <c r="D81" s="7">
        <v>2.5</v>
      </c>
      <c r="E81" s="8">
        <v>26.98</v>
      </c>
      <c r="F81" s="8">
        <f t="shared" si="9"/>
        <v>67.45</v>
      </c>
    </row>
    <row r="82" spans="1:6" x14ac:dyDescent="0.25">
      <c r="A82" s="6">
        <v>10998</v>
      </c>
      <c r="B82" s="10" t="s">
        <v>138</v>
      </c>
      <c r="C82" s="6" t="s">
        <v>133</v>
      </c>
      <c r="D82" s="7">
        <v>1.5</v>
      </c>
      <c r="E82" s="8">
        <v>63.93</v>
      </c>
      <c r="F82" s="8">
        <f t="shared" si="9"/>
        <v>95.89</v>
      </c>
    </row>
    <row r="83" spans="1:6" x14ac:dyDescent="0.25">
      <c r="A83" s="46" t="s">
        <v>107</v>
      </c>
      <c r="B83" s="46"/>
      <c r="C83" s="46"/>
      <c r="D83" s="46"/>
      <c r="E83" s="47"/>
      <c r="F83" s="8">
        <f>SUM(F77:F82)</f>
        <v>2013.6100000000001</v>
      </c>
    </row>
  </sheetData>
  <mergeCells count="20">
    <mergeCell ref="A75:F75"/>
    <mergeCell ref="A83:E83"/>
    <mergeCell ref="A53:F53"/>
    <mergeCell ref="A57:E57"/>
    <mergeCell ref="A59:F59"/>
    <mergeCell ref="A63:E63"/>
    <mergeCell ref="A65:F65"/>
    <mergeCell ref="A73:E73"/>
    <mergeCell ref="A51:E51"/>
    <mergeCell ref="A1:F1"/>
    <mergeCell ref="A5:E5"/>
    <mergeCell ref="A7:F7"/>
    <mergeCell ref="A14:E14"/>
    <mergeCell ref="A16:F16"/>
    <mergeCell ref="A20:E20"/>
    <mergeCell ref="A22:F22"/>
    <mergeCell ref="A31:E31"/>
    <mergeCell ref="A33:F33"/>
    <mergeCell ref="A41:E41"/>
    <mergeCell ref="A43:F4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13</vt:i4>
      </vt:variant>
    </vt:vector>
  </HeadingPairs>
  <TitlesOfParts>
    <vt:vector size="28" baseType="lpstr">
      <vt:lpstr>1. Floriano</vt:lpstr>
      <vt:lpstr>2. Minuano</vt:lpstr>
      <vt:lpstr>3. Languiru</vt:lpstr>
      <vt:lpstr>4. Languiru</vt:lpstr>
      <vt:lpstr>5. Cavalos</vt:lpstr>
      <vt:lpstr>6. Barra</vt:lpstr>
      <vt:lpstr>7. Aurora</vt:lpstr>
      <vt:lpstr>8. Barra 1</vt:lpstr>
      <vt:lpstr>8. Barra 2</vt:lpstr>
      <vt:lpstr>9. DAER</vt:lpstr>
      <vt:lpstr>10. Centro</vt:lpstr>
      <vt:lpstr>PLANILHA</vt:lpstr>
      <vt:lpstr>CRONOGRAMA</vt:lpstr>
      <vt:lpstr>PLANILHA GERAL</vt:lpstr>
      <vt:lpstr>COMPOSIÇÕES</vt:lpstr>
      <vt:lpstr>'1. Floriano'!Area_de_impressao</vt:lpstr>
      <vt:lpstr>'10. Centro'!Area_de_impressao</vt:lpstr>
      <vt:lpstr>'2. Minuano'!Area_de_impressao</vt:lpstr>
      <vt:lpstr>'3. Languiru'!Area_de_impressao</vt:lpstr>
      <vt:lpstr>'4. Languiru'!Area_de_impressao</vt:lpstr>
      <vt:lpstr>'5. Cavalos'!Area_de_impressao</vt:lpstr>
      <vt:lpstr>'6. Barra'!Area_de_impressao</vt:lpstr>
      <vt:lpstr>'7. Aurora'!Area_de_impressao</vt:lpstr>
      <vt:lpstr>'8. Barra 1'!Area_de_impressao</vt:lpstr>
      <vt:lpstr>'8. Barra 2'!Area_de_impressao</vt:lpstr>
      <vt:lpstr>'9. DAER'!Area_de_impressao</vt:lpstr>
      <vt:lpstr>CRONOGRAMA!Area_de_impressao</vt:lpstr>
      <vt:lpstr>'PLANILHA GERAL'!Area_de_impressao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cp:lastPrinted>2025-11-21T16:01:29Z</cp:lastPrinted>
  <dcterms:created xsi:type="dcterms:W3CDTF">2025-10-29T19:43:54Z</dcterms:created>
  <dcterms:modified xsi:type="dcterms:W3CDTF">2025-11-21T16:03:58Z</dcterms:modified>
</cp:coreProperties>
</file>