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heus.barth\Downloads\"/>
    </mc:Choice>
  </mc:AlternateContent>
  <xr:revisionPtr revIDLastSave="0" documentId="13_ncr:1_{6AB16E56-3C71-49CE-83A2-D7F29219BC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rçamento Sintético" sheetId="1" r:id="rId1"/>
    <sheet name="CRONOGRAMA" sheetId="2" r:id="rId2"/>
    <sheet name="Eventograma" sheetId="3" r:id="rId3"/>
  </sheets>
  <definedNames>
    <definedName name="_xlnm.Print_Area" localSheetId="1">CRONOGRAMA!$A$1:$K$73</definedName>
    <definedName name="_xlnm.Print_Area" localSheetId="0">'Orçamento Sintético'!$A$1:$O$184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3" l="1"/>
  <c r="D62" i="2"/>
  <c r="W175" i="1"/>
  <c r="X175" i="1" s="1"/>
  <c r="W173" i="1"/>
  <c r="X173" i="1" s="1"/>
  <c r="W171" i="1"/>
  <c r="X171" i="1" s="1"/>
  <c r="W169" i="1"/>
  <c r="X169" i="1" s="1"/>
  <c r="W167" i="1"/>
  <c r="X167" i="1" s="1"/>
  <c r="W165" i="1"/>
  <c r="X165" i="1" s="1"/>
  <c r="W163" i="1"/>
  <c r="X163" i="1" s="1"/>
  <c r="W161" i="1"/>
  <c r="X161" i="1" s="1"/>
  <c r="W157" i="1"/>
  <c r="X157" i="1" s="1"/>
  <c r="W156" i="1"/>
  <c r="X156" i="1" s="1"/>
  <c r="W155" i="1"/>
  <c r="X155" i="1" s="1"/>
  <c r="X154" i="1"/>
  <c r="W154" i="1"/>
  <c r="W153" i="1"/>
  <c r="X153" i="1" s="1"/>
  <c r="W152" i="1"/>
  <c r="X152" i="1" s="1"/>
  <c r="W151" i="1"/>
  <c r="X151" i="1" s="1"/>
  <c r="W150" i="1"/>
  <c r="X150" i="1" s="1"/>
  <c r="W149" i="1"/>
  <c r="X149" i="1" s="1"/>
  <c r="W148" i="1"/>
  <c r="X148" i="1" s="1"/>
  <c r="W147" i="1"/>
  <c r="X147" i="1" s="1"/>
  <c r="W146" i="1"/>
  <c r="X146" i="1" s="1"/>
  <c r="W145" i="1"/>
  <c r="X145" i="1" s="1"/>
  <c r="W144" i="1"/>
  <c r="X144" i="1" s="1"/>
  <c r="W143" i="1"/>
  <c r="X143" i="1" s="1"/>
  <c r="W142" i="1"/>
  <c r="X142" i="1" s="1"/>
  <c r="W141" i="1"/>
  <c r="X141" i="1" s="1"/>
  <c r="W140" i="1"/>
  <c r="X140" i="1" s="1"/>
  <c r="W139" i="1"/>
  <c r="X139" i="1" s="1"/>
  <c r="W138" i="1"/>
  <c r="X138" i="1" s="1"/>
  <c r="W137" i="1"/>
  <c r="X137" i="1" s="1"/>
  <c r="W136" i="1"/>
  <c r="X136" i="1" s="1"/>
  <c r="W135" i="1"/>
  <c r="X135" i="1" s="1"/>
  <c r="W134" i="1"/>
  <c r="X134" i="1" s="1"/>
  <c r="W133" i="1"/>
  <c r="X133" i="1" s="1"/>
  <c r="W132" i="1"/>
  <c r="X132" i="1" s="1"/>
  <c r="W131" i="1"/>
  <c r="X131" i="1" s="1"/>
  <c r="X130" i="1"/>
  <c r="W130" i="1"/>
  <c r="W129" i="1"/>
  <c r="X129" i="1" s="1"/>
  <c r="X128" i="1"/>
  <c r="W128" i="1"/>
  <c r="W127" i="1"/>
  <c r="X127" i="1" s="1"/>
  <c r="W126" i="1"/>
  <c r="X126" i="1" s="1"/>
  <c r="W123" i="1"/>
  <c r="X123" i="1" s="1"/>
  <c r="W122" i="1"/>
  <c r="X122" i="1" s="1"/>
  <c r="W121" i="1"/>
  <c r="X121" i="1" s="1"/>
  <c r="W120" i="1"/>
  <c r="X120" i="1" s="1"/>
  <c r="W119" i="1"/>
  <c r="X119" i="1" s="1"/>
  <c r="W118" i="1"/>
  <c r="X118" i="1" s="1"/>
  <c r="W117" i="1"/>
  <c r="X117" i="1" s="1"/>
  <c r="W116" i="1"/>
  <c r="X116" i="1" s="1"/>
  <c r="W115" i="1"/>
  <c r="X115" i="1" s="1"/>
  <c r="W114" i="1"/>
  <c r="X114" i="1" s="1"/>
  <c r="W112" i="1"/>
  <c r="X112" i="1" s="1"/>
  <c r="W111" i="1"/>
  <c r="X111" i="1" s="1"/>
  <c r="W110" i="1"/>
  <c r="X110" i="1" s="1"/>
  <c r="W109" i="1"/>
  <c r="X109" i="1" s="1"/>
  <c r="W108" i="1"/>
  <c r="X108" i="1" s="1"/>
  <c r="W107" i="1"/>
  <c r="X107" i="1" s="1"/>
  <c r="W106" i="1"/>
  <c r="X106" i="1" s="1"/>
  <c r="W105" i="1"/>
  <c r="X105" i="1" s="1"/>
  <c r="W104" i="1"/>
  <c r="X104" i="1" s="1"/>
  <c r="W103" i="1"/>
  <c r="X103" i="1" s="1"/>
  <c r="W102" i="1"/>
  <c r="X102" i="1" s="1"/>
  <c r="W101" i="1"/>
  <c r="X101" i="1" s="1"/>
  <c r="W100" i="1"/>
  <c r="X100" i="1" s="1"/>
  <c r="W99" i="1"/>
  <c r="X99" i="1" s="1"/>
  <c r="W98" i="1"/>
  <c r="X98" i="1" s="1"/>
  <c r="W97" i="1"/>
  <c r="X97" i="1" s="1"/>
  <c r="W96" i="1"/>
  <c r="X96" i="1" s="1"/>
  <c r="W95" i="1"/>
  <c r="X95" i="1" s="1"/>
  <c r="W94" i="1"/>
  <c r="X94" i="1" s="1"/>
  <c r="W92" i="1"/>
  <c r="X92" i="1" s="1"/>
  <c r="W91" i="1"/>
  <c r="X91" i="1" s="1"/>
  <c r="W89" i="1"/>
  <c r="X89" i="1" s="1"/>
  <c r="W88" i="1"/>
  <c r="X88" i="1" s="1"/>
  <c r="W87" i="1"/>
  <c r="X87" i="1" s="1"/>
  <c r="W86" i="1"/>
  <c r="X86" i="1" s="1"/>
  <c r="W85" i="1"/>
  <c r="X85" i="1" s="1"/>
  <c r="W84" i="1"/>
  <c r="X84" i="1" s="1"/>
  <c r="W83" i="1"/>
  <c r="X83" i="1" s="1"/>
  <c r="W81" i="1"/>
  <c r="X81" i="1" s="1"/>
  <c r="W80" i="1"/>
  <c r="X80" i="1" s="1"/>
  <c r="W79" i="1"/>
  <c r="X79" i="1" s="1"/>
  <c r="W77" i="1"/>
  <c r="X77" i="1" s="1"/>
  <c r="W76" i="1"/>
  <c r="X76" i="1" s="1"/>
  <c r="W75" i="1"/>
  <c r="X75" i="1" s="1"/>
  <c r="W74" i="1"/>
  <c r="X74" i="1" s="1"/>
  <c r="X72" i="1"/>
  <c r="W72" i="1"/>
  <c r="W71" i="1"/>
  <c r="X71" i="1" s="1"/>
  <c r="W70" i="1"/>
  <c r="X70" i="1" s="1"/>
  <c r="W69" i="1"/>
  <c r="X69" i="1" s="1"/>
  <c r="W68" i="1"/>
  <c r="X68" i="1" s="1"/>
  <c r="W67" i="1"/>
  <c r="X67" i="1" s="1"/>
  <c r="W66" i="1"/>
  <c r="X66" i="1" s="1"/>
  <c r="W65" i="1"/>
  <c r="X65" i="1" s="1"/>
  <c r="W64" i="1"/>
  <c r="X64" i="1" s="1"/>
  <c r="W63" i="1"/>
  <c r="X63" i="1" s="1"/>
  <c r="W61" i="1"/>
  <c r="X61" i="1" s="1"/>
  <c r="W60" i="1"/>
  <c r="X60" i="1" s="1"/>
  <c r="X59" i="1"/>
  <c r="W59" i="1"/>
  <c r="W58" i="1"/>
  <c r="X58" i="1" s="1"/>
  <c r="W57" i="1"/>
  <c r="X57" i="1" s="1"/>
  <c r="W55" i="1"/>
  <c r="X55" i="1" s="1"/>
  <c r="W54" i="1"/>
  <c r="X54" i="1" s="1"/>
  <c r="W53" i="1"/>
  <c r="X53" i="1" s="1"/>
  <c r="W52" i="1"/>
  <c r="X52" i="1" s="1"/>
  <c r="W51" i="1"/>
  <c r="X51" i="1" s="1"/>
  <c r="W50" i="1"/>
  <c r="X50" i="1" s="1"/>
  <c r="W49" i="1"/>
  <c r="X49" i="1" s="1"/>
  <c r="W48" i="1"/>
  <c r="X48" i="1" s="1"/>
  <c r="W47" i="1"/>
  <c r="X47" i="1" s="1"/>
  <c r="W46" i="1"/>
  <c r="X46" i="1" s="1"/>
  <c r="W45" i="1"/>
  <c r="X45" i="1" s="1"/>
  <c r="W44" i="1"/>
  <c r="X44" i="1" s="1"/>
  <c r="W43" i="1"/>
  <c r="X43" i="1" s="1"/>
  <c r="W42" i="1"/>
  <c r="X42" i="1" s="1"/>
  <c r="W41" i="1"/>
  <c r="X41" i="1" s="1"/>
  <c r="W40" i="1"/>
  <c r="X40" i="1" s="1"/>
  <c r="W39" i="1"/>
  <c r="X39" i="1" s="1"/>
  <c r="W38" i="1"/>
  <c r="X38" i="1" s="1"/>
  <c r="W37" i="1"/>
  <c r="X37" i="1" s="1"/>
  <c r="W36" i="1"/>
  <c r="X36" i="1" s="1"/>
  <c r="W35" i="1"/>
  <c r="X35" i="1" s="1"/>
  <c r="W34" i="1"/>
  <c r="X34" i="1" s="1"/>
  <c r="W33" i="1"/>
  <c r="X33" i="1" s="1"/>
  <c r="W30" i="1"/>
  <c r="X30" i="1" s="1"/>
  <c r="X29" i="1"/>
  <c r="W29" i="1"/>
  <c r="W28" i="1"/>
  <c r="X28" i="1" s="1"/>
  <c r="W27" i="1"/>
  <c r="X27" i="1" s="1"/>
  <c r="W26" i="1"/>
  <c r="X26" i="1" s="1"/>
  <c r="W25" i="1"/>
  <c r="X25" i="1" s="1"/>
  <c r="W24" i="1"/>
  <c r="X24" i="1" s="1"/>
  <c r="W23" i="1"/>
  <c r="X23" i="1" s="1"/>
  <c r="W21" i="1"/>
  <c r="X21" i="1" s="1"/>
  <c r="W20" i="1"/>
  <c r="X20" i="1" s="1"/>
  <c r="W19" i="1"/>
  <c r="X19" i="1" s="1"/>
  <c r="W18" i="1"/>
  <c r="X18" i="1" s="1"/>
  <c r="W17" i="1"/>
  <c r="X17" i="1" s="1"/>
  <c r="W16" i="1"/>
  <c r="X16" i="1" s="1"/>
  <c r="W15" i="1"/>
  <c r="X15" i="1" s="1"/>
  <c r="W14" i="1"/>
  <c r="X14" i="1" s="1"/>
  <c r="W8" i="1"/>
  <c r="X8" i="1" s="1"/>
  <c r="W9" i="1"/>
  <c r="X9" i="1"/>
  <c r="W10" i="1"/>
  <c r="X10" i="1"/>
  <c r="W11" i="1"/>
  <c r="X11" i="1"/>
  <c r="W7" i="1"/>
  <c r="X7" i="1" s="1"/>
  <c r="K55" i="2"/>
  <c r="K51" i="2"/>
  <c r="K47" i="2"/>
  <c r="K43" i="2"/>
  <c r="K39" i="2"/>
  <c r="K35" i="2"/>
  <c r="K31" i="2"/>
  <c r="K27" i="2"/>
  <c r="K23" i="2"/>
  <c r="K19" i="2"/>
  <c r="K15" i="2"/>
  <c r="K53" i="2"/>
  <c r="K49" i="2"/>
  <c r="K45" i="2"/>
  <c r="K41" i="2"/>
  <c r="K37" i="2"/>
  <c r="K33" i="2"/>
  <c r="K29" i="2"/>
  <c r="K25" i="2"/>
  <c r="K21" i="2"/>
  <c r="K17" i="2"/>
  <c r="K13" i="2"/>
  <c r="K9" i="2"/>
  <c r="K11" i="2"/>
  <c r="K6" i="2"/>
  <c r="Q5" i="1"/>
  <c r="H6" i="3"/>
  <c r="I6" i="3"/>
  <c r="J6" i="3"/>
  <c r="M31" i="1" l="1"/>
  <c r="N22" i="1"/>
  <c r="M8" i="3" s="1"/>
  <c r="N175" i="1"/>
  <c r="M175" i="1" s="1"/>
  <c r="U157" i="1"/>
  <c r="V157" i="1" s="1"/>
  <c r="U155" i="1"/>
  <c r="V155" i="1" s="1"/>
  <c r="U154" i="1"/>
  <c r="V154" i="1" s="1"/>
  <c r="U152" i="1"/>
  <c r="V152" i="1" s="1"/>
  <c r="U151" i="1"/>
  <c r="V151" i="1" s="1"/>
  <c r="U150" i="1"/>
  <c r="V150" i="1" s="1"/>
  <c r="U149" i="1"/>
  <c r="V149" i="1" s="1"/>
  <c r="U148" i="1"/>
  <c r="V148" i="1" s="1"/>
  <c r="U147" i="1"/>
  <c r="V147" i="1" s="1"/>
  <c r="U146" i="1"/>
  <c r="V146" i="1" s="1"/>
  <c r="U145" i="1"/>
  <c r="V145" i="1" s="1"/>
  <c r="U144" i="1"/>
  <c r="V144" i="1" s="1"/>
  <c r="U143" i="1"/>
  <c r="V143" i="1" s="1"/>
  <c r="U142" i="1"/>
  <c r="V142" i="1" s="1"/>
  <c r="U141" i="1"/>
  <c r="V141" i="1" s="1"/>
  <c r="U140" i="1"/>
  <c r="V140" i="1" s="1"/>
  <c r="U139" i="1"/>
  <c r="V139" i="1" s="1"/>
  <c r="U138" i="1"/>
  <c r="V138" i="1" s="1"/>
  <c r="U136" i="1"/>
  <c r="V136" i="1" s="1"/>
  <c r="U134" i="1"/>
  <c r="V134" i="1" s="1"/>
  <c r="U133" i="1"/>
  <c r="V133" i="1" s="1"/>
  <c r="U132" i="1"/>
  <c r="V132" i="1" s="1"/>
  <c r="U131" i="1"/>
  <c r="V131" i="1" s="1"/>
  <c r="U130" i="1"/>
  <c r="V130" i="1" s="1"/>
  <c r="U129" i="1"/>
  <c r="V129" i="1" s="1"/>
  <c r="U128" i="1"/>
  <c r="V128" i="1" s="1"/>
  <c r="U127" i="1"/>
  <c r="V127" i="1" s="1"/>
  <c r="U126" i="1"/>
  <c r="V126" i="1" s="1"/>
  <c r="U123" i="1"/>
  <c r="V123" i="1" s="1"/>
  <c r="U122" i="1"/>
  <c r="V122" i="1" s="1"/>
  <c r="U120" i="1"/>
  <c r="V120" i="1" s="1"/>
  <c r="U119" i="1"/>
  <c r="V119" i="1" s="1"/>
  <c r="U118" i="1"/>
  <c r="V118" i="1" s="1"/>
  <c r="U117" i="1"/>
  <c r="V117" i="1" s="1"/>
  <c r="U116" i="1"/>
  <c r="V116" i="1" s="1"/>
  <c r="U115" i="1"/>
  <c r="V115" i="1" s="1"/>
  <c r="U112" i="1"/>
  <c r="V112" i="1" s="1"/>
  <c r="U111" i="1"/>
  <c r="V111" i="1" s="1"/>
  <c r="U110" i="1"/>
  <c r="V110" i="1" s="1"/>
  <c r="U109" i="1"/>
  <c r="V109" i="1" s="1"/>
  <c r="U107" i="1"/>
  <c r="V107" i="1" s="1"/>
  <c r="U106" i="1"/>
  <c r="V106" i="1" s="1"/>
  <c r="U105" i="1"/>
  <c r="V105" i="1" s="1"/>
  <c r="U103" i="1"/>
  <c r="V103" i="1" s="1"/>
  <c r="U102" i="1"/>
  <c r="V102" i="1" s="1"/>
  <c r="U101" i="1"/>
  <c r="V101" i="1" s="1"/>
  <c r="U100" i="1"/>
  <c r="V100" i="1" s="1"/>
  <c r="U99" i="1"/>
  <c r="V99" i="1" s="1"/>
  <c r="U98" i="1"/>
  <c r="V98" i="1" s="1"/>
  <c r="U97" i="1"/>
  <c r="V97" i="1" s="1"/>
  <c r="U96" i="1"/>
  <c r="V96" i="1" s="1"/>
  <c r="U95" i="1"/>
  <c r="V95" i="1" s="1"/>
  <c r="U94" i="1"/>
  <c r="V94" i="1" s="1"/>
  <c r="U92" i="1"/>
  <c r="V92" i="1" s="1"/>
  <c r="U91" i="1"/>
  <c r="V91" i="1" s="1"/>
  <c r="U89" i="1"/>
  <c r="V89" i="1" s="1"/>
  <c r="U88" i="1"/>
  <c r="V88" i="1" s="1"/>
  <c r="U87" i="1"/>
  <c r="V87" i="1" s="1"/>
  <c r="U86" i="1"/>
  <c r="V86" i="1" s="1"/>
  <c r="U85" i="1"/>
  <c r="V85" i="1" s="1"/>
  <c r="U84" i="1"/>
  <c r="V84" i="1" s="1"/>
  <c r="U83" i="1"/>
  <c r="V83" i="1" s="1"/>
  <c r="U81" i="1"/>
  <c r="V81" i="1" s="1"/>
  <c r="U80" i="1"/>
  <c r="V80" i="1" s="1"/>
  <c r="U79" i="1"/>
  <c r="V79" i="1" s="1"/>
  <c r="U77" i="1"/>
  <c r="V77" i="1" s="1"/>
  <c r="U76" i="1"/>
  <c r="V76" i="1" s="1"/>
  <c r="U75" i="1"/>
  <c r="V75" i="1" s="1"/>
  <c r="U74" i="1"/>
  <c r="V74" i="1" s="1"/>
  <c r="U72" i="1"/>
  <c r="V72" i="1" s="1"/>
  <c r="U71" i="1"/>
  <c r="V71" i="1" s="1"/>
  <c r="U70" i="1"/>
  <c r="V70" i="1" s="1"/>
  <c r="U69" i="1"/>
  <c r="V69" i="1" s="1"/>
  <c r="U68" i="1"/>
  <c r="V68" i="1" s="1"/>
  <c r="U67" i="1"/>
  <c r="V67" i="1" s="1"/>
  <c r="U66" i="1"/>
  <c r="V66" i="1" s="1"/>
  <c r="U65" i="1"/>
  <c r="V65" i="1" s="1"/>
  <c r="U64" i="1"/>
  <c r="V64" i="1" s="1"/>
  <c r="U63" i="1"/>
  <c r="V63" i="1" s="1"/>
  <c r="U61" i="1"/>
  <c r="V61" i="1" s="1"/>
  <c r="U60" i="1"/>
  <c r="V60" i="1" s="1"/>
  <c r="U59" i="1"/>
  <c r="V59" i="1" s="1"/>
  <c r="U58" i="1"/>
  <c r="V58" i="1" s="1"/>
  <c r="U57" i="1"/>
  <c r="V57" i="1" s="1"/>
  <c r="U55" i="1"/>
  <c r="V55" i="1" s="1"/>
  <c r="U54" i="1"/>
  <c r="V54" i="1" s="1"/>
  <c r="U53" i="1"/>
  <c r="V53" i="1" s="1"/>
  <c r="U52" i="1"/>
  <c r="V52" i="1" s="1"/>
  <c r="U51" i="1"/>
  <c r="V51" i="1" s="1"/>
  <c r="U50" i="1"/>
  <c r="V50" i="1" s="1"/>
  <c r="U49" i="1"/>
  <c r="V49" i="1" s="1"/>
  <c r="U48" i="1"/>
  <c r="V48" i="1" s="1"/>
  <c r="U47" i="1"/>
  <c r="V47" i="1" s="1"/>
  <c r="U46" i="1"/>
  <c r="V46" i="1" s="1"/>
  <c r="U45" i="1"/>
  <c r="V45" i="1" s="1"/>
  <c r="U44" i="1"/>
  <c r="V44" i="1" s="1"/>
  <c r="U43" i="1"/>
  <c r="V43" i="1" s="1"/>
  <c r="U42" i="1"/>
  <c r="V42" i="1" s="1"/>
  <c r="U41" i="1"/>
  <c r="V41" i="1" s="1"/>
  <c r="U40" i="1"/>
  <c r="V40" i="1" s="1"/>
  <c r="U39" i="1"/>
  <c r="V39" i="1" s="1"/>
  <c r="U38" i="1"/>
  <c r="V38" i="1" s="1"/>
  <c r="U37" i="1"/>
  <c r="V37" i="1" s="1"/>
  <c r="U36" i="1"/>
  <c r="V36" i="1" s="1"/>
  <c r="U35" i="1"/>
  <c r="V35" i="1" s="1"/>
  <c r="U34" i="1"/>
  <c r="V34" i="1" s="1"/>
  <c r="U33" i="1"/>
  <c r="V33" i="1" s="1"/>
  <c r="U30" i="1"/>
  <c r="V30" i="1" s="1"/>
  <c r="U29" i="1"/>
  <c r="V29" i="1" s="1"/>
  <c r="U28" i="1"/>
  <c r="V28" i="1" s="1"/>
  <c r="U27" i="1"/>
  <c r="V27" i="1" s="1"/>
  <c r="U26" i="1"/>
  <c r="V26" i="1" s="1"/>
  <c r="U25" i="1"/>
  <c r="V25" i="1" s="1"/>
  <c r="U24" i="1"/>
  <c r="V24" i="1" s="1"/>
  <c r="U23" i="1"/>
  <c r="V23" i="1" s="1"/>
  <c r="U21" i="1"/>
  <c r="V21" i="1" s="1"/>
  <c r="U20" i="1"/>
  <c r="V20" i="1" s="1"/>
  <c r="U19" i="1"/>
  <c r="V19" i="1" s="1"/>
  <c r="U18" i="1"/>
  <c r="V18" i="1" s="1"/>
  <c r="U17" i="1"/>
  <c r="V17" i="1" s="1"/>
  <c r="U16" i="1"/>
  <c r="V16" i="1" s="1"/>
  <c r="U15" i="1"/>
  <c r="V15" i="1" s="1"/>
  <c r="U14" i="1"/>
  <c r="V14" i="1" s="1"/>
  <c r="K172" i="1"/>
  <c r="J172" i="1" s="1"/>
  <c r="M172" i="1" s="1"/>
  <c r="K170" i="1"/>
  <c r="J170" i="1" s="1"/>
  <c r="M170" i="1" s="1"/>
  <c r="K168" i="1"/>
  <c r="K166" i="1"/>
  <c r="J166" i="1" s="1"/>
  <c r="M166" i="1" s="1"/>
  <c r="K164" i="1"/>
  <c r="J164" i="1" s="1"/>
  <c r="M164" i="1" s="1"/>
  <c r="K162" i="1"/>
  <c r="J162" i="1" s="1"/>
  <c r="M162" i="1" s="1"/>
  <c r="K160" i="1"/>
  <c r="J160" i="1" s="1"/>
  <c r="K159" i="1"/>
  <c r="J159" i="1" s="1"/>
  <c r="K174" i="1"/>
  <c r="I174" i="1" s="1"/>
  <c r="K158" i="1"/>
  <c r="N158" i="1" s="1"/>
  <c r="S125" i="1"/>
  <c r="S124" i="1"/>
  <c r="K125" i="1"/>
  <c r="K124" i="1"/>
  <c r="K113" i="1"/>
  <c r="S113" i="1"/>
  <c r="K93" i="1"/>
  <c r="Q93" i="1" s="1"/>
  <c r="S93" i="1"/>
  <c r="S174" i="1"/>
  <c r="S172" i="1"/>
  <c r="S170" i="1"/>
  <c r="S168" i="1"/>
  <c r="S166" i="1"/>
  <c r="S164" i="1"/>
  <c r="S162" i="1"/>
  <c r="S160" i="1"/>
  <c r="S159" i="1"/>
  <c r="S158" i="1"/>
  <c r="S157" i="1"/>
  <c r="T157" i="1" s="1"/>
  <c r="S155" i="1"/>
  <c r="T155" i="1" s="1"/>
  <c r="S154" i="1"/>
  <c r="T154" i="1" s="1"/>
  <c r="S152" i="1"/>
  <c r="T152" i="1" s="1"/>
  <c r="S151" i="1"/>
  <c r="T151" i="1" s="1"/>
  <c r="S150" i="1"/>
  <c r="T150" i="1" s="1"/>
  <c r="S149" i="1"/>
  <c r="T149" i="1" s="1"/>
  <c r="S148" i="1"/>
  <c r="T148" i="1" s="1"/>
  <c r="S147" i="1"/>
  <c r="T147" i="1" s="1"/>
  <c r="S146" i="1"/>
  <c r="T146" i="1" s="1"/>
  <c r="S145" i="1"/>
  <c r="T145" i="1" s="1"/>
  <c r="S144" i="1"/>
  <c r="T144" i="1" s="1"/>
  <c r="S143" i="1"/>
  <c r="T143" i="1" s="1"/>
  <c r="S142" i="1"/>
  <c r="T142" i="1" s="1"/>
  <c r="S141" i="1"/>
  <c r="T141" i="1" s="1"/>
  <c r="S140" i="1"/>
  <c r="T140" i="1" s="1"/>
  <c r="S139" i="1"/>
  <c r="T139" i="1" s="1"/>
  <c r="S138" i="1"/>
  <c r="T138" i="1" s="1"/>
  <c r="S136" i="1"/>
  <c r="T136" i="1" s="1"/>
  <c r="S134" i="1"/>
  <c r="T134" i="1" s="1"/>
  <c r="S133" i="1"/>
  <c r="T133" i="1" s="1"/>
  <c r="S132" i="1"/>
  <c r="T132" i="1" s="1"/>
  <c r="S131" i="1"/>
  <c r="T131" i="1" s="1"/>
  <c r="S130" i="1"/>
  <c r="T130" i="1" s="1"/>
  <c r="S129" i="1"/>
  <c r="T129" i="1" s="1"/>
  <c r="S128" i="1"/>
  <c r="T128" i="1" s="1"/>
  <c r="S127" i="1"/>
  <c r="T127" i="1" s="1"/>
  <c r="S126" i="1"/>
  <c r="T126" i="1" s="1"/>
  <c r="S123" i="1"/>
  <c r="T123" i="1" s="1"/>
  <c r="S122" i="1"/>
  <c r="T122" i="1" s="1"/>
  <c r="S120" i="1"/>
  <c r="T120" i="1" s="1"/>
  <c r="S119" i="1"/>
  <c r="T119" i="1" s="1"/>
  <c r="S118" i="1"/>
  <c r="T118" i="1" s="1"/>
  <c r="S117" i="1"/>
  <c r="T117" i="1" s="1"/>
  <c r="S116" i="1"/>
  <c r="T116" i="1" s="1"/>
  <c r="S115" i="1"/>
  <c r="T115" i="1" s="1"/>
  <c r="S112" i="1"/>
  <c r="T112" i="1" s="1"/>
  <c r="S111" i="1"/>
  <c r="T111" i="1" s="1"/>
  <c r="S110" i="1"/>
  <c r="T110" i="1" s="1"/>
  <c r="S109" i="1"/>
  <c r="T109" i="1" s="1"/>
  <c r="S107" i="1"/>
  <c r="T107" i="1" s="1"/>
  <c r="S106" i="1"/>
  <c r="T106" i="1" s="1"/>
  <c r="S105" i="1"/>
  <c r="T105" i="1" s="1"/>
  <c r="S103" i="1"/>
  <c r="T103" i="1" s="1"/>
  <c r="S102" i="1"/>
  <c r="T102" i="1" s="1"/>
  <c r="S101" i="1"/>
  <c r="T101" i="1" s="1"/>
  <c r="S100" i="1"/>
  <c r="T100" i="1" s="1"/>
  <c r="S99" i="1"/>
  <c r="T99" i="1" s="1"/>
  <c r="S98" i="1"/>
  <c r="T98" i="1" s="1"/>
  <c r="S97" i="1"/>
  <c r="T97" i="1" s="1"/>
  <c r="S96" i="1"/>
  <c r="T96" i="1" s="1"/>
  <c r="S95" i="1"/>
  <c r="T95" i="1" s="1"/>
  <c r="S94" i="1"/>
  <c r="T94" i="1" s="1"/>
  <c r="S92" i="1"/>
  <c r="T92" i="1" s="1"/>
  <c r="S91" i="1"/>
  <c r="T91" i="1" s="1"/>
  <c r="S89" i="1"/>
  <c r="T89" i="1" s="1"/>
  <c r="S88" i="1"/>
  <c r="T88" i="1" s="1"/>
  <c r="S87" i="1"/>
  <c r="T87" i="1" s="1"/>
  <c r="S86" i="1"/>
  <c r="T86" i="1" s="1"/>
  <c r="S85" i="1"/>
  <c r="T85" i="1" s="1"/>
  <c r="S84" i="1"/>
  <c r="T84" i="1" s="1"/>
  <c r="S83" i="1"/>
  <c r="T83" i="1" s="1"/>
  <c r="S81" i="1"/>
  <c r="T81" i="1" s="1"/>
  <c r="S80" i="1"/>
  <c r="T80" i="1" s="1"/>
  <c r="S79" i="1"/>
  <c r="T79" i="1" s="1"/>
  <c r="S77" i="1"/>
  <c r="T77" i="1" s="1"/>
  <c r="S76" i="1"/>
  <c r="T76" i="1" s="1"/>
  <c r="S75" i="1"/>
  <c r="T75" i="1" s="1"/>
  <c r="S74" i="1"/>
  <c r="T74" i="1" s="1"/>
  <c r="S72" i="1"/>
  <c r="T72" i="1" s="1"/>
  <c r="S71" i="1"/>
  <c r="T71" i="1" s="1"/>
  <c r="S70" i="1"/>
  <c r="T70" i="1" s="1"/>
  <c r="S69" i="1"/>
  <c r="T69" i="1" s="1"/>
  <c r="S68" i="1"/>
  <c r="T68" i="1" s="1"/>
  <c r="S67" i="1"/>
  <c r="T67" i="1" s="1"/>
  <c r="S66" i="1"/>
  <c r="T66" i="1" s="1"/>
  <c r="S65" i="1"/>
  <c r="T65" i="1" s="1"/>
  <c r="S64" i="1"/>
  <c r="T64" i="1" s="1"/>
  <c r="S63" i="1"/>
  <c r="T63" i="1" s="1"/>
  <c r="S61" i="1"/>
  <c r="T61" i="1" s="1"/>
  <c r="S60" i="1"/>
  <c r="T60" i="1" s="1"/>
  <c r="S59" i="1"/>
  <c r="T59" i="1" s="1"/>
  <c r="S58" i="1"/>
  <c r="T58" i="1" s="1"/>
  <c r="S57" i="1"/>
  <c r="T57" i="1" s="1"/>
  <c r="S55" i="1"/>
  <c r="T55" i="1" s="1"/>
  <c r="S54" i="1"/>
  <c r="T54" i="1" s="1"/>
  <c r="S53" i="1"/>
  <c r="T53" i="1" s="1"/>
  <c r="S52" i="1"/>
  <c r="T52" i="1" s="1"/>
  <c r="S51" i="1"/>
  <c r="T51" i="1" s="1"/>
  <c r="S50" i="1"/>
  <c r="T50" i="1" s="1"/>
  <c r="S49" i="1"/>
  <c r="T49" i="1" s="1"/>
  <c r="S48" i="1"/>
  <c r="T48" i="1" s="1"/>
  <c r="S47" i="1"/>
  <c r="T47" i="1" s="1"/>
  <c r="S46" i="1"/>
  <c r="T46" i="1" s="1"/>
  <c r="S45" i="1"/>
  <c r="T45" i="1" s="1"/>
  <c r="S44" i="1"/>
  <c r="T44" i="1" s="1"/>
  <c r="S43" i="1"/>
  <c r="T43" i="1" s="1"/>
  <c r="S42" i="1"/>
  <c r="T42" i="1" s="1"/>
  <c r="S41" i="1"/>
  <c r="T41" i="1" s="1"/>
  <c r="S40" i="1"/>
  <c r="T40" i="1" s="1"/>
  <c r="S39" i="1"/>
  <c r="T39" i="1" s="1"/>
  <c r="S38" i="1"/>
  <c r="T38" i="1" s="1"/>
  <c r="S37" i="1"/>
  <c r="T37" i="1" s="1"/>
  <c r="S36" i="1"/>
  <c r="T36" i="1" s="1"/>
  <c r="S35" i="1"/>
  <c r="T35" i="1" s="1"/>
  <c r="S34" i="1"/>
  <c r="T34" i="1" s="1"/>
  <c r="S33" i="1"/>
  <c r="T33" i="1" s="1"/>
  <c r="S30" i="1"/>
  <c r="T30" i="1" s="1"/>
  <c r="S29" i="1"/>
  <c r="T29" i="1" s="1"/>
  <c r="S28" i="1"/>
  <c r="T28" i="1" s="1"/>
  <c r="S27" i="1"/>
  <c r="T27" i="1" s="1"/>
  <c r="S26" i="1"/>
  <c r="T26" i="1" s="1"/>
  <c r="S25" i="1"/>
  <c r="T25" i="1" s="1"/>
  <c r="S24" i="1"/>
  <c r="T24" i="1" s="1"/>
  <c r="S23" i="1"/>
  <c r="T23" i="1" s="1"/>
  <c r="S21" i="1"/>
  <c r="T21" i="1" s="1"/>
  <c r="S20" i="1"/>
  <c r="T20" i="1" s="1"/>
  <c r="S19" i="1"/>
  <c r="T19" i="1" s="1"/>
  <c r="S18" i="1"/>
  <c r="T18" i="1" s="1"/>
  <c r="S17" i="1"/>
  <c r="T17" i="1" s="1"/>
  <c r="S16" i="1"/>
  <c r="T16" i="1" s="1"/>
  <c r="S15" i="1"/>
  <c r="T15" i="1" s="1"/>
  <c r="S14" i="1"/>
  <c r="T14" i="1" s="1"/>
  <c r="S11" i="1"/>
  <c r="T11" i="1" s="1"/>
  <c r="S10" i="1"/>
  <c r="T10" i="1" s="1"/>
  <c r="S9" i="1"/>
  <c r="T9" i="1" s="1"/>
  <c r="S8" i="1"/>
  <c r="T8" i="1" s="1"/>
  <c r="S7" i="1"/>
  <c r="T7" i="1" s="1"/>
  <c r="Q157" i="1"/>
  <c r="R157" i="1" s="1"/>
  <c r="Q155" i="1"/>
  <c r="R155" i="1" s="1"/>
  <c r="Q154" i="1"/>
  <c r="R154" i="1" s="1"/>
  <c r="Q152" i="1"/>
  <c r="R152" i="1" s="1"/>
  <c r="Q151" i="1"/>
  <c r="R151" i="1" s="1"/>
  <c r="Q150" i="1"/>
  <c r="R150" i="1" s="1"/>
  <c r="Q149" i="1"/>
  <c r="R149" i="1" s="1"/>
  <c r="Q148" i="1"/>
  <c r="R148" i="1" s="1"/>
  <c r="Q147" i="1"/>
  <c r="R147" i="1" s="1"/>
  <c r="Q146" i="1"/>
  <c r="R146" i="1" s="1"/>
  <c r="Q145" i="1"/>
  <c r="R145" i="1" s="1"/>
  <c r="Q144" i="1"/>
  <c r="R144" i="1" s="1"/>
  <c r="Q143" i="1"/>
  <c r="R143" i="1" s="1"/>
  <c r="Q142" i="1"/>
  <c r="R142" i="1" s="1"/>
  <c r="Q141" i="1"/>
  <c r="R141" i="1" s="1"/>
  <c r="Q140" i="1"/>
  <c r="R140" i="1" s="1"/>
  <c r="Q139" i="1"/>
  <c r="R139" i="1" s="1"/>
  <c r="Q138" i="1"/>
  <c r="R138" i="1" s="1"/>
  <c r="Q136" i="1"/>
  <c r="R136" i="1" s="1"/>
  <c r="Q134" i="1"/>
  <c r="R134" i="1" s="1"/>
  <c r="Q133" i="1"/>
  <c r="R133" i="1" s="1"/>
  <c r="Q132" i="1"/>
  <c r="R132" i="1" s="1"/>
  <c r="Q131" i="1"/>
  <c r="R131" i="1" s="1"/>
  <c r="Q130" i="1"/>
  <c r="R130" i="1" s="1"/>
  <c r="Q129" i="1"/>
  <c r="R129" i="1" s="1"/>
  <c r="Q128" i="1"/>
  <c r="R128" i="1" s="1"/>
  <c r="Q127" i="1"/>
  <c r="R127" i="1" s="1"/>
  <c r="Q126" i="1"/>
  <c r="R126" i="1" s="1"/>
  <c r="Q123" i="1"/>
  <c r="R123" i="1" s="1"/>
  <c r="Q122" i="1"/>
  <c r="R122" i="1" s="1"/>
  <c r="Q120" i="1"/>
  <c r="R120" i="1" s="1"/>
  <c r="Q119" i="1"/>
  <c r="R119" i="1" s="1"/>
  <c r="Q118" i="1"/>
  <c r="R118" i="1" s="1"/>
  <c r="Q117" i="1"/>
  <c r="R117" i="1" s="1"/>
  <c r="Q116" i="1"/>
  <c r="R116" i="1" s="1"/>
  <c r="Q115" i="1"/>
  <c r="R115" i="1" s="1"/>
  <c r="Q112" i="1"/>
  <c r="R112" i="1" s="1"/>
  <c r="Q111" i="1"/>
  <c r="R111" i="1" s="1"/>
  <c r="Q110" i="1"/>
  <c r="R110" i="1" s="1"/>
  <c r="Q109" i="1"/>
  <c r="R109" i="1" s="1"/>
  <c r="Q107" i="1"/>
  <c r="R107" i="1" s="1"/>
  <c r="Q106" i="1"/>
  <c r="R106" i="1" s="1"/>
  <c r="Q105" i="1"/>
  <c r="R105" i="1" s="1"/>
  <c r="Q103" i="1"/>
  <c r="R103" i="1" s="1"/>
  <c r="Q102" i="1"/>
  <c r="R102" i="1" s="1"/>
  <c r="Q101" i="1"/>
  <c r="R101" i="1" s="1"/>
  <c r="Q100" i="1"/>
  <c r="R100" i="1" s="1"/>
  <c r="Q99" i="1"/>
  <c r="R99" i="1" s="1"/>
  <c r="Q98" i="1"/>
  <c r="R98" i="1" s="1"/>
  <c r="Q97" i="1"/>
  <c r="R97" i="1" s="1"/>
  <c r="Q96" i="1"/>
  <c r="R96" i="1" s="1"/>
  <c r="Q95" i="1"/>
  <c r="R95" i="1" s="1"/>
  <c r="Q94" i="1"/>
  <c r="R94" i="1" s="1"/>
  <c r="Q92" i="1"/>
  <c r="R92" i="1" s="1"/>
  <c r="Q91" i="1"/>
  <c r="R91" i="1" s="1"/>
  <c r="Q89" i="1"/>
  <c r="R89" i="1" s="1"/>
  <c r="Q88" i="1"/>
  <c r="R88" i="1" s="1"/>
  <c r="Q87" i="1"/>
  <c r="R87" i="1" s="1"/>
  <c r="Q86" i="1"/>
  <c r="R86" i="1" s="1"/>
  <c r="Q85" i="1"/>
  <c r="R85" i="1" s="1"/>
  <c r="Q84" i="1"/>
  <c r="R84" i="1" s="1"/>
  <c r="Q83" i="1"/>
  <c r="R83" i="1" s="1"/>
  <c r="Q81" i="1"/>
  <c r="R81" i="1" s="1"/>
  <c r="Q80" i="1"/>
  <c r="R80" i="1" s="1"/>
  <c r="Q79" i="1"/>
  <c r="R79" i="1" s="1"/>
  <c r="Q77" i="1"/>
  <c r="R77" i="1" s="1"/>
  <c r="Q76" i="1"/>
  <c r="R76" i="1" s="1"/>
  <c r="Q75" i="1"/>
  <c r="R75" i="1" s="1"/>
  <c r="Q74" i="1"/>
  <c r="R74" i="1" s="1"/>
  <c r="Q72" i="1"/>
  <c r="R72" i="1" s="1"/>
  <c r="Q71" i="1"/>
  <c r="R71" i="1" s="1"/>
  <c r="Q70" i="1"/>
  <c r="R70" i="1" s="1"/>
  <c r="Q69" i="1"/>
  <c r="R69" i="1" s="1"/>
  <c r="Q68" i="1"/>
  <c r="R68" i="1" s="1"/>
  <c r="Q67" i="1"/>
  <c r="R67" i="1" s="1"/>
  <c r="Q66" i="1"/>
  <c r="R66" i="1" s="1"/>
  <c r="Q65" i="1"/>
  <c r="R65" i="1" s="1"/>
  <c r="Q64" i="1"/>
  <c r="R64" i="1" s="1"/>
  <c r="Q63" i="1"/>
  <c r="R63" i="1" s="1"/>
  <c r="Q61" i="1"/>
  <c r="R61" i="1" s="1"/>
  <c r="Q60" i="1"/>
  <c r="R60" i="1" s="1"/>
  <c r="Q59" i="1"/>
  <c r="R59" i="1" s="1"/>
  <c r="Q58" i="1"/>
  <c r="R58" i="1" s="1"/>
  <c r="Q57" i="1"/>
  <c r="R57" i="1" s="1"/>
  <c r="Q55" i="1"/>
  <c r="R55" i="1" s="1"/>
  <c r="Q54" i="1"/>
  <c r="R54" i="1" s="1"/>
  <c r="Q53" i="1"/>
  <c r="R53" i="1" s="1"/>
  <c r="Q52" i="1"/>
  <c r="R52" i="1" s="1"/>
  <c r="Q51" i="1"/>
  <c r="R51" i="1" s="1"/>
  <c r="Q50" i="1"/>
  <c r="R50" i="1" s="1"/>
  <c r="Q49" i="1"/>
  <c r="R49" i="1" s="1"/>
  <c r="Q48" i="1"/>
  <c r="R48" i="1" s="1"/>
  <c r="Q47" i="1"/>
  <c r="R47" i="1" s="1"/>
  <c r="Q46" i="1"/>
  <c r="R46" i="1" s="1"/>
  <c r="Q45" i="1"/>
  <c r="R45" i="1" s="1"/>
  <c r="Q44" i="1"/>
  <c r="R44" i="1" s="1"/>
  <c r="Q43" i="1"/>
  <c r="R43" i="1" s="1"/>
  <c r="Q42" i="1"/>
  <c r="R42" i="1" s="1"/>
  <c r="Q41" i="1"/>
  <c r="R41" i="1" s="1"/>
  <c r="Q40" i="1"/>
  <c r="R40" i="1" s="1"/>
  <c r="Q39" i="1"/>
  <c r="R39" i="1" s="1"/>
  <c r="Q38" i="1"/>
  <c r="R38" i="1" s="1"/>
  <c r="Q37" i="1"/>
  <c r="R37" i="1" s="1"/>
  <c r="Q36" i="1"/>
  <c r="R36" i="1" s="1"/>
  <c r="Q35" i="1"/>
  <c r="R35" i="1" s="1"/>
  <c r="Q34" i="1"/>
  <c r="R34" i="1" s="1"/>
  <c r="Q33" i="1"/>
  <c r="R33" i="1" s="1"/>
  <c r="Q30" i="1"/>
  <c r="R30" i="1" s="1"/>
  <c r="Q29" i="1"/>
  <c r="R29" i="1" s="1"/>
  <c r="Q28" i="1"/>
  <c r="R28" i="1" s="1"/>
  <c r="Q27" i="1"/>
  <c r="R27" i="1" s="1"/>
  <c r="Q26" i="1"/>
  <c r="R26" i="1" s="1"/>
  <c r="Q25" i="1"/>
  <c r="R25" i="1" s="1"/>
  <c r="Q24" i="1"/>
  <c r="R24" i="1" s="1"/>
  <c r="Q23" i="1"/>
  <c r="R23" i="1" s="1"/>
  <c r="Q21" i="1"/>
  <c r="R21" i="1" s="1"/>
  <c r="Q20" i="1"/>
  <c r="R20" i="1" s="1"/>
  <c r="Q19" i="1"/>
  <c r="R19" i="1" s="1"/>
  <c r="Q18" i="1"/>
  <c r="R18" i="1" s="1"/>
  <c r="Q17" i="1"/>
  <c r="R17" i="1" s="1"/>
  <c r="Q16" i="1"/>
  <c r="R16" i="1" s="1"/>
  <c r="Q15" i="1"/>
  <c r="R15" i="1" s="1"/>
  <c r="Q14" i="1"/>
  <c r="R14" i="1" s="1"/>
  <c r="Q11" i="1"/>
  <c r="Q10" i="1"/>
  <c r="Q9" i="1"/>
  <c r="Q8" i="1"/>
  <c r="Q7" i="1"/>
  <c r="L8" i="1"/>
  <c r="N8" i="1"/>
  <c r="L9" i="1"/>
  <c r="N9" i="1"/>
  <c r="L10" i="1"/>
  <c r="N10" i="1"/>
  <c r="L11" i="1"/>
  <c r="N11" i="1"/>
  <c r="N7" i="1"/>
  <c r="L7" i="1"/>
  <c r="N113" i="1" l="1"/>
  <c r="M113" i="1" s="1"/>
  <c r="U113" i="1" s="1"/>
  <c r="V113" i="1" s="1"/>
  <c r="J113" i="1"/>
  <c r="W113" i="1" s="1"/>
  <c r="X113" i="1" s="1"/>
  <c r="Q124" i="1"/>
  <c r="J124" i="1"/>
  <c r="W124" i="1" s="1"/>
  <c r="X124" i="1" s="1"/>
  <c r="N125" i="1"/>
  <c r="M125" i="1" s="1"/>
  <c r="U125" i="1" s="1"/>
  <c r="V125" i="1" s="1"/>
  <c r="J125" i="1"/>
  <c r="W125" i="1" s="1"/>
  <c r="X125" i="1" s="1"/>
  <c r="N6" i="1"/>
  <c r="T93" i="1"/>
  <c r="N160" i="1"/>
  <c r="M8" i="1"/>
  <c r="U8" i="1" s="1"/>
  <c r="V8" i="1" s="1"/>
  <c r="M9" i="1"/>
  <c r="U9" i="1" s="1"/>
  <c r="V9" i="1" s="1"/>
  <c r="Q113" i="1"/>
  <c r="R113" i="1" s="1"/>
  <c r="T113" i="1"/>
  <c r="R7" i="1"/>
  <c r="R8" i="1"/>
  <c r="R11" i="1"/>
  <c r="M7" i="1"/>
  <c r="U7" i="1" s="1"/>
  <c r="V7" i="1" s="1"/>
  <c r="U175" i="1"/>
  <c r="V175" i="1" s="1"/>
  <c r="N159" i="1"/>
  <c r="J158" i="1"/>
  <c r="M158" i="1" s="1"/>
  <c r="L158" i="1" s="1"/>
  <c r="U158" i="1" s="1"/>
  <c r="V158" i="1" s="1"/>
  <c r="J174" i="1"/>
  <c r="M174" i="1" s="1"/>
  <c r="N174" i="1"/>
  <c r="N172" i="1"/>
  <c r="L172" i="1" s="1"/>
  <c r="U172" i="1" s="1"/>
  <c r="V172" i="1" s="1"/>
  <c r="J168" i="1"/>
  <c r="M168" i="1" s="1"/>
  <c r="I172" i="1"/>
  <c r="W172" i="1" s="1"/>
  <c r="X172" i="1" s="1"/>
  <c r="I170" i="1"/>
  <c r="W170" i="1" s="1"/>
  <c r="X170" i="1" s="1"/>
  <c r="N168" i="1"/>
  <c r="I166" i="1"/>
  <c r="W166" i="1" s="1"/>
  <c r="X166" i="1" s="1"/>
  <c r="N166" i="1"/>
  <c r="L166" i="1" s="1"/>
  <c r="U166" i="1" s="1"/>
  <c r="V166" i="1" s="1"/>
  <c r="I162" i="1"/>
  <c r="W162" i="1" s="1"/>
  <c r="X162" i="1" s="1"/>
  <c r="M160" i="1"/>
  <c r="I160" i="1"/>
  <c r="W160" i="1" s="1"/>
  <c r="X160" i="1" s="1"/>
  <c r="M159" i="1"/>
  <c r="I159" i="1"/>
  <c r="W159" i="1" s="1"/>
  <c r="X159" i="1" s="1"/>
  <c r="N170" i="1"/>
  <c r="L170" i="1" s="1"/>
  <c r="U170" i="1" s="1"/>
  <c r="V170" i="1" s="1"/>
  <c r="N162" i="1"/>
  <c r="L162" i="1" s="1"/>
  <c r="U162" i="1" s="1"/>
  <c r="V162" i="1" s="1"/>
  <c r="Q125" i="1"/>
  <c r="R125" i="1" s="1"/>
  <c r="T125" i="1"/>
  <c r="T124" i="1"/>
  <c r="N124" i="1"/>
  <c r="M124" i="1" s="1"/>
  <c r="U124" i="1" s="1"/>
  <c r="V124" i="1" s="1"/>
  <c r="R9" i="1"/>
  <c r="R10" i="1"/>
  <c r="M11" i="1"/>
  <c r="U11" i="1" s="1"/>
  <c r="V11" i="1" s="1"/>
  <c r="M10" i="1"/>
  <c r="U10" i="1" s="1"/>
  <c r="V10" i="1" s="1"/>
  <c r="N93" i="1"/>
  <c r="M93" i="1" s="1"/>
  <c r="U93" i="1" s="1"/>
  <c r="V93" i="1" s="1"/>
  <c r="J93" i="1"/>
  <c r="W93" i="1" s="1"/>
  <c r="X93" i="1" s="1"/>
  <c r="W174" i="1" l="1"/>
  <c r="X174" i="1" s="1"/>
  <c r="L160" i="1"/>
  <c r="U160" i="1" s="1"/>
  <c r="V160" i="1" s="1"/>
  <c r="L168" i="1"/>
  <c r="U168" i="1" s="1"/>
  <c r="V168" i="1" s="1"/>
  <c r="I158" i="1"/>
  <c r="W158" i="1" s="1"/>
  <c r="X158" i="1" s="1"/>
  <c r="L174" i="1"/>
  <c r="U174" i="1" s="1"/>
  <c r="V174" i="1" s="1"/>
  <c r="L159" i="1"/>
  <c r="U159" i="1" s="1"/>
  <c r="V159" i="1" s="1"/>
  <c r="I168" i="1"/>
  <c r="W168" i="1" s="1"/>
  <c r="X168" i="1" s="1"/>
  <c r="I164" i="1"/>
  <c r="W164" i="1" s="1"/>
  <c r="X164" i="1" s="1"/>
  <c r="R124" i="1"/>
  <c r="R93" i="1"/>
  <c r="Q158" i="1" l="1"/>
  <c r="T158" i="1"/>
  <c r="Q160" i="1"/>
  <c r="T160" i="1"/>
  <c r="Q159" i="1" l="1"/>
  <c r="R159" i="1" s="1"/>
  <c r="T159" i="1"/>
  <c r="R160" i="1"/>
  <c r="R158" i="1"/>
  <c r="N156" i="1"/>
  <c r="C41" i="2" s="1"/>
  <c r="N153" i="1"/>
  <c r="C39" i="2" s="1"/>
  <c r="N137" i="1"/>
  <c r="C37" i="2" s="1"/>
  <c r="N135" i="1"/>
  <c r="N121" i="1"/>
  <c r="N114" i="1"/>
  <c r="N108" i="1"/>
  <c r="N104" i="1"/>
  <c r="N90" i="1"/>
  <c r="N82" i="1"/>
  <c r="N78" i="1"/>
  <c r="C21" i="2" s="1"/>
  <c r="N73" i="1"/>
  <c r="N62" i="1"/>
  <c r="N56" i="1"/>
  <c r="C15" i="2" s="1"/>
  <c r="N32" i="1"/>
  <c r="C13" i="2" s="1"/>
  <c r="C11" i="2"/>
  <c r="N13" i="1"/>
  <c r="N167" i="1"/>
  <c r="C49" i="2" s="1"/>
  <c r="N165" i="1"/>
  <c r="J12" i="2" l="1"/>
  <c r="L8" i="3" s="1"/>
  <c r="I50" i="2"/>
  <c r="H14" i="2"/>
  <c r="J40" i="2"/>
  <c r="C19" i="2"/>
  <c r="M10" i="3"/>
  <c r="C23" i="2"/>
  <c r="M11" i="3"/>
  <c r="C25" i="2"/>
  <c r="M15" i="3"/>
  <c r="C27" i="2"/>
  <c r="M12" i="3"/>
  <c r="C29" i="2"/>
  <c r="M13" i="3"/>
  <c r="C31" i="2"/>
  <c r="M18" i="3"/>
  <c r="C33" i="2"/>
  <c r="M19" i="3"/>
  <c r="C35" i="2"/>
  <c r="M20" i="3"/>
  <c r="C47" i="2"/>
  <c r="C9" i="2"/>
  <c r="M7" i="3"/>
  <c r="C17" i="2"/>
  <c r="M9" i="3"/>
  <c r="Q174" i="1"/>
  <c r="T174" i="1"/>
  <c r="J22" i="2"/>
  <c r="E22" i="2"/>
  <c r="H16" i="2"/>
  <c r="D16" i="2"/>
  <c r="E50" i="2"/>
  <c r="D50" i="2"/>
  <c r="G50" i="2"/>
  <c r="F50" i="2"/>
  <c r="H50" i="2"/>
  <c r="J50" i="2"/>
  <c r="E12" i="2"/>
  <c r="G8" i="3" s="1"/>
  <c r="I12" i="2"/>
  <c r="K8" i="3" s="1"/>
  <c r="F12" i="2"/>
  <c r="H8" i="3" s="1"/>
  <c r="H12" i="2"/>
  <c r="J8" i="3" s="1"/>
  <c r="G12" i="2"/>
  <c r="I8" i="3" s="1"/>
  <c r="D12" i="2"/>
  <c r="E42" i="2"/>
  <c r="I42" i="2"/>
  <c r="F42" i="2"/>
  <c r="J42" i="2"/>
  <c r="G42" i="2"/>
  <c r="D42" i="2"/>
  <c r="H42" i="2"/>
  <c r="E14" i="2"/>
  <c r="I14" i="2"/>
  <c r="D14" i="2"/>
  <c r="F14" i="2"/>
  <c r="J14" i="2"/>
  <c r="G14" i="2"/>
  <c r="I22" i="2"/>
  <c r="D22" i="2"/>
  <c r="F22" i="2"/>
  <c r="G22" i="2"/>
  <c r="H22" i="2"/>
  <c r="E38" i="2"/>
  <c r="I38" i="2"/>
  <c r="F38" i="2"/>
  <c r="J38" i="2"/>
  <c r="G38" i="2"/>
  <c r="D38" i="2"/>
  <c r="H38" i="2"/>
  <c r="E16" i="2"/>
  <c r="I16" i="2"/>
  <c r="F16" i="2"/>
  <c r="J16" i="2"/>
  <c r="G16" i="2"/>
  <c r="F40" i="2"/>
  <c r="I40" i="2"/>
  <c r="G40" i="2"/>
  <c r="D40" i="2"/>
  <c r="H40" i="2"/>
  <c r="E40" i="2"/>
  <c r="M6" i="3"/>
  <c r="K50" i="2" l="1"/>
  <c r="K40" i="2"/>
  <c r="K22" i="2"/>
  <c r="F8" i="3"/>
  <c r="K12" i="2"/>
  <c r="K38" i="2"/>
  <c r="K14" i="2"/>
  <c r="K16" i="2"/>
  <c r="K42" i="2"/>
  <c r="F10" i="2"/>
  <c r="H48" i="2"/>
  <c r="H26" i="2"/>
  <c r="J15" i="3" s="1"/>
  <c r="F28" i="2"/>
  <c r="H12" i="3" s="1"/>
  <c r="J34" i="2"/>
  <c r="L19" i="3" s="1"/>
  <c r="J20" i="2"/>
  <c r="L10" i="3" s="1"/>
  <c r="E18" i="2"/>
  <c r="G9" i="3" s="1"/>
  <c r="D36" i="2"/>
  <c r="J32" i="2"/>
  <c r="L18" i="3" s="1"/>
  <c r="G10" i="2"/>
  <c r="D24" i="2"/>
  <c r="I30" i="2"/>
  <c r="K13" i="3" s="1"/>
  <c r="H28" i="2"/>
  <c r="J12" i="3" s="1"/>
  <c r="I10" i="2"/>
  <c r="K7" i="3" s="1"/>
  <c r="H10" i="2"/>
  <c r="F48" i="2"/>
  <c r="E48" i="2"/>
  <c r="E20" i="2"/>
  <c r="G10" i="3" s="1"/>
  <c r="I26" i="2"/>
  <c r="K15" i="3" s="1"/>
  <c r="F20" i="2"/>
  <c r="H10" i="3" s="1"/>
  <c r="J48" i="2"/>
  <c r="D20" i="2"/>
  <c r="E26" i="2"/>
  <c r="G15" i="3" s="1"/>
  <c r="G26" i="2"/>
  <c r="I15" i="3" s="1"/>
  <c r="I18" i="2"/>
  <c r="K9" i="3" s="1"/>
  <c r="G18" i="2"/>
  <c r="I9" i="3" s="1"/>
  <c r="D48" i="2"/>
  <c r="H18" i="2"/>
  <c r="J9" i="3" s="1"/>
  <c r="G20" i="2"/>
  <c r="I10" i="3" s="1"/>
  <c r="G48" i="2"/>
  <c r="F18" i="2"/>
  <c r="H9" i="3" s="1"/>
  <c r="H20" i="2"/>
  <c r="J10" i="3" s="1"/>
  <c r="I48" i="2"/>
  <c r="I20" i="2"/>
  <c r="K10" i="3" s="1"/>
  <c r="F26" i="2"/>
  <c r="H15" i="3" s="1"/>
  <c r="J18" i="2"/>
  <c r="L9" i="3" s="1"/>
  <c r="D18" i="2"/>
  <c r="D32" i="2"/>
  <c r="F32" i="2"/>
  <c r="H18" i="3" s="1"/>
  <c r="H32" i="2"/>
  <c r="J18" i="3" s="1"/>
  <c r="E32" i="2"/>
  <c r="G18" i="3" s="1"/>
  <c r="G24" i="2"/>
  <c r="I11" i="3" s="1"/>
  <c r="I28" i="2"/>
  <c r="K12" i="3" s="1"/>
  <c r="I32" i="2"/>
  <c r="K18" i="3" s="1"/>
  <c r="E28" i="2"/>
  <c r="G12" i="3" s="1"/>
  <c r="E10" i="2"/>
  <c r="G7" i="3" s="1"/>
  <c r="D28" i="2"/>
  <c r="J24" i="2"/>
  <c r="L11" i="3" s="1"/>
  <c r="F24" i="2"/>
  <c r="H11" i="3" s="1"/>
  <c r="I24" i="2"/>
  <c r="K11" i="3" s="1"/>
  <c r="E24" i="2"/>
  <c r="G11" i="3" s="1"/>
  <c r="D26" i="2"/>
  <c r="G32" i="2"/>
  <c r="I18" i="3" s="1"/>
  <c r="J26" i="2"/>
  <c r="L15" i="3" s="1"/>
  <c r="I34" i="2"/>
  <c r="K19" i="3" s="1"/>
  <c r="F30" i="2"/>
  <c r="H13" i="3" s="1"/>
  <c r="G36" i="2"/>
  <c r="I20" i="3" s="1"/>
  <c r="J36" i="2"/>
  <c r="L20" i="3" s="1"/>
  <c r="H30" i="2"/>
  <c r="J13" i="3" s="1"/>
  <c r="F36" i="2"/>
  <c r="H20" i="3" s="1"/>
  <c r="G30" i="2"/>
  <c r="I13" i="3" s="1"/>
  <c r="I36" i="2"/>
  <c r="K20" i="3" s="1"/>
  <c r="J30" i="2"/>
  <c r="L13" i="3" s="1"/>
  <c r="E36" i="2"/>
  <c r="G20" i="3" s="1"/>
  <c r="E30" i="2"/>
  <c r="G13" i="3" s="1"/>
  <c r="J28" i="2"/>
  <c r="L12" i="3" s="1"/>
  <c r="D30" i="2"/>
  <c r="G28" i="2"/>
  <c r="I12" i="3" s="1"/>
  <c r="E34" i="2"/>
  <c r="G19" i="3" s="1"/>
  <c r="H34" i="2"/>
  <c r="J19" i="3" s="1"/>
  <c r="D34" i="2"/>
  <c r="G34" i="2"/>
  <c r="I19" i="3" s="1"/>
  <c r="F34" i="2"/>
  <c r="H19" i="3" s="1"/>
  <c r="H36" i="2"/>
  <c r="J20" i="3" s="1"/>
  <c r="D10" i="2"/>
  <c r="H24" i="2"/>
  <c r="J11" i="3" s="1"/>
  <c r="J10" i="2"/>
  <c r="L7" i="3" s="1"/>
  <c r="Q162" i="1"/>
  <c r="T162" i="1"/>
  <c r="Q166" i="1"/>
  <c r="R166" i="1" s="1"/>
  <c r="T166" i="1"/>
  <c r="R174" i="1"/>
  <c r="Q168" i="1"/>
  <c r="R168" i="1" s="1"/>
  <c r="T168" i="1"/>
  <c r="Q170" i="1"/>
  <c r="T170" i="1"/>
  <c r="Q164" i="1"/>
  <c r="N164" i="1"/>
  <c r="L164" i="1" s="1"/>
  <c r="T164" i="1"/>
  <c r="Q172" i="1"/>
  <c r="R172" i="1" s="1"/>
  <c r="T172" i="1"/>
  <c r="C6" i="2"/>
  <c r="D7" i="2" s="1"/>
  <c r="N173" i="1"/>
  <c r="M21" i="3" s="1"/>
  <c r="H7" i="3" l="1"/>
  <c r="J7" i="3"/>
  <c r="I7" i="3"/>
  <c r="K48" i="2"/>
  <c r="F11" i="3"/>
  <c r="K24" i="2"/>
  <c r="K34" i="2"/>
  <c r="F10" i="3"/>
  <c r="K20" i="2"/>
  <c r="F20" i="3"/>
  <c r="K36" i="2"/>
  <c r="F12" i="3"/>
  <c r="K28" i="2"/>
  <c r="F7" i="3"/>
  <c r="K10" i="2"/>
  <c r="F18" i="3"/>
  <c r="K32" i="2"/>
  <c r="K18" i="2"/>
  <c r="K30" i="2"/>
  <c r="K26" i="2"/>
  <c r="F15" i="3"/>
  <c r="F9" i="3"/>
  <c r="F19" i="3"/>
  <c r="F13" i="3"/>
  <c r="U164" i="1"/>
  <c r="V164" i="1" s="1"/>
  <c r="L176" i="1"/>
  <c r="R164" i="1"/>
  <c r="R170" i="1"/>
  <c r="N171" i="1"/>
  <c r="C53" i="2" s="1"/>
  <c r="N163" i="1"/>
  <c r="N169" i="1"/>
  <c r="R162" i="1"/>
  <c r="M176" i="1"/>
  <c r="N161" i="1"/>
  <c r="J7" i="2"/>
  <c r="I7" i="2"/>
  <c r="E7" i="2"/>
  <c r="C55" i="2"/>
  <c r="K6" i="3" l="1"/>
  <c r="U179" i="1"/>
  <c r="F6" i="3"/>
  <c r="G6" i="3"/>
  <c r="L6" i="3"/>
  <c r="U176" i="1"/>
  <c r="K7" i="2"/>
  <c r="J56" i="2"/>
  <c r="L21" i="3" s="1"/>
  <c r="C43" i="2"/>
  <c r="M16" i="3"/>
  <c r="C51" i="2"/>
  <c r="M14" i="3"/>
  <c r="C45" i="2"/>
  <c r="M17" i="3"/>
  <c r="N176" i="1"/>
  <c r="N12" i="1"/>
  <c r="G54" i="2"/>
  <c r="F54" i="2"/>
  <c r="I54" i="2"/>
  <c r="H54" i="2"/>
  <c r="J54" i="2"/>
  <c r="D54" i="2"/>
  <c r="E54" i="2"/>
  <c r="D56" i="2"/>
  <c r="G56" i="2"/>
  <c r="I21" i="3" s="1"/>
  <c r="H56" i="2"/>
  <c r="J21" i="3" s="1"/>
  <c r="I56" i="2"/>
  <c r="K21" i="3" s="1"/>
  <c r="E56" i="2"/>
  <c r="G21" i="3" s="1"/>
  <c r="F56" i="2"/>
  <c r="H21" i="3" s="1"/>
  <c r="C57" i="2" l="1"/>
  <c r="M26" i="3"/>
  <c r="V176" i="1"/>
  <c r="O111" i="1"/>
  <c r="O171" i="1"/>
  <c r="K54" i="2"/>
  <c r="F21" i="3"/>
  <c r="K56" i="2"/>
  <c r="H52" i="2"/>
  <c r="J14" i="3" s="1"/>
  <c r="J46" i="2"/>
  <c r="L17" i="3" s="1"/>
  <c r="I46" i="2"/>
  <c r="K17" i="3" s="1"/>
  <c r="O125" i="1"/>
  <c r="O71" i="1"/>
  <c r="H46" i="2"/>
  <c r="J17" i="3" s="1"/>
  <c r="D46" i="2"/>
  <c r="D52" i="2"/>
  <c r="E52" i="2"/>
  <c r="G14" i="3" s="1"/>
  <c r="I52" i="2"/>
  <c r="K14" i="3" s="1"/>
  <c r="G52" i="2"/>
  <c r="I14" i="3" s="1"/>
  <c r="J52" i="2"/>
  <c r="L14" i="3" s="1"/>
  <c r="O80" i="1"/>
  <c r="O170" i="1"/>
  <c r="O41" i="1"/>
  <c r="G46" i="2"/>
  <c r="I17" i="3" s="1"/>
  <c r="E46" i="2"/>
  <c r="G17" i="3" s="1"/>
  <c r="F46" i="2"/>
  <c r="H17" i="3" s="1"/>
  <c r="J44" i="2"/>
  <c r="I44" i="2"/>
  <c r="F44" i="2"/>
  <c r="G44" i="2"/>
  <c r="G60" i="2" s="1"/>
  <c r="D44" i="2"/>
  <c r="D60" i="2" s="1"/>
  <c r="H44" i="2"/>
  <c r="H60" i="2" s="1"/>
  <c r="E44" i="2"/>
  <c r="E60" i="2" s="1"/>
  <c r="O82" i="1"/>
  <c r="F52" i="2"/>
  <c r="H14" i="3" s="1"/>
  <c r="O116" i="1"/>
  <c r="O124" i="1"/>
  <c r="O135" i="1"/>
  <c r="O144" i="1"/>
  <c r="O69" i="1"/>
  <c r="O137" i="1"/>
  <c r="O167" i="1"/>
  <c r="O141" i="1"/>
  <c r="O75" i="1"/>
  <c r="O58" i="1"/>
  <c r="O43" i="1"/>
  <c r="O127" i="1"/>
  <c r="O172" i="1"/>
  <c r="O117" i="1"/>
  <c r="O113" i="1"/>
  <c r="O36" i="1"/>
  <c r="O120" i="1"/>
  <c r="O15" i="1"/>
  <c r="O142" i="1"/>
  <c r="O12" i="1"/>
  <c r="Q180" i="1"/>
  <c r="O123" i="1"/>
  <c r="O64" i="1"/>
  <c r="O8" i="1"/>
  <c r="O169" i="1"/>
  <c r="O92" i="1"/>
  <c r="O153" i="1"/>
  <c r="O16" i="1"/>
  <c r="O156" i="1"/>
  <c r="O150" i="1"/>
  <c r="O122" i="1"/>
  <c r="O53" i="1"/>
  <c r="O14" i="1"/>
  <c r="O49" i="1"/>
  <c r="O109" i="1"/>
  <c r="O154" i="1"/>
  <c r="O140" i="1"/>
  <c r="O173" i="1"/>
  <c r="M180" i="1"/>
  <c r="M178" i="1" s="1"/>
  <c r="M179" i="1" s="1"/>
  <c r="O74" i="1"/>
  <c r="O44" i="1"/>
  <c r="O131" i="1"/>
  <c r="O24" i="1"/>
  <c r="O27" i="1"/>
  <c r="O37" i="1"/>
  <c r="O62" i="1"/>
  <c r="O66" i="1"/>
  <c r="O138" i="1"/>
  <c r="O86" i="1"/>
  <c r="O28" i="1"/>
  <c r="O93" i="1"/>
  <c r="O101" i="1"/>
  <c r="O126" i="1"/>
  <c r="O130" i="1"/>
  <c r="O163" i="1"/>
  <c r="O81" i="1"/>
  <c r="O157" i="1"/>
  <c r="O165" i="1"/>
  <c r="O21" i="1"/>
  <c r="O25" i="1"/>
  <c r="O164" i="1"/>
  <c r="O98" i="1"/>
  <c r="O94" i="1"/>
  <c r="O46" i="1"/>
  <c r="O54" i="1"/>
  <c r="O87" i="1"/>
  <c r="O91" i="1"/>
  <c r="O39" i="1"/>
  <c r="O119" i="1"/>
  <c r="O115" i="1"/>
  <c r="O9" i="1"/>
  <c r="O106" i="1"/>
  <c r="O10" i="1"/>
  <c r="O72" i="1"/>
  <c r="O40" i="1"/>
  <c r="O105" i="1"/>
  <c r="O30" i="1"/>
  <c r="O168" i="1"/>
  <c r="O20" i="1"/>
  <c r="O139" i="1"/>
  <c r="O152" i="1"/>
  <c r="O47" i="1"/>
  <c r="O17" i="1"/>
  <c r="O145" i="1"/>
  <c r="O76" i="1"/>
  <c r="O57" i="1"/>
  <c r="O110" i="1"/>
  <c r="O99" i="1"/>
  <c r="O151" i="1"/>
  <c r="O155" i="1"/>
  <c r="O104" i="1"/>
  <c r="O60" i="1"/>
  <c r="O133" i="1"/>
  <c r="O174" i="1"/>
  <c r="O100" i="1"/>
  <c r="O18" i="1"/>
  <c r="O146" i="1"/>
  <c r="O65" i="1"/>
  <c r="O162" i="1"/>
  <c r="O175" i="1"/>
  <c r="O31" i="1"/>
  <c r="O32" i="1"/>
  <c r="O7" i="1"/>
  <c r="O107" i="1"/>
  <c r="O149" i="1"/>
  <c r="O51" i="1"/>
  <c r="O38" i="1"/>
  <c r="O136" i="1"/>
  <c r="O118" i="1"/>
  <c r="O83" i="1"/>
  <c r="O121" i="1"/>
  <c r="O70" i="1"/>
  <c r="O108" i="1"/>
  <c r="O158" i="1"/>
  <c r="O19" i="1"/>
  <c r="O42" i="1"/>
  <c r="O33" i="1"/>
  <c r="O13" i="1"/>
  <c r="O147" i="1"/>
  <c r="O35" i="1"/>
  <c r="O134" i="1"/>
  <c r="O48" i="1"/>
  <c r="O23" i="1"/>
  <c r="O77" i="1"/>
  <c r="O97" i="1"/>
  <c r="O79" i="1"/>
  <c r="O22" i="1"/>
  <c r="O61" i="1"/>
  <c r="O29" i="1"/>
  <c r="O112" i="1"/>
  <c r="O166" i="1"/>
  <c r="O63" i="1"/>
  <c r="O85" i="1"/>
  <c r="O161" i="1"/>
  <c r="O143" i="1"/>
  <c r="O84" i="1"/>
  <c r="O78" i="1"/>
  <c r="O95" i="1"/>
  <c r="O6" i="1"/>
  <c r="O34" i="1"/>
  <c r="O90" i="1"/>
  <c r="O52" i="1"/>
  <c r="O68" i="1"/>
  <c r="O50" i="1"/>
  <c r="O96" i="1"/>
  <c r="O148" i="1"/>
  <c r="O26" i="1"/>
  <c r="O103" i="1"/>
  <c r="O159" i="1"/>
  <c r="O73" i="1"/>
  <c r="O55" i="1"/>
  <c r="O89" i="1"/>
  <c r="O128" i="1"/>
  <c r="O132" i="1"/>
  <c r="O114" i="1"/>
  <c r="O11" i="1"/>
  <c r="O45" i="1"/>
  <c r="O88" i="1"/>
  <c r="O129" i="1"/>
  <c r="O160" i="1"/>
  <c r="O56" i="1"/>
  <c r="O59" i="1"/>
  <c r="O102" i="1"/>
  <c r="O67" i="1"/>
  <c r="I60" i="2" l="1"/>
  <c r="J60" i="2"/>
  <c r="F60" i="2"/>
  <c r="M28" i="3"/>
  <c r="J16" i="3"/>
  <c r="J26" i="3" s="1"/>
  <c r="I16" i="3"/>
  <c r="I26" i="3" s="1"/>
  <c r="H16" i="3"/>
  <c r="H26" i="3" s="1"/>
  <c r="L16" i="3"/>
  <c r="L26" i="3" s="1"/>
  <c r="K16" i="3"/>
  <c r="K26" i="3" s="1"/>
  <c r="I59" i="2"/>
  <c r="G16" i="3"/>
  <c r="G26" i="3" s="1"/>
  <c r="E59" i="2"/>
  <c r="F16" i="3"/>
  <c r="K44" i="2"/>
  <c r="F14" i="3"/>
  <c r="K52" i="2"/>
  <c r="K46" i="2"/>
  <c r="F17" i="3"/>
  <c r="F59" i="2"/>
  <c r="G59" i="2"/>
  <c r="H59" i="2"/>
  <c r="J59" i="2"/>
  <c r="J28" i="3" l="1"/>
  <c r="H28" i="3"/>
  <c r="L28" i="3"/>
  <c r="K28" i="3"/>
  <c r="I28" i="3"/>
  <c r="F26" i="3"/>
  <c r="D61" i="2"/>
  <c r="D59" i="2"/>
  <c r="G25" i="3"/>
  <c r="G28" i="3" l="1"/>
  <c r="G27" i="3" s="1"/>
  <c r="F27" i="3"/>
  <c r="I27" i="3"/>
  <c r="H27" i="3"/>
  <c r="J25" i="3"/>
  <c r="I25" i="3"/>
  <c r="K27" i="3"/>
  <c r="J27" i="3"/>
  <c r="L25" i="3"/>
  <c r="F25" i="3"/>
  <c r="H25" i="3"/>
  <c r="K25" i="3"/>
  <c r="L27" i="3" l="1"/>
  <c r="M27" i="3" s="1"/>
  <c r="M25" i="3"/>
  <c r="E62" i="2"/>
  <c r="E61" i="2" s="1"/>
  <c r="F62" i="2" l="1"/>
  <c r="F61" i="2" s="1"/>
  <c r="G62" i="2" l="1"/>
  <c r="G61" i="2" s="1"/>
  <c r="H62" i="2" l="1"/>
  <c r="H61" i="2" s="1"/>
  <c r="I62" i="2" l="1"/>
  <c r="I61" i="2" s="1"/>
  <c r="J62" i="2" l="1"/>
  <c r="J61" i="2" s="1"/>
</calcChain>
</file>

<file path=xl/sharedStrings.xml><?xml version="1.0" encoding="utf-8"?>
<sst xmlns="http://schemas.openxmlformats.org/spreadsheetml/2006/main" count="969" uniqueCount="607">
  <si>
    <t>Obra</t>
  </si>
  <si>
    <t>Bancos</t>
  </si>
  <si>
    <t>B.D.I.</t>
  </si>
  <si>
    <t>Encargos Sociais</t>
  </si>
  <si>
    <t xml:space="preserve">SINAPI - 03/2026 - Rio Grande do Sul
</t>
  </si>
  <si>
    <t>Desonerado: 
Horista: 0,00%
Mensalista: 46,32%</t>
  </si>
  <si>
    <t>Planilha Orçamentária Sintética Com Valor do Material e da Mão de Obra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</si>
  <si>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</si>
  <si>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</si>
  <si>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</si>
  <si>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</si>
  <si>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</si>
  <si>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</si>
  <si>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</si>
  <si>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</si>
  <si>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</si>
  <si>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</si>
  <si>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>M. O.</t>
  </si>
  <si>
    <t>MAT.</t>
  </si>
  <si>
    <t>PROJETOS DOS ITENS PARAMÉTRICOS - ETAPA 1</t>
  </si>
  <si>
    <t>SINAPI</t>
  </si>
  <si>
    <t>UN</t>
  </si>
  <si>
    <t>ETAPA 1</t>
  </si>
  <si>
    <t>SERVIÇOS PRELIMINARES</t>
  </si>
  <si>
    <t xml:space="preserve"> 103689 </t>
  </si>
  <si>
    <t>FORNECIMENTO E INSTALAÇÃO DE PLACA DE OBRA COM CHAPA GALVANIZADA E ESTRUTURA DE MADEIRA. AF_03/2022_PS</t>
  </si>
  <si>
    <t>m²</t>
  </si>
  <si>
    <t xml:space="preserve"> 97063 </t>
  </si>
  <si>
    <t>MONTAGEM E DESMONTAGEM DE ANDAIME MODULAR FACHADEIRO, COM PISO METÁLICO, PARA EDIFÍCIOS COM MULTIPLOS PAVIMENTOS (EXCLUSIVE ANDAIME E LIMPEZA). AF_03/2024</t>
  </si>
  <si>
    <t xml:space="preserve"> 98459 </t>
  </si>
  <si>
    <t>TAPUME COM TELHA METÁLICA. AF_03/2024</t>
  </si>
  <si>
    <t xml:space="preserve"> 97061 </t>
  </si>
  <si>
    <t>COLOCAÇÃO DE TELA FACHADEIRA PERIMETRAL. AF_03/2024</t>
  </si>
  <si>
    <t xml:space="preserve"> 102903 </t>
  </si>
  <si>
    <t>TORRE, COMPOSTA POR GUINCHO MECÂNICO, GUINCHO MANUAL, CABOS DE AÇO, PITEIRA E SOQUETE - MATERIAIS NA OPERAÇÃO. AF_05/2023</t>
  </si>
  <si>
    <t>H</t>
  </si>
  <si>
    <t xml:space="preserve"> 97031 </t>
  </si>
  <si>
    <t>GUARDA-CORPO EM LAJE PÓS-DESFÔRMA COM ESCORAS DE MADEIRA ESTRONCADAS NA ESTRUTURA, TRAVESSÕES DE MADEIRA E FECHAMENTO EM TELA DE POLIPROPILENO PARA EDIFÍCIOS COM ATÉ 4 PAVIMENTOS (1 MONTAGEM). AF_03/2024</t>
  </si>
  <si>
    <t>M</t>
  </si>
  <si>
    <t xml:space="preserve"> 97042 </t>
  </si>
  <si>
    <t>LINHA DE VIDA INSTALADA JUNTO AO PISO PARA EDIFÍCIOS DE ATÉ 4 PAVIMENTOS. AF_03/2024</t>
  </si>
  <si>
    <t xml:space="preserve"> 98525 </t>
  </si>
  <si>
    <t>LIMPEZA MECANIZADA DE CAMADA VEGETAL, VEGETAÇÃO E PEQUENAS ÁRVORES (DIÂMETRO DE TRONCO MENOR QUE 0,20 M), COM TRATOR DE ESTEIRAS. AF_03/2024</t>
  </si>
  <si>
    <t>ADMINISTRAÇÃO E SERVIÇOS TÉCNICOS</t>
  </si>
  <si>
    <t xml:space="preserve"> 90779 </t>
  </si>
  <si>
    <t>ENGENHEIRO CIVIL DE OBRA SENIOR COM ENCARGOS COMPLEMENTARES</t>
  </si>
  <si>
    <t xml:space="preserve"> 90778 </t>
  </si>
  <si>
    <t>ENGENHEIRO CIVIL DE OBRA PLENO COM ENCARGOS COMPLEMENTARES</t>
  </si>
  <si>
    <t xml:space="preserve"> 88255 </t>
  </si>
  <si>
    <t>AUXILIAR TÉCNICO DE ENGENHARIA COM ENCARGOS COMPLEMENTARES</t>
  </si>
  <si>
    <t xml:space="preserve"> 90780 </t>
  </si>
  <si>
    <t>MESTRE DE OBRAS COM ENCARGOS COMPLEMENTARES</t>
  </si>
  <si>
    <t xml:space="preserve"> 90776 </t>
  </si>
  <si>
    <t>ENCARREGADO GERAL COM ENCARGOS COMPLEMENTARES</t>
  </si>
  <si>
    <t xml:space="preserve"> 88243 </t>
  </si>
  <si>
    <t>AJUDANTE ESPECIALIZADO COM ENCARGOS COMPLEMENTARES</t>
  </si>
  <si>
    <t xml:space="preserve"> 90766 </t>
  </si>
  <si>
    <t>ALMOXARIFE COM ENCARGOS COMPLEMENTARES</t>
  </si>
  <si>
    <t xml:space="preserve"> 100309 </t>
  </si>
  <si>
    <t>TÉCNICO EM SEGURANÇA DO TRABALHO COM ENCARGOS COMPLEMENTARES</t>
  </si>
  <si>
    <t>DEMOLIÇÕES E REMOÇÕES</t>
  </si>
  <si>
    <t xml:space="preserve"> 97624 </t>
  </si>
  <si>
    <t>DEMOLIÇÃO DE ALVENARIA DE TIJOLO MACIÇO, DE FORMA MANUAL, SEM REAPROVEITAMENTO. AF_09/2023</t>
  </si>
  <si>
    <t>m³</t>
  </si>
  <si>
    <t xml:space="preserve"> 97626 </t>
  </si>
  <si>
    <t>DEMOLIÇÃO DE PILARES E VIGAS EM CONCRETO ARMADO, DE FORMA MANUAL, SEM REAPROVEITAMENTO. AF_09/2023</t>
  </si>
  <si>
    <t xml:space="preserve"> 97633 </t>
  </si>
  <si>
    <t>DEMOLIÇÃO DE REVESTIMENTO CERÂMICO, DE FORMA MANUAL, SEM REAPROVEITAMENTO. AF_09/2023</t>
  </si>
  <si>
    <t xml:space="preserve"> 97629 </t>
  </si>
  <si>
    <t>DEMOLIÇÃO DE LAJES, EM CONCRETO ARMADO, DE FORMA MECANIZADA COM MARTELETE, SEM REAPROVEITAMENTO. AF_09/2023</t>
  </si>
  <si>
    <t xml:space="preserve"> 97631 </t>
  </si>
  <si>
    <t>DEMOLIÇÃO DE ARGAMASSAS, DE FORMA MANUAL, SEM REAPROVEITAMENTO. AF_09/2023</t>
  </si>
  <si>
    <t xml:space="preserve"> 97647 </t>
  </si>
  <si>
    <t>REMOÇÃO DE TELHAS DE FIBROCIMENTO METÁLICA E CERÂMICA, DE FORMA MANUAL, SEM REAPROVEITAMENTO. AF_09/2023</t>
  </si>
  <si>
    <t xml:space="preserve"> 97658 </t>
  </si>
  <si>
    <t>REMOÇÃO DE TESOURAS METÁLICAS, COM VÃO MENOR QUE 8M, DE FORMA MECANIZADA, COM REAPROVEITAMENTO. AF_09/2023</t>
  </si>
  <si>
    <t xml:space="preserve"> 97652 </t>
  </si>
  <si>
    <t>REMOÇÃO DE TESOURAS DE MADEIRA, COM VÃO MAIOR OU IGUAL A 8M, DE FORMA MANUAL, SEM REAPROVEITAMENTO. AF_09/2023</t>
  </si>
  <si>
    <t xml:space="preserve"> 104803 </t>
  </si>
  <si>
    <t>REMOÇÃO CALHAS E RUFOS, DE FORMA MANUAL, SEM REAPROVEITAMENTO. AF_09/2023</t>
  </si>
  <si>
    <t xml:space="preserve"> 97663 </t>
  </si>
  <si>
    <t>REMOÇÃO DE LOUÇAS, DE FORMA MANUAL, SEM REAPROVEITAMENTO. AF_09/2023</t>
  </si>
  <si>
    <t xml:space="preserve"> 97644 </t>
  </si>
  <si>
    <t>REMOÇÃO DE PORTAS, DE FORMA MANUAL, SEM REAPROVEITAMENTO. AF_09/2023</t>
  </si>
  <si>
    <t xml:space="preserve"> 97645 </t>
  </si>
  <si>
    <t>REMOÇÃO DE JANELAS, DE FORMA MANUAL, SEM REAPROVEITAMENTO. AF_09/2023</t>
  </si>
  <si>
    <t xml:space="preserve"> 106122 </t>
  </si>
  <si>
    <t>REMOÇÃO DE ENTULHO CLASSE A (ALVENARIA, CONCRETO, ARGAMASSAS E CERÂMICOS) POR DUTO DE ENTULHO E ACONDICIONAMENTO FINAL EM CAÇAMBA ESTACIONÁRIA. EXCLUSO FRETE. AF_09/2025</t>
  </si>
  <si>
    <t xml:space="preserve"> 93591 </t>
  </si>
  <si>
    <t>TRANSPORTE COM CAMINHÃO BASCULANTE DE 14 M³, EM VIA URBANA EM LEITO NATURAL (UNIDADE: M3XKM). AF_07/2020</t>
  </si>
  <si>
    <t>M3XKM</t>
  </si>
  <si>
    <t xml:space="preserve"> 104802 </t>
  </si>
  <si>
    <t>REMOÇÃO DE TELA DE ARAME GALVANIZADO DE ALAMBRADOS PARA QUADRAS POLIESPORTIVAS, DE FORMA MANUAL, SEM REMOÇÃO DA ESTRUTURA DE SUSTENTAÇÃO, SEM REAPROVEITAMENTO. AF_09/2023</t>
  </si>
  <si>
    <t xml:space="preserve"> 97665 </t>
  </si>
  <si>
    <t>REMOÇÃO DE LUMINÁRIAS, DE FORMA MANUAL, SEM REAPROVEITAMENTO. AF_09/2023</t>
  </si>
  <si>
    <t xml:space="preserve"> 104795 </t>
  </si>
  <si>
    <t>REMOÇÃO DE CABOS ELÉTRICOS, COM SEÇÃO DE 25 MM², FORMA MANUAL, SEM REAPROVEITAMENTO. AF_09/2023</t>
  </si>
  <si>
    <t xml:space="preserve"> 97660 </t>
  </si>
  <si>
    <t>REMOÇÃO DE INTERRUPTORES/TOMADAS ELÉTRICAS, DE FORMA MANUAL, SEM REAPROVEITAMENTO. AF_09/2023</t>
  </si>
  <si>
    <t xml:space="preserve"> 104790 </t>
  </si>
  <si>
    <t>DEMOLIÇÃO DE PISO DE CONCRETO SIMPLES, DE FORMA MECANIZADA COM MARTELETE, SEM REAPROVEITAMENTO. AF_09/2023</t>
  </si>
  <si>
    <t xml:space="preserve"> 97662 </t>
  </si>
  <si>
    <t>REMOÇÃO DE TUBULAÇÕES (TUBOS E CONEXÕES) DE ÁGUA FRIA, DE FORMA MANUAL, SEM REAPROVEITAMENTO. AF_09/2023</t>
  </si>
  <si>
    <t xml:space="preserve"> 104791 </t>
  </si>
  <si>
    <t>INFRAESTRUTURA</t>
  </si>
  <si>
    <t xml:space="preserve"> 102323 </t>
  </si>
  <si>
    <t>ESCAVAÇÃO MECANIZADA DE VALA COM PROF. ATÉ 1,5 M (MÉDIA MONTANTE E JUSANTE/UMA COMPOSIÇÃO POR TRECHO), RETROESCAV. (0,26 M3), LARG. DE 0,8 M A 1,5 M, EM SOLO DE 2A CATEGORIA, EM LOCAIS COM ALTO NÍVEL DE INTERFERÊNCIA. AF_09/2024</t>
  </si>
  <si>
    <t xml:space="preserve"> 100974 </t>
  </si>
  <si>
    <t>CARGA, MANOBRA E DESCARGA DE SOLOS E MATERIAIS GRANULARES EM CAMINHÃO BASCULANTE 10 M³ - CARGA COM PÁ CARREGADEIRA (CAÇAMBA DE 1,7 A 2,8 M³ / 128 HP) E DESCARGA LIVRE (UNIDADE: M3). AF_07/2020</t>
  </si>
  <si>
    <t xml:space="preserve"> 96535 </t>
  </si>
  <si>
    <t>FABRICAÇÃO, MONTAGEM E DESMONTAGEM DE FÔRMA PARA SAPATA, EM MADEIRA SERRADA, E=25 MM, 4 UTILIZAÇÕES. AF_01/2024</t>
  </si>
  <si>
    <t xml:space="preserve"> 104920 </t>
  </si>
  <si>
    <t>ARMAÇÃO DE BLOCO, SAPATA ISOLADA, VIGA BALDRAME E SAPATA CORRIDA UTILIZANDO AÇO CA-50 DE 12,5 MM - MONTAGEM. AF_01/2024</t>
  </si>
  <si>
    <t>KG</t>
  </si>
  <si>
    <t xml:space="preserve"> 96558 </t>
  </si>
  <si>
    <t>CONCRETAGEM DE SAPATA, FCK 30 MPA, COM USO DE BOMBA - LANÇAMENTO, ADENSAMENTO E ACABAMENTO. AF_01/2024</t>
  </si>
  <si>
    <t>SUPRAESTRUTURA</t>
  </si>
  <si>
    <t xml:space="preserve"> 92268 </t>
  </si>
  <si>
    <t>FABRICAÇÃO DE FÔRMA PARA LAJES, EM CHAPA DE MADEIRA COMPENSADA PLASTIFICADA, E = 18 MM. AF_09/2020</t>
  </si>
  <si>
    <t xml:space="preserve"> 102087 </t>
  </si>
  <si>
    <t>FABRICAÇÃO DE FÔRMA PARA ESCADA DUPLA COM 2 LANCES EM "X" E LAJE PLANA, EM CHAPA DE MADEIRA COMPENSADA RESINADA, E= 17 MM. AF_11/2020</t>
  </si>
  <si>
    <t xml:space="preserve"> 92270 </t>
  </si>
  <si>
    <t>FABRICAÇÃO DE FÔRMA PARA VIGAS, COM MADEIRA SERRADA, E = 25 MM. AF_09/2020</t>
  </si>
  <si>
    <t xml:space="preserve"> 92269 </t>
  </si>
  <si>
    <t>FABRICAÇÃO DE FÔRMA PARA PILARES E ESTRUTURAS SIMILARES, EM MADEIRA SERRADA, E=25 MM. AF_09/2020</t>
  </si>
  <si>
    <t xml:space="preserve"> 92762 </t>
  </si>
  <si>
    <t>ARMAÇÃO DE PILAR OU VIGA DE ESTRUTURA CONVENCIONAL DE CONCRETO ARMADO UTILIZANDO AÇO CA-50 DE 10,0 MM - MONTAGEM. AF_06/2022</t>
  </si>
  <si>
    <t xml:space="preserve"> 104107 </t>
  </si>
  <si>
    <t>ARMAÇÃO DE PILAR OU VIGA DE ESTRUTURA DE CONCRETO ARMADO EMBUTIDA EM ALVENARIA DE VEDAÇÃO UTILIZANDO AÇO CA-50 DE 12,5 MM - MONTAGEM. AF_06/2022</t>
  </si>
  <si>
    <t xml:space="preserve"> 104111 </t>
  </si>
  <si>
    <t>ARMAÇÃO DE PILAR OU VIGA DE ESTRUTURA DE CONCRETO ARMADO EMBUTIDA EM ALVENARIA DE VEDAÇÃO UTILIZANDO AÇO CA-60 DE 5,0 MM - MONTAGEM. AF_06/2022</t>
  </si>
  <si>
    <t xml:space="preserve"> 103686 </t>
  </si>
  <si>
    <t>CONCRETAGEM DE ESCADAS, FCK=25 MPA, COM USO DE BOMBA - LANÇAMENTO, ADENSAMENTO E ACABAMENTO. AF_02/2022_PS</t>
  </si>
  <si>
    <t xml:space="preserve"> 103674 </t>
  </si>
  <si>
    <t>CONCRETAGEM DE VIGAS E LAJES, FCK=25 MPA, PARA LAJES PREMOLDADAS COM USO DE BOMBA - LANÇAMENTO, ADENSAMENTO E ACABAMENTO. AF_02/2022_PS</t>
  </si>
  <si>
    <t xml:space="preserve"> 103672 </t>
  </si>
  <si>
    <t>CONCRETAGEM DE PILARES, FCK = 25 MPA, COM USO DE BOMBA - LANÇAMENTO, ADENSAMENTO E ACABAMENTO. AF_02/2022_PS</t>
  </si>
  <si>
    <t>ALVENARIAS</t>
  </si>
  <si>
    <t xml:space="preserve"> 104721 </t>
  </si>
  <si>
    <t>PAREDE COM SISTEMA EM CHAPAS DE GESSO PARA DRYWALL, USO INTERNO, COM UMA FACE SIMPLES E OUTRA FACE DUPLA E ESTRUTURA METÁLICA COM GUIAS DUPLAS PARA PAREDES COM ÁREA LÍQUIDA MENOR QUE 6 M2, COM VÃOS. AF_07/2023_PS</t>
  </si>
  <si>
    <t xml:space="preserve"> 102253 </t>
  </si>
  <si>
    <t>DIVISORIA SANITÁRIA, TIPO CABINE, EM GRANITO CINZA POLIDO, ESP = 3CM, ASSENTADO COM ARGAMASSA COLANTE AC III-E, EXCLUSIVE FERRAGENS. AF_01/2021</t>
  </si>
  <si>
    <t xml:space="preserve"> 89299 </t>
  </si>
  <si>
    <t>ALVENARIA ESTRUTURAL DE BLOCOS CERÂMICOS 14X19X39, (ESPESSURA DE 14 CM), UTILIZANDO COLHER DE PEDREIRO E ARGAMASSA DE ASSENTAMENTO COM PREPARO MANUAL. AF_03/2023</t>
  </si>
  <si>
    <t xml:space="preserve"> 103363 </t>
  </si>
  <si>
    <t>ALVENARIA DE VEDAÇÃO DE BLOCOS CERÂMICOS FURADOS NA HORIZONTAL DE 19X19X29 CM (ESPESSURA 19 CM) E ARGAMASSA DE ASSENTAMENTO COM PREPARO MANUAL. AF_12/2021</t>
  </si>
  <si>
    <t>IMPERMEABILIZAÇÃO</t>
  </si>
  <si>
    <t xml:space="preserve"> 98546 </t>
  </si>
  <si>
    <t>IMPERMEABILIZAÇÃO DE SUPERFÍCIE COM MANTA ASFÁLTICA, UMA CAMADA, INCLUSIVE APLICAÇÃO DE PRIMER ASFÁLTICO, E=4MM. AF_09/2023</t>
  </si>
  <si>
    <t xml:space="preserve"> 98557 </t>
  </si>
  <si>
    <t xml:space="preserve"> 98571 </t>
  </si>
  <si>
    <t>PROTEÇÃO MECÂNICA DE SUPERFICIE HORIZONTAL COM CONCRETO 15 MPA, E=4CM. AF_09/2023</t>
  </si>
  <si>
    <t>COBERTURA</t>
  </si>
  <si>
    <t xml:space="preserve"> 92543 </t>
  </si>
  <si>
    <t>TRAMA DE MADEIRA COMPOSTA POR TERÇAS PARA TELHADOS DE ATÉ 2 ÁGUAS PARA TELHA ONDULADA DE FIBROCIMENTO, METÁLICA, PLÁSTICA OU TERMOACÚSTICA, INCLUSO TRANSPORTE VERTICAL. AF_07/2019</t>
  </si>
  <si>
    <t xml:space="preserve"> 94216 </t>
  </si>
  <si>
    <t>TELHAMENTO COM TELHA METÁLICA TERMOACÚSTICA E = 30 MM, COM ATÉ 2 ÁGUAS, INCLUSO IÇAMENTO. AF_07/2019</t>
  </si>
  <si>
    <t xml:space="preserve"> 94229 </t>
  </si>
  <si>
    <t>CALHA EM CHAPA DE AÇO GALVANIZADO NÚMERO 24, DESENVOLVIMENTO DE 100 CM, INCLUSO TRANSPORTE VERTICAL. AF_07/2019</t>
  </si>
  <si>
    <t xml:space="preserve"> 100327 </t>
  </si>
  <si>
    <t>RUFO EXTERNO/INTERNO EM CHAPA DE AÇO GALVANIZADO NÚMERO 26, CORTE DE 33 CM, INCLUSO IÇAMENTO. AF_07/2019</t>
  </si>
  <si>
    <t xml:space="preserve"> 92620 </t>
  </si>
  <si>
    <t>FABRICAÇÃO E INSTALAÇÃO DE TESOURA INTEIRA EM AÇO, VÃO DE 12 M, PARA TELHA ONDULADA DE FIBROCIMENTO, METÁLICA, PLÁSTICA OU TERMOACÚSTICA, INCLUSO IÇAMENTO. AF_07/2019</t>
  </si>
  <si>
    <t xml:space="preserve"> 92562 </t>
  </si>
  <si>
    <t>FABRICAÇÃO E INSTALAÇÃO DE TESOURA INTEIRA EM MADEIRA NÃO APARELHADA, VÃO DE 10 M, PARA TELHA ONDULADA DE FIBROCIMENTO, METÁLICA, PLÁSTICA OU TERMOACÚSTICA, INCLUSO IÇAMENTO. AF_07/2019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</si>
  <si>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</si>
  <si>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</si>
  <si>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>PAVIMENTAÇÃO</t>
  </si>
  <si>
    <t xml:space="preserve"> 104598 </t>
  </si>
  <si>
    <t xml:space="preserve"> 98678 </t>
  </si>
  <si>
    <t>PISO ELEVADO COM ESTRUTURA EM AÇO, COMPOSTO POR PEDESTAIS E LONGARINAS. AF_09/2020</t>
  </si>
  <si>
    <t xml:space="preserve"> 00010737 </t>
  </si>
  <si>
    <t xml:space="preserve"> 95001 </t>
  </si>
  <si>
    <t>EXECUÇÃO DE PASSEIO (CALÇADA) COM CONCRETO MOLDADO IN LOCO, FEITO EM OBRA, ACABAMENTO ESTAMPADO, ESPESSURA 6 CM, ARMADO. AF_08/2022</t>
  </si>
  <si>
    <t xml:space="preserve"> 104313 </t>
  </si>
  <si>
    <t>EXECUÇÃO DE PASSEIO (CALÇADA) COM PLACAS DE CONCRETO PRÉ-FABRICADAS, ASSENTADAS COM ARGAMASSA, PLACAS DE 100 X 100 CM, NÃO ARMADO. AF_08/2022</t>
  </si>
  <si>
    <t xml:space="preserve"> 103781 </t>
  </si>
  <si>
    <t>PISO DE GRAMA SINTÉTICA PARA QUADRA POLIESPORTIVA - FORNECIMENTO E INSTALAÇÃO. AF_03/2022</t>
  </si>
  <si>
    <t xml:space="preserve"> 98688 </t>
  </si>
  <si>
    <t>RODAPÉ EM POLIESTIRENO, ALTURA 5 CM. AF_09/2020</t>
  </si>
  <si>
    <t xml:space="preserve"> 101727 </t>
  </si>
  <si>
    <t>PISO VINÍLICO SEMI-FLEXÍVEL EM PLACAS, PADRÃO LISO, ESPESSURA 3,2 MM, FIXADO COM COLA. AF_09/2020</t>
  </si>
  <si>
    <t xml:space="preserve"> 101740 </t>
  </si>
  <si>
    <t>RODAPÉ EM ARDÓSIA ALTURA 10CM. AF_09/2020</t>
  </si>
  <si>
    <t xml:space="preserve"> 98671 </t>
  </si>
  <si>
    <t xml:space="preserve"> 104658 </t>
  </si>
  <si>
    <t>PISO PODOTÁTIL DE ALERTA OU DIRECIONAL, DE CONCRETO, ASSENTADO SOBRE ARGAMASSA. AF_03/2024</t>
  </si>
  <si>
    <t xml:space="preserve"> 101094 </t>
  </si>
  <si>
    <t>PISO PODOTÁTIL DE ALERTA OU DIRECIONAL, DE BORRACHA, ASSENTADO SOBRE ARGAMASSA. AF_05/2020</t>
  </si>
  <si>
    <t>REVESTIMENTOS EXTERNOS</t>
  </si>
  <si>
    <t xml:space="preserve"> 87905 </t>
  </si>
  <si>
    <t>CHAPISCO APLICADO EM ALVENARIA (COM PRESENÇA DE VÃOS) E ESTRUTURAS DE CONCRETO DE FACHADA, COM COLHER DE PEDREIRO. ARGAMASSA TRAÇO 1:3 COM PREPARO EM BETONEIRA 400L. AF_10/2022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</si>
  <si>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</si>
  <si>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</si>
  <si>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96126 </t>
  </si>
  <si>
    <t>APLICAÇÃO MANUAL DE MASSA ACRÍLICA EM PANOS DE FACHADA COM PRESENÇA DE VÃOS, DE EDIFÍCIOS DE MÚLTIPLOS PAVIMENTOS, UMA DEMÃO. AF_03/2024</t>
  </si>
  <si>
    <t>REVESTIMENTOS INTERNOS</t>
  </si>
  <si>
    <t xml:space="preserve"> 104953 </t>
  </si>
  <si>
    <t>MASSA ÚNICA, EM ARGAMASSA INDUSTRIALIZADA, PREPARO MECÂNICO, APLICADA COM EQUIPAMENTO DE MISTURA E PROJEÇÃO DE ARGAMASSA EM PAREDES INTERNAS, E = 17,5MM, COM TALISCAS. AF_03/2024</t>
  </si>
  <si>
    <t xml:space="preserve"> 104611 </t>
  </si>
  <si>
    <t>REVESTIMENTO CERÂMICO PARA PAREDES INTERNAS COM PLACAS TIPO ESMALTADA DE DIMENSÕES 60X60 CM APLICADAS NA ALTURA INTEIRA DAS PAREDES. AF_02/2023_PE</t>
  </si>
  <si>
    <t xml:space="preserve"> 00010842 </t>
  </si>
  <si>
    <t>PINTURA</t>
  </si>
  <si>
    <t xml:space="preserve"> 98397 </t>
  </si>
  <si>
    <t>PINTURA ANTICORROSIVA DE DUTO METÁLICO. AF_03/2024</t>
  </si>
  <si>
    <t xml:space="preserve"> 104642 </t>
  </si>
  <si>
    <t>PINTURA LÁTEX ACRÍLICA STANDARD, APLICAÇÃO MANUAL EM PAREDES, DUAS DEMÃOS. AF_04/2023</t>
  </si>
  <si>
    <t xml:space="preserve"> 102234 </t>
  </si>
  <si>
    <t>PINTURA IMUNIZANTE PARA MADEIRA, 2 DEMÃOS. AF_01/2021</t>
  </si>
  <si>
    <t xml:space="preserve"> 88485 </t>
  </si>
  <si>
    <t>FUNDO SELADOR ACRÍLICO, APLICAÇÃO MANUAL EM PAREDE, UMA DEMÃO. AF_04/2023</t>
  </si>
  <si>
    <t xml:space="preserve"> 88488 </t>
  </si>
  <si>
    <t>PINTURA LÁTEX ACRÍLICA PREMIUM, APLICAÇÃO MANUAL EM TETO, DUAS DEMÃOS. AF_04/2023</t>
  </si>
  <si>
    <t xml:space="preserve"> 88496 </t>
  </si>
  <si>
    <t>EMASSAMENTO COM MASSA LÁTEX, APLICAÇÃO EM TETO, DUAS DEMÃOS, LIXAMENTO MANUAL. AF_04/2023</t>
  </si>
  <si>
    <t>ESQUADRIAS</t>
  </si>
  <si>
    <t xml:space="preserve"> 102262 </t>
  </si>
  <si>
    <t>PORTA DE CABINE SANITÁRIA EM VIDRO TEMPERADO 8MM, INCLUSIVE DOBRADIÇAS, BATENTE, TRINCO E CONTRA-TRINCO. AF_01/2021</t>
  </si>
  <si>
    <t xml:space="preserve"> 90838 </t>
  </si>
  <si>
    <t>PORTA CORTA-FOGO 90X210X4CM - FORNECIMENTO E INSTALAÇÃO. AF_12/2019</t>
  </si>
  <si>
    <t xml:space="preserve"> 00039621 </t>
  </si>
  <si>
    <t>BARRA ANTIPANICO DUPLA, CEGA EM LADO OPOSTO, COR CINZA</t>
  </si>
  <si>
    <t>PAR</t>
  </si>
  <si>
    <t xml:space="preserve"> 00039620 </t>
  </si>
  <si>
    <t>BARRA ANTIPANICO SIMPLES, COM FECHADURA LADO OPOSTO, COR CINZA</t>
  </si>
  <si>
    <t xml:space="preserve"> 91338 </t>
  </si>
  <si>
    <t>PORTA DE ALUMÍNIO DE ABRIR COM LAMBRI, COM GUARNIÇÃO, FIXAÇÃO COM PARAFUSOS - FORNECIMENTO E INSTALAÇÃO. AF_12/2019</t>
  </si>
  <si>
    <t xml:space="preserve"> 94569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</si>
  <si>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</si>
  <si>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99850 </t>
  </si>
  <si>
    <t>GUARDA-CORPO DE AÇO GALVANIZADO DE 1,10M, DUPLO CORRIMÃO, MONTANTES TUBULARES DE 100X50MM ESPAÇADOS 1,20M, TRAVESSA SUPERIOR DE 3", GRADIL EM CANTONEIRA 51X51X4,8 MM E BARRAS CHATAS NA VERTICAL DE 32X4,8 MM, FIXADO COM CHUMBADOR MECÂNICO. AF_04/2019</t>
  </si>
  <si>
    <t xml:space="preserve"> 99858 </t>
  </si>
  <si>
    <t>CORRIMÃO DUPLO, DIÂMETRO EXTERNO = 1 1/2", EM AÇO GALVANIZADO. AF_04/2019</t>
  </si>
  <si>
    <t xml:space="preserve"> 100701 </t>
  </si>
  <si>
    <t>PORTA DE FERRO, DE ABRIR, TIPO GRADE COM CHAPA, COM GUARNIÇÕES. AF_12/2019</t>
  </si>
  <si>
    <t xml:space="preserve"> 102176 </t>
  </si>
  <si>
    <t>INSTALAÇÃO DE VIDRO LAMINADO, E = 8 MM (4+4), ENCAIXADO EM PERFIL U. AF_01/2021_PS</t>
  </si>
  <si>
    <t xml:space="preserve"> 100702 </t>
  </si>
  <si>
    <t>PORTA DE CORRER DE ALUMÍNIO, COM DUAS FOLHAS PARA VIDRO, INCLUSO VIDRO LISO INCOLOR, FECHADURA E PUXADOR, SEM ALIZAR. AF_12/2019</t>
  </si>
  <si>
    <t xml:space="preserve"> 91341 </t>
  </si>
  <si>
    <t>PORTA EM ALUMÍNIO DE ABRIR TIPO VENEZIANA COM GUARNIÇÃO, FIXAÇÃO COM PARAFUSOS - FORNECIMENTO E INSTALAÇÃO. AF_12/2019</t>
  </si>
  <si>
    <t xml:space="preserve"> 102178 </t>
  </si>
  <si>
    <t>INSTALAÇÃO DE VIDRO LAMINADO, E = 15 MM (5+5+5), ENCAIXADO EM PERFIL U. AF_01/2021_PS</t>
  </si>
  <si>
    <t xml:space="preserve"> 102619 </t>
  </si>
  <si>
    <t>CAIXA D´ÁGUA EM POLIÉSTER REFORÇADO COM FIBRA DE VIDRO, 10000 LITROS - FORNECIMENTO E INSTALAÇÃO. AF_06/2021</t>
  </si>
  <si>
    <t>LOUÇAS E METAIS</t>
  </si>
  <si>
    <t xml:space="preserve"> 95472 </t>
  </si>
  <si>
    <t>VASO SANITARIO SIFONADO CONVENCIONAL PARA PCD SEM FURO FRONTAL COM LOUÇA BRANCA SEM ASSENTO, INCLUSO CONJUNTO DE LIGAÇÃO PARA BACIA SANITÁRIA AJUSTÁVEL - FORNECIMENTO E INSTALAÇÃO. AF_01/2020</t>
  </si>
  <si>
    <t xml:space="preserve"> 95470 </t>
  </si>
  <si>
    <t>VASO SANITARIO SIFONADO CONVENCIONAL COM LOUÇA BRANCA, INCLUSO CONJUNTO DE LIGAÇÃO PARA BACIA SANITÁRIA AJUSTÁVEL - FORNECIMENTO E INSTALAÇÃO. AF_01/2020</t>
  </si>
  <si>
    <t xml:space="preserve"> 99635 </t>
  </si>
  <si>
    <t>VÁLVULA DE DESCARGA METÁLICA, BASE 1 1/2", ACABAMENTO METALICO CROMADO - FORNECIMENTO E INSTALAÇÃO. AF_08/2021</t>
  </si>
  <si>
    <t xml:space="preserve"> 100849 </t>
  </si>
  <si>
    <t>ASSENTO SANITÁRIO CONVENCIONAL - FORNECIMENTO E INSTALACAO. AF_01/2020</t>
  </si>
  <si>
    <t xml:space="preserve"> 95546 </t>
  </si>
  <si>
    <t>KIT DE ACESSORIOS PARA BANHEIRO EM METAL CROMADO, 5 PECAS, INCLUSO FIXAÇÃO. AF_01/2020</t>
  </si>
  <si>
    <t xml:space="preserve"> 100859 </t>
  </si>
  <si>
    <t>MICTÓRIO SIFONADO LOUÇA BRANCA PARA ENTRADA DE ÁGUA EMBUTIDA - PADRÃO ALTO - FORNECIMENTO E INSTALAÇÃO. AF_01/2020</t>
  </si>
  <si>
    <t xml:space="preserve"> 86922 </t>
  </si>
  <si>
    <t>TANQUE DE LOUÇA BRANCA SUSPENSO, 18L OU EQUIVALENTE, INCLUSO SIFÃO TIPO GARRAFA EM METAL CROMADO, VÁLVULA METÁLICA E TORNEIRA DE METAL CROMADO PADRÃO MÉDIO - FORNECIMENTO E INSTALAÇÃO. AF_01/2020</t>
  </si>
  <si>
    <t xml:space="preserve"> 93441 </t>
  </si>
  <si>
    <t>BANCADA GRANITO CINZA 150 X 60 CM, COM CUBA DE EMBUTIR DE AÇO, VÁLVULA AMERICANA EM METAL, SIFÃO FLEXÍVEL EM PVC, ENGATE FLEXÍVEL 30 CM, TORNEIRA CROMADA LONGA, DE PAREDE, 1/2" OU 3/4", P/ COZINHA, PADRÃO POPULAR - FORNEC. E INSTALAÇÃO. AF_01/2020</t>
  </si>
  <si>
    <t xml:space="preserve"> 86889 </t>
  </si>
  <si>
    <t>BANCADA DE GRANITO CINZA POLIDO, DE 1,50 X 0,60 M, PARA PIA DE COZINHA - FORNECIMENTO E INSTALAÇÃO. AF_01/2020</t>
  </si>
  <si>
    <t xml:space="preserve"> 86942 </t>
  </si>
  <si>
    <t>LAVATÓRIO LOUÇA BRANCA SUSPENSO, 29,5 X 39CM OU EQUIVALENTE, PADRÃO POPULAR, INCLUSO SIFÃO TIPO GARRAFA EM PVC, VÁLVULA E ENGATE FLEXÍVEL 30CM EM PLÁSTICO E TORNEIRA CROMADA DE MESA, PADRÃO POPULAR - FORNECIMENTO E INSTALAÇÃO. AF_01/2020</t>
  </si>
  <si>
    <t xml:space="preserve"> 86947 </t>
  </si>
  <si>
    <t>BANCADA MÁRMORE BRANCO, 50 X 60 CM, INCLUSO CUBA DE EMBUTIR OVAL EM LOUÇA BRANCA 35 X 50 CM, VÁLVULA, SIFÃO TIPO GARRAFA E ENGATE FLEXÍVEL 40 CM EM METAL CROMADO E APARELHO MISTURADOR DE MESA, PADRÃO MÉDIO - FORNEC. E INSTALAÇÃO. AF_01/2020</t>
  </si>
  <si>
    <t xml:space="preserve"> 102146 </t>
  </si>
  <si>
    <t>ESPELHO CRISTAL, ESPESSURA 4 MM, SEM MOLDURA, ADERIDO COM ADESIVO FIXA-ESPELHO E FITA DUPLA-FACE. AF_01/2021</t>
  </si>
  <si>
    <t xml:space="preserve"> 95544 </t>
  </si>
  <si>
    <t>PAPELEIRA DE PAREDE EM METAL CROMADO SEM TAMPA, INCLUSO FIXAÇÃO. AF_01/2020</t>
  </si>
  <si>
    <t xml:space="preserve"> 95547 </t>
  </si>
  <si>
    <t>SABONETEIRA PLASTICA TIPO DISPENSER PARA SABONETE LIQUIDO COM RESERVATORIO 800 A 1500 ML, INCLUSO FIXAÇÃO. AF_01/2020</t>
  </si>
  <si>
    <t xml:space="preserve"> 103307 </t>
  </si>
  <si>
    <t>INSTALAÇÃO DE LIXEIRA METÁLICA DUPLA, CAPACIDADE DE 60 L, EM TUBO DE AÇO CARBONO E CESTOS EM CHAPA DE AÇO COM PINTURA ELETROSTÁTICA, SOBRE PISO DE CONCRETO EXISTENTE. AF_11/2021</t>
  </si>
  <si>
    <t>FORRO</t>
  </si>
  <si>
    <t xml:space="preserve"> 104757 </t>
  </si>
  <si>
    <t>FORRO EM FIBRA MINERAL, PARA AMBIENTES COMERCIAIS, INCLUSIVE ESTRUTURA DE FIXAÇÃO. AF_08/2023</t>
  </si>
  <si>
    <t xml:space="preserve"> 96123 </t>
  </si>
  <si>
    <t>EQUIPAMENTOS</t>
  </si>
  <si>
    <t xml:space="preserve"> 102092 </t>
  </si>
  <si>
    <t>ESCADA TIPO MARINHEIRO EM TUBO AÇO GALVANIZADO 1 1/2", COM GUARDA-CORPO, PARA ALTURAS DE ATÉ 3 M, FIXADA COM CHUMBADOR MECÂNICO. AF_11/2020</t>
  </si>
  <si>
    <t>INSTALAÇÕES CLIMATIZAÇÃO</t>
  </si>
  <si>
    <t>INSTALAÇÕES ELÉTRICAS</t>
  </si>
  <si>
    <t>INSTALAÇÕES PPCI</t>
  </si>
  <si>
    <t>INSTALAÇÕES HIDROSSANITÁRIO (ESGOTO, ÁGUA FRIA)</t>
  </si>
  <si>
    <t>INSTALAÇÕES GÁS</t>
  </si>
  <si>
    <t>SERVIÇOS FINAIS</t>
  </si>
  <si>
    <t>Totais -&gt;</t>
  </si>
  <si>
    <t/>
  </si>
  <si>
    <t>Total sem BDI</t>
  </si>
  <si>
    <t>Total do BDI</t>
  </si>
  <si>
    <t>Total Geral</t>
  </si>
  <si>
    <t>PARAMÉTRICO 01</t>
  </si>
  <si>
    <t>VB</t>
  </si>
  <si>
    <t>PARAMÉTRICO 02</t>
  </si>
  <si>
    <t>PARAMÉTRICO 03</t>
  </si>
  <si>
    <t>INSTALAÇÕES PLUVIAL</t>
  </si>
  <si>
    <t>INSTALAÇÕES PLUVIAIS</t>
  </si>
  <si>
    <t>INSTALAÇÕES ELÉTRICAS E SPDA</t>
  </si>
  <si>
    <t>PARAMÉTRICO 04</t>
  </si>
  <si>
    <t>PARAMÉTRICO 05</t>
  </si>
  <si>
    <t>INSTALAÇÕES HIDROSSANITÁRIAS</t>
  </si>
  <si>
    <t>PARAMÉTRICO 06</t>
  </si>
  <si>
    <t>PARAMÉTRICO 07</t>
  </si>
  <si>
    <t>LIMPEZA FINAL DE OBRA</t>
  </si>
  <si>
    <t>MAT.RISCO</t>
  </si>
  <si>
    <t>2.1.1</t>
  </si>
  <si>
    <t>2.1.2</t>
  </si>
  <si>
    <t>2.1.3</t>
  </si>
  <si>
    <t>2.1.4</t>
  </si>
  <si>
    <t>2.1.5</t>
  </si>
  <si>
    <t>2.1.6</t>
  </si>
  <si>
    <t>DEMOLIÇÃO DE ARGAMASSAS FORRO, DE FORMA DE FORMA MECANIZADA COM MARTELETE, SEM REAPROVEITAMENTO. AF_09/2023</t>
  </si>
  <si>
    <t>IMPERMEABILIZAÇÃO DE SUPERFÍCIE COM EMULSÃO ASFÁLTICA, 2 DEMÃOS. AF_09/2023 (FUNDAÇÕES  E FOSSO ELEVADOR)</t>
  </si>
  <si>
    <t>REVESTIMENTO CERÂMICO PARA PISO COM PLACAS TIPO PORCELANATO RETIFICADO DE DIMENSÕES 80X80 CM APLICADA EM AMBIENTES DE ÁREA MAIOR QUE 10 M². AF_02/2023_PE</t>
  </si>
  <si>
    <t>PEDRA BASALTO (PISO E DEGRAU DE ESCADAS), CACO, RETALHO, CAVACO, TIPO MIRACEMA, MADEIRA, PADUANA, RACHINHA, SANTA ISABEL OU OUTRAS SIMILARES, E= *1,0 A *2,0 CM</t>
  </si>
  <si>
    <t>PEITORIL EMBASALTO APLICADO EM AMBIENTES INTERNOS. AF_09/2020</t>
  </si>
  <si>
    <t>SOLEIRA EM BASALTO APLICADO EM AMBIENTES INTERNOS. AF_09/2020</t>
  </si>
  <si>
    <t>REVESTIMENTO GRANITO, POLIDO, TIPO PRETO SAO GABRIEL/ TIJUCA OU OUTROS EQUIVALENTES DA REGIAO, FORMATO MENOR OU IGUAL A 3025 CM2, E= *2* CM (CHURRASQUEIRA)</t>
  </si>
  <si>
    <t>RESERVATÓRIOS</t>
  </si>
  <si>
    <t>ACABAMENTOS PARA FORRO (MOLDURA EM DRYWALL, COM LARGURA DE 15 CM). AF_08/2023_PS (CORTINEIRO)</t>
  </si>
  <si>
    <t>ELEVADOR 3 PARADAS, 12 PASSAGEIROS, FREQ.VARIÁVEL, CAIXA 215x240cm</t>
  </si>
  <si>
    <t>PLATAFORMA ELEVATÓRIA PARA ACESSIBILIDADE PNE</t>
  </si>
  <si>
    <t>KIT EXAUSTOR COZINHA</t>
  </si>
  <si>
    <t>ITEM</t>
  </si>
  <si>
    <t>DESCRIÇÃO</t>
  </si>
  <si>
    <t>VALOR</t>
  </si>
  <si>
    <t>MÊS 1</t>
  </si>
  <si>
    <t>MÊS 2</t>
  </si>
  <si>
    <t>MÊS 3</t>
  </si>
  <si>
    <t>MÊS 4</t>
  </si>
  <si>
    <t>MÊS 5</t>
  </si>
  <si>
    <t>MÊS 6</t>
  </si>
  <si>
    <t>MÊS 7</t>
  </si>
  <si>
    <t>TOTAL</t>
  </si>
  <si>
    <t>2.1</t>
  </si>
  <si>
    <t xml:space="preserve"> IMPERMEABILIZAÇÃO</t>
  </si>
  <si>
    <t xml:space="preserve"> INSTALAÇÕES HIDROSSANITÁRIO (ESGOTO, ÁGUA FRIA)</t>
  </si>
  <si>
    <t>TOTAL GLOBAL</t>
  </si>
  <si>
    <t>MENSAL (%)</t>
  </si>
  <si>
    <t>MENSAL (R$)</t>
  </si>
  <si>
    <t>ACUMULADO (%)</t>
  </si>
  <si>
    <t>ACUMULADO (R$)</t>
  </si>
  <si>
    <t>COT 01</t>
  </si>
  <si>
    <t>COT 02</t>
  </si>
  <si>
    <t>COT 03</t>
  </si>
  <si>
    <t>______________________________________________________
ENG° MATHEUS PETTER BARTH
Setor de Engenharia</t>
  </si>
  <si>
    <t>______________________________________________________ARQ° FREDERICO ROMALDO  ELY BIRKHOLZ
Setor de Engenharia</t>
  </si>
  <si>
    <t>_________________________________________________
ENG° MATHEUS PETTER BARTH
Setor de Engenharia</t>
  </si>
  <si>
    <t>_____________________________                   ARQ° FREDERICO ROMALDO  ELY BIRKHOLZ
Setor de Engenharia</t>
  </si>
  <si>
    <t>1.1</t>
  </si>
  <si>
    <t>1.1.1</t>
  </si>
  <si>
    <t>1.1.2</t>
  </si>
  <si>
    <t>1.1.3</t>
  </si>
  <si>
    <t>1.1.4</t>
  </si>
  <si>
    <t>1.1.5</t>
  </si>
  <si>
    <t>2.1.7</t>
  </si>
  <si>
    <t>2.1.8</t>
  </si>
  <si>
    <t>2.2</t>
  </si>
  <si>
    <t>2.2.1</t>
  </si>
  <si>
    <t>2.2.2</t>
  </si>
  <si>
    <t>2.2.3</t>
  </si>
  <si>
    <t>2.2.4</t>
  </si>
  <si>
    <t>2.2.5</t>
  </si>
  <si>
    <t>2.2.6</t>
  </si>
  <si>
    <t>2.2.7</t>
  </si>
  <si>
    <t>2.2.8</t>
  </si>
  <si>
    <t>2.3</t>
  </si>
  <si>
    <t>2.3.1</t>
  </si>
  <si>
    <t>2.3.2</t>
  </si>
  <si>
    <t>2.3.3</t>
  </si>
  <si>
    <t>2.3.4</t>
  </si>
  <si>
    <t>2.3.5</t>
  </si>
  <si>
    <t>2.3.6</t>
  </si>
  <si>
    <t>2.3.7</t>
  </si>
  <si>
    <t>2.3.8</t>
  </si>
  <si>
    <t>2.3.9</t>
  </si>
  <si>
    <t>2.3.10</t>
  </si>
  <si>
    <t>2.3.11</t>
  </si>
  <si>
    <t>2.3.12</t>
  </si>
  <si>
    <t>2.3.13</t>
  </si>
  <si>
    <t>2.3.14</t>
  </si>
  <si>
    <t>2.3.15</t>
  </si>
  <si>
    <t>2.3.16</t>
  </si>
  <si>
    <t>2.3.17</t>
  </si>
  <si>
    <t>2.3.18</t>
  </si>
  <si>
    <t>2.3.19</t>
  </si>
  <si>
    <t>2.3.20</t>
  </si>
  <si>
    <t>2.3.21</t>
  </si>
  <si>
    <t>2.3.22</t>
  </si>
  <si>
    <t>2.3.23</t>
  </si>
  <si>
    <t>2.4</t>
  </si>
  <si>
    <t>2.4.1</t>
  </si>
  <si>
    <t>2.4.2</t>
  </si>
  <si>
    <t>2.4.3</t>
  </si>
  <si>
    <t>2.4.4</t>
  </si>
  <si>
    <t>2.4.5</t>
  </si>
  <si>
    <t>2.5</t>
  </si>
  <si>
    <t>2.5.1</t>
  </si>
  <si>
    <t>2.5.2</t>
  </si>
  <si>
    <t>2.5.3</t>
  </si>
  <si>
    <t>2.5.4</t>
  </si>
  <si>
    <t>2.5.5</t>
  </si>
  <si>
    <t>2.5.6</t>
  </si>
  <si>
    <t>2.5.7</t>
  </si>
  <si>
    <t>2.5.8</t>
  </si>
  <si>
    <t>2.5.9</t>
  </si>
  <si>
    <t>2.5.10</t>
  </si>
  <si>
    <t>2.6</t>
  </si>
  <si>
    <t>2.6.1</t>
  </si>
  <si>
    <t>2.6.2</t>
  </si>
  <si>
    <t>2.6.3</t>
  </si>
  <si>
    <t>2.6.4</t>
  </si>
  <si>
    <t>2.7</t>
  </si>
  <si>
    <t>2.7.1</t>
  </si>
  <si>
    <t>2.7.2</t>
  </si>
  <si>
    <t>2.7.3</t>
  </si>
  <si>
    <t>2.8</t>
  </si>
  <si>
    <t>2.8.1</t>
  </si>
  <si>
    <t>2.8.2</t>
  </si>
  <si>
    <t>2.8.3</t>
  </si>
  <si>
    <t>2.8.4</t>
  </si>
  <si>
    <t>2.8.5</t>
  </si>
  <si>
    <t>2.8.6</t>
  </si>
  <si>
    <t>2.8.7</t>
  </si>
  <si>
    <t>2.9</t>
  </si>
  <si>
    <t>2.9.1</t>
  </si>
  <si>
    <t>2.9.2</t>
  </si>
  <si>
    <t>2.9.3</t>
  </si>
  <si>
    <t>2.9.4</t>
  </si>
  <si>
    <t>2.9.5</t>
  </si>
  <si>
    <t>2.9.6</t>
  </si>
  <si>
    <t>2.9.7</t>
  </si>
  <si>
    <t>2.9.8</t>
  </si>
  <si>
    <t>2.9.9</t>
  </si>
  <si>
    <t>2.9.10</t>
  </si>
  <si>
    <t>2.9.11</t>
  </si>
  <si>
    <t>2.9.12</t>
  </si>
  <si>
    <t>2.9.13</t>
  </si>
  <si>
    <t>2.10</t>
  </si>
  <si>
    <t>2.10.1</t>
  </si>
  <si>
    <t>2.10.2</t>
  </si>
  <si>
    <t>2.10.3</t>
  </si>
  <si>
    <t>2.11</t>
  </si>
  <si>
    <t>2.11.1</t>
  </si>
  <si>
    <t>2.11.2</t>
  </si>
  <si>
    <t>2.11.3</t>
  </si>
  <si>
    <t>2.11.4</t>
  </si>
  <si>
    <t>2.11.5</t>
  </si>
  <si>
    <t>2.12</t>
  </si>
  <si>
    <t>2.12.1</t>
  </si>
  <si>
    <t>2.12.2</t>
  </si>
  <si>
    <t>2.12.3</t>
  </si>
  <si>
    <t>2.12.4</t>
  </si>
  <si>
    <t>2.12.5</t>
  </si>
  <si>
    <t>2.12.6</t>
  </si>
  <si>
    <t>2.13</t>
  </si>
  <si>
    <t>2.13.1</t>
  </si>
  <si>
    <t>2.13.2</t>
  </si>
  <si>
    <t>2.13.3</t>
  </si>
  <si>
    <t>2.13.4</t>
  </si>
  <si>
    <t>2.13.5</t>
  </si>
  <si>
    <t>2.13.6</t>
  </si>
  <si>
    <t>2.13.7</t>
  </si>
  <si>
    <t>2.13.8</t>
  </si>
  <si>
    <t>2.13.9</t>
  </si>
  <si>
    <t>2.13.10</t>
  </si>
  <si>
    <t>2.13.11</t>
  </si>
  <si>
    <t>2.13.12</t>
  </si>
  <si>
    <t>2.13.13</t>
  </si>
  <si>
    <t>2.14</t>
  </si>
  <si>
    <t>2.14.1</t>
  </si>
  <si>
    <t>2.15</t>
  </si>
  <si>
    <t>2.15.1</t>
  </si>
  <si>
    <t>2.15.2</t>
  </si>
  <si>
    <t>2.15.3</t>
  </si>
  <si>
    <t>2.15.4</t>
  </si>
  <si>
    <t>2.15.5</t>
  </si>
  <si>
    <t>2.15.6</t>
  </si>
  <si>
    <t>2.15.7</t>
  </si>
  <si>
    <t>2.15.8</t>
  </si>
  <si>
    <t>2.15.9</t>
  </si>
  <si>
    <t>2.15.10</t>
  </si>
  <si>
    <t>2.15.11</t>
  </si>
  <si>
    <t>2.15.12</t>
  </si>
  <si>
    <t>2.15.13</t>
  </si>
  <si>
    <t>2.15.14</t>
  </si>
  <si>
    <t>2.15.15</t>
  </si>
  <si>
    <t>2.16</t>
  </si>
  <si>
    <t>2.16.1</t>
  </si>
  <si>
    <t>2.16.2</t>
  </si>
  <si>
    <t>2.17</t>
  </si>
  <si>
    <t>2.17.1</t>
  </si>
  <si>
    <t>2.17.2</t>
  </si>
  <si>
    <t>2.17.3</t>
  </si>
  <si>
    <t>2.17.4</t>
  </si>
  <si>
    <t>2.18</t>
  </si>
  <si>
    <t>2.18.1</t>
  </si>
  <si>
    <t>2.19</t>
  </si>
  <si>
    <t>2.19.1</t>
  </si>
  <si>
    <t>2.20</t>
  </si>
  <si>
    <t>2.20.1</t>
  </si>
  <si>
    <t>2.21</t>
  </si>
  <si>
    <t>2.21.1</t>
  </si>
  <si>
    <t>2.22</t>
  </si>
  <si>
    <t>2.22.1</t>
  </si>
  <si>
    <t>2.23</t>
  </si>
  <si>
    <t>2.23.1</t>
  </si>
  <si>
    <t>2.24</t>
  </si>
  <si>
    <t>2.24.1</t>
  </si>
  <si>
    <t>2.24.2</t>
  </si>
  <si>
    <t>TRUNC TOTAL</t>
  </si>
  <si>
    <t>TRUNC BDI</t>
  </si>
  <si>
    <t>25,0% - COMPOSIÇÕES - MAT + M.O. (EM VERDE)
15,0% - INSUMOS - SOMENTE MAT. (EM AMARELO)</t>
  </si>
  <si>
    <t>BDI</t>
  </si>
  <si>
    <t>MAT + MO</t>
  </si>
  <si>
    <t>ENGENHEIRO CIVIL - PROJETO ESTRUTURAL</t>
  </si>
  <si>
    <t>ENGENHEIRO ELETRICISTA - PROJETO INSTALAÇÕES ELÉTRICAS E SPDA</t>
  </si>
  <si>
    <t>ENGENHEIRO CIVIL - PROJETO HIDROSSANITÁRIO</t>
  </si>
  <si>
    <t>ENGENHEIRO CIVIL - PROJETO PPCI</t>
  </si>
  <si>
    <t>ENGENHEIRO CIVIL - PROJETO DE REFORÇO E RECUPERAÇÃO ESTRUTURAL + LAUDO DE ESTABILIDADE</t>
  </si>
  <si>
    <t>2.2.9</t>
  </si>
  <si>
    <t>MATRIZ DE RISCO - Risco remunerado pela Contingência técnica - 3,67% do valor total</t>
  </si>
  <si>
    <t>Seguro de Risco de Engenharia</t>
  </si>
  <si>
    <t>COT 4</t>
  </si>
  <si>
    <t>Próprio</t>
  </si>
  <si>
    <t>PREFEITURA MUNICIPAL DE ESTRELA/RS</t>
  </si>
  <si>
    <t>EVENTOGRAMA - 7 MESES</t>
  </si>
  <si>
    <t>EVENTO</t>
  </si>
  <si>
    <t>Nº ITEM DO
ORÇAMENTO</t>
  </si>
  <si>
    <t>SERVIÇOS VINCULADOS</t>
  </si>
  <si>
    <t>MARCO FÍSICO</t>
  </si>
  <si>
    <t>MÊS 01</t>
  </si>
  <si>
    <t>MÊS 02</t>
  </si>
  <si>
    <t>MÊS 03</t>
  </si>
  <si>
    <t>MÊS 04</t>
  </si>
  <si>
    <t>MÊS 05</t>
  </si>
  <si>
    <t>MÊS 06</t>
  </si>
  <si>
    <t>MÊS 07</t>
  </si>
  <si>
    <t>TOTAL DO EVENTO</t>
  </si>
  <si>
    <t>Projetos executivos dos itens paramétricos</t>
  </si>
  <si>
    <t>Projetos estrutural, instalações elétricas e SPDA, hidrossanitário, PPCI e reforço/recuperação estrutural com laudo de estabilidade.</t>
  </si>
  <si>
    <t>Projetos executivos da Etapa 1 entregues, compatibilizados e aptos à execução.</t>
  </si>
  <si>
    <t>Implantação, preliminares, demolições e infraestrutura inicial</t>
  </si>
  <si>
    <t>2.1;2.3;2.4</t>
  </si>
  <si>
    <t>Placa, tapumes, andaimes, tela fachadeira, linhas de vida, limpeza, demolições, remoções, escavações, formas, armaduras e concretagem de sapatas.</t>
  </si>
  <si>
    <t>Obra implantada, canteiro protegido, demolições executadas e infraestrutura inicial concluída.</t>
  </si>
  <si>
    <t>Administração local e serviços técnicos</t>
  </si>
  <si>
    <t>Engenheiro civil sênior, engenheiro pleno, auxiliar técnico, mestre de obras, encarregado, almoxarife, ajudante especializado e técnico de segurança.</t>
  </si>
  <si>
    <t>Administração técnica da obra executada proporcionalmente ao avanço físico previsto.</t>
  </si>
  <si>
    <t>Supraestrutura e impermeabilizações iniciais</t>
  </si>
  <si>
    <t>2.5;2.7</t>
  </si>
  <si>
    <t>Formas, armaduras e concretagens de pilares, vigas, lajes e escadas; impermeabilização com manta/emulsão asfáltica e proteção mecânica.</t>
  </si>
  <si>
    <t>Estrutura principal executada e áreas previstas impermeabilizadas.</t>
  </si>
  <si>
    <t>Alvenarias, divisórias e fechamentos internos</t>
  </si>
  <si>
    <t>Paredes em drywall, divisórias sanitárias, alvenaria estrutural e alvenaria de vedação.</t>
  </si>
  <si>
    <t>Fechamentos e compartimentações principais executados.</t>
  </si>
  <si>
    <t>Cobertura</t>
  </si>
  <si>
    <t>Estrutura de madeira/aço, terças, tesouras, telhamento termoacústico, calhas e rufos.</t>
  </si>
  <si>
    <t>Cobertura executada e arrematada, com proteção superior da edificação concluída.</t>
  </si>
  <si>
    <t>Revestimentos externos</t>
  </si>
  <si>
    <t>Chapisco, emboço/massa única e massa acrílica em fachadas.</t>
  </si>
  <si>
    <t>Fachadas preparadas e revestimentos externos concluídos.</t>
  </si>
  <si>
    <t>Revestimentos internos</t>
  </si>
  <si>
    <t>Chapisco, emboço/massa única, massa projetada, revestimentos cerâmicos internos e revestimento em granito.</t>
  </si>
  <si>
    <t>Revestimentos internos concluídos e bases prontas para acabamento final.</t>
  </si>
  <si>
    <t>Instalações hidrossanitárias, pluviais e gás</t>
  </si>
  <si>
    <t>2.20;2.22;2.23</t>
  </si>
  <si>
    <t>Instalações pluviais, esgoto, água fria e gás, incluindo redes, tubulações, conexões e complementos.</t>
  </si>
  <si>
    <t>Redes hidrossanitárias, pluviais e gás executadas e passíveis de conferência.</t>
  </si>
  <si>
    <t>Pavimentações, pisos, soleiras e podotáteis</t>
  </si>
  <si>
    <t>Porcelanato, piso elevado, piso basalto, passeios, placas pré-fabricadas, grama sintética, rodapés, peitoris, soleiras e podotáteis.</t>
  </si>
  <si>
    <t>Pisos internos, passeios, rodapés, soleiras, peitoris e podotáteis executados.</t>
  </si>
  <si>
    <t>Instalações de climatização</t>
  </si>
  <si>
    <t>Execução das instalações de climatização e infraestrutura vinculada.</t>
  </si>
  <si>
    <t>Sistema de climatização instalado conforme avanço físico previsto.</t>
  </si>
  <si>
    <t>Instalações elétricas, SPDA e PPCI</t>
  </si>
  <si>
    <t>2.19;2.21</t>
  </si>
  <si>
    <t>Instalações elétricas, SPDA, quadros, cabos, tomadas, iluminação, telefonia/comunicações vinculadas e instalações PPCI.</t>
  </si>
  <si>
    <t>Sistemas elétricos, SPDA e PPCI executados, testáveis e compatíveis com os projetos.</t>
  </si>
  <si>
    <t>Pintura</t>
  </si>
  <si>
    <t>Pintura anticorrosiva, fundo selador, pintura acrílica em paredes/tetos, imunizante para madeira e emassamento.</t>
  </si>
  <si>
    <t>Pinturas internas, externas e tratamentos de superfícies concluídos.</t>
  </si>
  <si>
    <t>Esquadrias, vidros, guarda-corpos e corrimãos</t>
  </si>
  <si>
    <t>Portas, janelas, vidros laminados, guarda-corpos, corrimãos, barras antipânico e esquadrias de alumínio/ferro.</t>
  </si>
  <si>
    <t>Edificação fechada, protegida e com elementos de segurança instalados.</t>
  </si>
  <si>
    <t>Reservatórios, louças/metais, forro e equipamentos</t>
  </si>
  <si>
    <t>2.14;2.15;2.16;2.17</t>
  </si>
  <si>
    <t>Caixas d'água, louças e metais sanitários, forros e equipamentos previstos para a Etapa 1.</t>
  </si>
  <si>
    <t>Reservação, sanitários, forros e equipamentos instalados.</t>
  </si>
  <si>
    <t>Serviços finais</t>
  </si>
  <si>
    <t>Serviços finais, acabamentos complementares, arremates, limpeza e entrega operacional.</t>
  </si>
  <si>
    <t>Obra finalizada, limpa, conferida e pronta para recebimento.</t>
  </si>
  <si>
    <t>RESUMO DO EVENTOGRAMA</t>
  </si>
  <si>
    <t>Porcentagem mensal</t>
  </si>
  <si>
    <t>Valor mensal</t>
  </si>
  <si>
    <t>Porcentagem acumulada</t>
  </si>
  <si>
    <t>Valor acumulado</t>
  </si>
  <si>
    <t>_______________________________________________
ENG° MATHEUS PETTER BARTH
Setor de Engenharia</t>
  </si>
  <si>
    <t>_______________________________________________
ARQ° FREDERICO ROMALDO ELY BIRKHOLZ
Setor de Engenharia</t>
  </si>
  <si>
    <t>REVITALIZAÇÃO PRÉDIO DA POLAR</t>
  </si>
  <si>
    <t>CRONOGRAMA FÍSICO-FINANCEIRO</t>
  </si>
  <si>
    <t>Estrela/RS, 21 de julho de 2026</t>
  </si>
  <si>
    <t xml:space="preserve">REVITALIZAÇÃO PRÉDIO DA POLAR
</t>
  </si>
  <si>
    <t>REVITALIZAÇÃO DO PRÉDIO DA POLAR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</si>
</sst>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%"/>
    <numFmt numFmtId="165" formatCode="#,##0.00_ ;[Red]\-#,##0.00\ "/>
    <numFmt numFmtId="166" formatCode="#,##0.00;[Red]\-#,##0.00;&quot;-&quot;"/>
  </numFmts>
  <fonts count="37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Arial"/>
      <family val="1"/>
    </font>
    <font>
      <sz val="11"/>
      <name val="Carlito"/>
    </font>
    <font>
      <b/>
      <sz val="12"/>
      <name val="Carlito"/>
    </font>
    <font>
      <b/>
      <sz val="8"/>
      <name val="Carlito"/>
    </font>
    <font>
      <sz val="8"/>
      <name val="Carlito"/>
    </font>
  </fonts>
  <fills count="3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9D9D9"/>
      </patternFill>
    </fill>
  </fills>
  <borders count="1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7">
    <xf numFmtId="0" fontId="0" fillId="0" borderId="0"/>
    <xf numFmtId="43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3" fillId="0" borderId="0"/>
  </cellStyleXfs>
  <cellXfs count="112">
    <xf numFmtId="0" fontId="0" fillId="0" borderId="0" xfId="0"/>
    <xf numFmtId="0" fontId="5" fillId="2" borderId="0" xfId="0" applyFont="1" applyFill="1" applyAlignment="1">
      <alignment horizontal="left" vertical="top" wrapText="1"/>
    </xf>
    <xf numFmtId="0" fontId="9" fillId="6" borderId="3" xfId="0" applyFont="1" applyFill="1" applyBorder="1" applyAlignment="1">
      <alignment horizontal="right" vertical="top" wrapText="1"/>
    </xf>
    <xf numFmtId="0" fontId="10" fillId="7" borderId="4" xfId="0" applyFont="1" applyFill="1" applyBorder="1" applyAlignment="1">
      <alignment horizontal="left" vertical="top" wrapText="1"/>
    </xf>
    <xf numFmtId="0" fontId="11" fillId="8" borderId="5" xfId="0" applyFont="1" applyFill="1" applyBorder="1" applyAlignment="1">
      <alignment horizontal="right" vertical="top" wrapText="1"/>
    </xf>
    <xf numFmtId="4" fontId="12" fillId="9" borderId="6" xfId="0" applyNumberFormat="1" applyFont="1" applyFill="1" applyBorder="1" applyAlignment="1">
      <alignment horizontal="right" vertical="top" wrapText="1"/>
    </xf>
    <xf numFmtId="164" fontId="13" fillId="10" borderId="7" xfId="0" applyNumberFormat="1" applyFont="1" applyFill="1" applyBorder="1" applyAlignment="1">
      <alignment horizontal="right" vertical="top" wrapText="1"/>
    </xf>
    <xf numFmtId="0" fontId="14" fillId="11" borderId="8" xfId="0" applyFont="1" applyFill="1" applyBorder="1" applyAlignment="1">
      <alignment horizontal="left" vertical="top" wrapText="1"/>
    </xf>
    <xf numFmtId="0" fontId="15" fillId="12" borderId="9" xfId="0" applyFont="1" applyFill="1" applyBorder="1" applyAlignment="1">
      <alignment horizontal="center" vertical="top" wrapText="1"/>
    </xf>
    <xf numFmtId="0" fontId="16" fillId="13" borderId="10" xfId="0" applyFont="1" applyFill="1" applyBorder="1" applyAlignment="1">
      <alignment horizontal="right" vertical="top" wrapText="1"/>
    </xf>
    <xf numFmtId="4" fontId="17" fillId="14" borderId="11" xfId="0" applyNumberFormat="1" applyFont="1" applyFill="1" applyBorder="1" applyAlignment="1">
      <alignment horizontal="right" vertical="top" wrapText="1"/>
    </xf>
    <xf numFmtId="0" fontId="19" fillId="15" borderId="12" xfId="0" applyFont="1" applyFill="1" applyBorder="1" applyAlignment="1">
      <alignment horizontal="left" vertical="top" wrapText="1"/>
    </xf>
    <xf numFmtId="0" fontId="20" fillId="16" borderId="13" xfId="0" applyFont="1" applyFill="1" applyBorder="1" applyAlignment="1">
      <alignment horizontal="center" vertical="top" wrapText="1"/>
    </xf>
    <xf numFmtId="0" fontId="21" fillId="17" borderId="14" xfId="0" applyFont="1" applyFill="1" applyBorder="1" applyAlignment="1">
      <alignment horizontal="right" vertical="top" wrapText="1"/>
    </xf>
    <xf numFmtId="4" fontId="22" fillId="18" borderId="15" xfId="0" applyNumberFormat="1" applyFont="1" applyFill="1" applyBorder="1" applyAlignment="1">
      <alignment horizontal="right" vertical="top" wrapText="1"/>
    </xf>
    <xf numFmtId="0" fontId="23" fillId="19" borderId="0" xfId="0" applyFont="1" applyFill="1" applyAlignment="1">
      <alignment horizontal="left" vertical="top" wrapText="1"/>
    </xf>
    <xf numFmtId="0" fontId="24" fillId="20" borderId="0" xfId="0" applyFont="1" applyFill="1" applyAlignment="1">
      <alignment horizontal="center" vertical="top" wrapText="1"/>
    </xf>
    <xf numFmtId="0" fontId="25" fillId="21" borderId="0" xfId="0" applyFont="1" applyFill="1" applyAlignment="1">
      <alignment horizontal="right" vertical="top" wrapText="1"/>
    </xf>
    <xf numFmtId="0" fontId="27" fillId="23" borderId="0" xfId="0" applyFont="1" applyFill="1" applyAlignment="1">
      <alignment horizontal="left" vertical="top" wrapText="1"/>
    </xf>
    <xf numFmtId="0" fontId="28" fillId="24" borderId="0" xfId="0" applyFont="1" applyFill="1" applyAlignment="1">
      <alignment horizontal="center" vertical="top" wrapText="1"/>
    </xf>
    <xf numFmtId="43" fontId="14" fillId="25" borderId="16" xfId="1" applyFont="1" applyFill="1" applyBorder="1" applyAlignment="1">
      <alignment horizontal="right" vertical="top" wrapText="1"/>
    </xf>
    <xf numFmtId="43" fontId="14" fillId="25" borderId="16" xfId="1" applyFont="1" applyFill="1" applyBorder="1" applyAlignment="1">
      <alignment horizontal="left" vertical="top" wrapText="1"/>
    </xf>
    <xf numFmtId="43" fontId="14" fillId="25" borderId="16" xfId="1" applyFont="1" applyFill="1" applyBorder="1" applyAlignment="1">
      <alignment horizontal="center" vertical="top" wrapText="1"/>
    </xf>
    <xf numFmtId="43" fontId="0" fillId="0" borderId="0" xfId="0" applyNumberFormat="1"/>
    <xf numFmtId="0" fontId="31" fillId="7" borderId="16" xfId="0" applyFont="1" applyFill="1" applyBorder="1" applyAlignment="1">
      <alignment horizontal="left" vertical="top" wrapText="1"/>
    </xf>
    <xf numFmtId="4" fontId="25" fillId="21" borderId="0" xfId="0" applyNumberFormat="1" applyFont="1" applyFill="1" applyAlignment="1">
      <alignment horizontal="right" vertical="top" wrapText="1"/>
    </xf>
    <xf numFmtId="43" fontId="25" fillId="21" borderId="0" xfId="1" applyFont="1" applyFill="1" applyAlignment="1">
      <alignment horizontal="right" vertical="top" wrapText="1"/>
    </xf>
    <xf numFmtId="0" fontId="30" fillId="27" borderId="0" xfId="3" applyFont="1" applyFill="1" applyAlignment="1">
      <alignment vertical="center"/>
    </xf>
    <xf numFmtId="0" fontId="30" fillId="27" borderId="0" xfId="3" applyFont="1" applyFill="1"/>
    <xf numFmtId="0" fontId="30" fillId="27" borderId="0" xfId="3" applyFont="1" applyFill="1" applyAlignment="1">
      <alignment horizontal="center"/>
    </xf>
    <xf numFmtId="0" fontId="4" fillId="0" borderId="0" xfId="3"/>
    <xf numFmtId="10" fontId="0" fillId="28" borderId="0" xfId="5" applyNumberFormat="1" applyFont="1" applyFill="1"/>
    <xf numFmtId="43" fontId="0" fillId="28" borderId="0" xfId="4" applyFont="1" applyFill="1"/>
    <xf numFmtId="10" fontId="0" fillId="0" borderId="0" xfId="5" applyNumberFormat="1" applyFont="1"/>
    <xf numFmtId="43" fontId="0" fillId="0" borderId="0" xfId="4" applyFont="1"/>
    <xf numFmtId="0" fontId="4" fillId="29" borderId="0" xfId="3" applyFill="1" applyAlignment="1">
      <alignment vertical="center"/>
    </xf>
    <xf numFmtId="43" fontId="0" fillId="29" borderId="0" xfId="4" applyFont="1" applyFill="1" applyAlignment="1">
      <alignment vertical="center"/>
    </xf>
    <xf numFmtId="0" fontId="4" fillId="29" borderId="0" xfId="3" applyFill="1"/>
    <xf numFmtId="0" fontId="4" fillId="0" borderId="0" xfId="3" applyAlignment="1">
      <alignment vertical="center"/>
    </xf>
    <xf numFmtId="0" fontId="30" fillId="0" borderId="0" xfId="3" applyFont="1"/>
    <xf numFmtId="43" fontId="30" fillId="0" borderId="0" xfId="4" applyFont="1"/>
    <xf numFmtId="0" fontId="4" fillId="0" borderId="0" xfId="3" applyAlignment="1">
      <alignment horizontal="right"/>
    </xf>
    <xf numFmtId="0" fontId="4" fillId="28" borderId="17" xfId="3" applyFill="1" applyBorder="1"/>
    <xf numFmtId="43" fontId="4" fillId="28" borderId="17" xfId="3" applyNumberFormat="1" applyFill="1" applyBorder="1"/>
    <xf numFmtId="0" fontId="4" fillId="0" borderId="17" xfId="3" applyBorder="1"/>
    <xf numFmtId="43" fontId="4" fillId="0" borderId="17" xfId="3" applyNumberFormat="1" applyBorder="1"/>
    <xf numFmtId="4" fontId="0" fillId="0" borderId="0" xfId="0" applyNumberFormat="1"/>
    <xf numFmtId="10" fontId="0" fillId="28" borderId="0" xfId="5" quotePrefix="1" applyNumberFormat="1" applyFont="1" applyFill="1"/>
    <xf numFmtId="0" fontId="14" fillId="25" borderId="16" xfId="0" applyFont="1" applyFill="1" applyBorder="1" applyAlignment="1">
      <alignment horizontal="left" vertical="top" wrapText="1"/>
    </xf>
    <xf numFmtId="0" fontId="14" fillId="25" borderId="16" xfId="0" applyFont="1" applyFill="1" applyBorder="1" applyAlignment="1">
      <alignment horizontal="right" vertical="top" wrapText="1"/>
    </xf>
    <xf numFmtId="0" fontId="14" fillId="25" borderId="16" xfId="0" applyFont="1" applyFill="1" applyBorder="1" applyAlignment="1">
      <alignment horizontal="center" vertical="top" wrapText="1"/>
    </xf>
    <xf numFmtId="4" fontId="14" fillId="25" borderId="16" xfId="0" applyNumberFormat="1" applyFont="1" applyFill="1" applyBorder="1" applyAlignment="1">
      <alignment horizontal="right" vertical="top" wrapText="1"/>
    </xf>
    <xf numFmtId="0" fontId="11" fillId="8" borderId="16" xfId="0" applyFont="1" applyFill="1" applyBorder="1" applyAlignment="1">
      <alignment horizontal="right" vertical="top" wrapText="1"/>
    </xf>
    <xf numFmtId="10" fontId="14" fillId="25" borderId="16" xfId="2" applyNumberFormat="1" applyFont="1" applyFill="1" applyBorder="1" applyAlignment="1">
      <alignment horizontal="right" vertical="top" wrapText="1"/>
    </xf>
    <xf numFmtId="10" fontId="22" fillId="18" borderId="16" xfId="2" applyNumberFormat="1" applyFont="1" applyFill="1" applyBorder="1" applyAlignment="1">
      <alignment horizontal="right" vertical="top" wrapText="1"/>
    </xf>
    <xf numFmtId="0" fontId="25" fillId="21" borderId="0" xfId="0" applyFont="1" applyFill="1" applyAlignment="1">
      <alignment vertical="top" wrapText="1"/>
    </xf>
    <xf numFmtId="43" fontId="0" fillId="0" borderId="0" xfId="1" applyFont="1" applyAlignment="1">
      <alignment horizontal="center"/>
    </xf>
    <xf numFmtId="164" fontId="13" fillId="10" borderId="16" xfId="0" applyNumberFormat="1" applyFont="1" applyFill="1" applyBorder="1" applyAlignment="1">
      <alignment horizontal="right" vertical="top" wrapText="1"/>
    </xf>
    <xf numFmtId="0" fontId="33" fillId="0" borderId="0" xfId="6"/>
    <xf numFmtId="165" fontId="33" fillId="0" borderId="0" xfId="6" applyNumberFormat="1"/>
    <xf numFmtId="0" fontId="35" fillId="30" borderId="18" xfId="6" applyFont="1" applyFill="1" applyBorder="1" applyAlignment="1">
      <alignment horizontal="center" vertical="center" wrapText="1"/>
    </xf>
    <xf numFmtId="0" fontId="36" fillId="0" borderId="18" xfId="6" applyFont="1" applyBorder="1" applyAlignment="1">
      <alignment horizontal="center" vertical="center" wrapText="1"/>
    </xf>
    <xf numFmtId="0" fontId="36" fillId="0" borderId="18" xfId="6" applyFont="1" applyBorder="1" applyAlignment="1">
      <alignment vertical="center" wrapText="1"/>
    </xf>
    <xf numFmtId="166" fontId="36" fillId="0" borderId="18" xfId="6" applyNumberFormat="1" applyFont="1" applyBorder="1" applyAlignment="1">
      <alignment horizontal="center" vertical="center" wrapText="1"/>
    </xf>
    <xf numFmtId="10" fontId="35" fillId="0" borderId="18" xfId="6" applyNumberFormat="1" applyFont="1" applyBorder="1" applyAlignment="1">
      <alignment horizontal="center" vertical="center" wrapText="1"/>
    </xf>
    <xf numFmtId="4" fontId="35" fillId="0" borderId="18" xfId="6" applyNumberFormat="1" applyFont="1" applyBorder="1" applyAlignment="1">
      <alignment horizontal="center" vertical="center" wrapText="1"/>
    </xf>
    <xf numFmtId="0" fontId="36" fillId="0" borderId="0" xfId="6" applyFont="1" applyAlignment="1">
      <alignment horizontal="center" vertical="center" wrapText="1"/>
    </xf>
    <xf numFmtId="0" fontId="36" fillId="0" borderId="0" xfId="6" applyFont="1" applyAlignment="1">
      <alignment vertical="center" wrapText="1"/>
    </xf>
    <xf numFmtId="4" fontId="26" fillId="22" borderId="0" xfId="0" applyNumberFormat="1" applyFont="1" applyFill="1" applyAlignment="1">
      <alignment horizontal="right" vertical="top" wrapText="1"/>
    </xf>
    <xf numFmtId="10" fontId="4" fillId="28" borderId="17" xfId="2" applyNumberFormat="1" applyFont="1" applyFill="1" applyBorder="1"/>
    <xf numFmtId="10" fontId="4" fillId="0" borderId="17" xfId="2" applyNumberFormat="1" applyFont="1" applyBorder="1"/>
    <xf numFmtId="43" fontId="4" fillId="0" borderId="0" xfId="3" applyNumberFormat="1"/>
    <xf numFmtId="4" fontId="26" fillId="22" borderId="0" xfId="0" applyNumberFormat="1" applyFont="1" applyFill="1" applyAlignment="1">
      <alignment horizontal="right" vertical="top"/>
    </xf>
    <xf numFmtId="43" fontId="4" fillId="0" borderId="0" xfId="3" applyNumberFormat="1" applyAlignment="1">
      <alignment horizontal="right"/>
    </xf>
    <xf numFmtId="0" fontId="33" fillId="0" borderId="0" xfId="6" applyAlignment="1">
      <alignment horizontal="right"/>
    </xf>
    <xf numFmtId="9" fontId="0" fillId="0" borderId="0" xfId="2" applyFont="1" applyAlignment="1">
      <alignment horizontal="center" vertical="center"/>
    </xf>
    <xf numFmtId="43" fontId="21" fillId="17" borderId="14" xfId="1" applyFont="1" applyFill="1" applyBorder="1" applyAlignment="1">
      <alignment horizontal="right" vertical="top" wrapText="1"/>
    </xf>
    <xf numFmtId="43" fontId="11" fillId="8" borderId="5" xfId="1" applyFont="1" applyFill="1" applyBorder="1" applyAlignment="1">
      <alignment horizontal="right" vertical="top" wrapText="1"/>
    </xf>
    <xf numFmtId="43" fontId="16" fillId="13" borderId="10" xfId="1" applyFont="1" applyFill="1" applyBorder="1" applyAlignment="1">
      <alignment horizontal="right" vertical="top" wrapText="1"/>
    </xf>
    <xf numFmtId="43" fontId="28" fillId="24" borderId="0" xfId="1" applyFont="1" applyFill="1" applyAlignment="1">
      <alignment horizontal="center" vertical="top" wrapText="1"/>
    </xf>
    <xf numFmtId="43" fontId="24" fillId="20" borderId="0" xfId="1" applyFont="1" applyFill="1" applyAlignment="1">
      <alignment horizontal="center" vertical="top" wrapText="1"/>
    </xf>
    <xf numFmtId="43" fontId="0" fillId="0" borderId="0" xfId="1" applyFont="1"/>
    <xf numFmtId="0" fontId="5" fillId="2" borderId="0" xfId="0" applyFont="1" applyFill="1" applyAlignment="1">
      <alignment horizontal="left" vertical="top" wrapText="1"/>
    </xf>
    <xf numFmtId="0" fontId="23" fillId="19" borderId="0" xfId="0" applyFont="1" applyFill="1" applyAlignment="1">
      <alignment horizontal="left" vertical="top" wrapText="1"/>
    </xf>
    <xf numFmtId="0" fontId="6" fillId="3" borderId="0" xfId="0" applyFont="1" applyFill="1" applyAlignment="1">
      <alignment horizontal="center" wrapText="1"/>
    </xf>
    <xf numFmtId="0" fontId="0" fillId="0" borderId="0" xfId="0"/>
    <xf numFmtId="0" fontId="7" fillId="4" borderId="1" xfId="0" applyFont="1" applyFill="1" applyBorder="1" applyAlignment="1">
      <alignment horizontal="left" vertical="top" wrapText="1"/>
    </xf>
    <xf numFmtId="0" fontId="9" fillId="6" borderId="3" xfId="0" applyFont="1" applyFill="1" applyBorder="1" applyAlignment="1">
      <alignment horizontal="right" vertical="top" wrapText="1"/>
    </xf>
    <xf numFmtId="0" fontId="8" fillId="5" borderId="2" xfId="0" applyFont="1" applyFill="1" applyBorder="1" applyAlignment="1">
      <alignment horizontal="center" vertical="top" wrapText="1"/>
    </xf>
    <xf numFmtId="43" fontId="9" fillId="6" borderId="3" xfId="1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25" fillId="21" borderId="0" xfId="0" applyFont="1" applyFill="1" applyAlignment="1">
      <alignment horizontal="right" vertical="top" wrapText="1"/>
    </xf>
    <xf numFmtId="0" fontId="18" fillId="26" borderId="0" xfId="0" applyFont="1" applyFill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26" fillId="22" borderId="0" xfId="0" applyNumberFormat="1" applyFont="1" applyFill="1" applyAlignment="1">
      <alignment horizontal="right" vertical="top" wrapText="1"/>
    </xf>
    <xf numFmtId="0" fontId="30" fillId="0" borderId="0" xfId="3" applyFont="1" applyAlignment="1">
      <alignment horizontal="center" vertical="center"/>
    </xf>
    <xf numFmtId="0" fontId="1" fillId="28" borderId="0" xfId="3" applyFont="1" applyFill="1" applyAlignment="1">
      <alignment horizontal="center" vertical="center"/>
    </xf>
    <xf numFmtId="0" fontId="4" fillId="28" borderId="0" xfId="3" applyFill="1" applyAlignment="1">
      <alignment horizontal="center" vertical="center"/>
    </xf>
    <xf numFmtId="43" fontId="0" fillId="28" borderId="0" xfId="4" applyFont="1" applyFill="1" applyAlignment="1">
      <alignment horizontal="center" vertical="center"/>
    </xf>
    <xf numFmtId="0" fontId="3" fillId="0" borderId="0" xfId="3" applyFont="1" applyAlignment="1">
      <alignment horizontal="center" wrapText="1"/>
    </xf>
    <xf numFmtId="0" fontId="4" fillId="0" borderId="0" xfId="3" applyAlignment="1">
      <alignment horizontal="center" vertical="center"/>
    </xf>
    <xf numFmtId="43" fontId="0" fillId="0" borderId="0" xfId="4" applyFont="1" applyAlignment="1">
      <alignment horizontal="center" vertical="center"/>
    </xf>
    <xf numFmtId="0" fontId="1" fillId="0" borderId="0" xfId="3" applyFont="1" applyAlignment="1">
      <alignment horizontal="center" vertical="center"/>
    </xf>
    <xf numFmtId="0" fontId="4" fillId="0" borderId="0" xfId="3" applyAlignment="1">
      <alignment horizontal="center"/>
    </xf>
    <xf numFmtId="0" fontId="4" fillId="0" borderId="0" xfId="3" applyAlignment="1">
      <alignment horizontal="center" wrapText="1"/>
    </xf>
    <xf numFmtId="0" fontId="2" fillId="0" borderId="0" xfId="3" applyFont="1" applyAlignment="1">
      <alignment horizontal="center" wrapText="1"/>
    </xf>
    <xf numFmtId="0" fontId="34" fillId="0" borderId="0" xfId="6" applyFont="1" applyAlignment="1">
      <alignment horizontal="center" vertical="center"/>
    </xf>
    <xf numFmtId="0" fontId="35" fillId="30" borderId="18" xfId="6" applyFont="1" applyFill="1" applyBorder="1" applyAlignment="1">
      <alignment horizontal="center" vertical="center" wrapText="1"/>
    </xf>
    <xf numFmtId="0" fontId="36" fillId="0" borderId="0" xfId="6" applyFont="1" applyAlignment="1">
      <alignment horizontal="center" vertical="center" wrapText="1"/>
    </xf>
    <xf numFmtId="0" fontId="4" fillId="29" borderId="0" xfId="3" applyFill="1" applyAlignment="1">
      <alignment horizontal="center" vertical="center"/>
    </xf>
  </cellXfs>
  <cellStyles count="7">
    <cellStyle name="Normal" xfId="0" builtinId="0"/>
    <cellStyle name="Normal 2" xfId="3" xr:uid="{00902E97-58F9-4196-9F8F-65B661EBAAEF}"/>
    <cellStyle name="Normal 3" xfId="6" xr:uid="{BEDED8D6-80DC-47A0-B28E-1D0F21E0E3DB}"/>
    <cellStyle name="Porcentagem" xfId="2" builtinId="5"/>
    <cellStyle name="Porcentagem 2" xfId="5" xr:uid="{04E79574-A568-44A8-A116-51E37ADB3608}"/>
    <cellStyle name="Vírgula" xfId="1" builtinId="3"/>
    <cellStyle name="Vírgula 2" xfId="4" xr:uid="{557940B7-59B7-4C5D-AA7E-0082C60816B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84"/>
  <sheetViews>
    <sheetView tabSelected="1" showWhiteSpace="0" view="pageBreakPreview" zoomScale="85" zoomScaleNormal="85" zoomScaleSheetLayoutView="85" workbookViewId="0">
      <pane xSplit="14" ySplit="5" topLeftCell="V93" activePane="bottomRight" state="frozen"/>
      <selection pane="topRight" activeCell="N1" sqref="N1"/>
      <selection pane="bottomLeft" activeCell="A6" sqref="A6"/>
      <selection pane="bottomRight" activeCell="B7" sqref="B7"/>
    </sheetView>
  </sheetViews>
  <sheetFormatPr defaultRowHeight="14.25" x14ac:dyDescent="0.2"/>
  <cols>
    <col min="1" max="1" width="6.25" bestFit="1" customWidth="1"/>
    <col min="2" max="2" width="15.5" bestFit="1" customWidth="1"/>
    <col min="3" max="3" width="6.875" bestFit="1" customWidth="1"/>
    <col min="4" max="4" width="69.75" bestFit="1" customWidth="1"/>
    <col min="5" max="5" width="4.5" bestFit="1" customWidth="1"/>
    <col min="6" max="6" width="9" style="81" bestFit="1" customWidth="1"/>
    <col min="7" max="7" width="14" customWidth="1"/>
    <col min="8" max="8" width="7" bestFit="1" customWidth="1"/>
    <col min="9" max="9" width="14.75" customWidth="1"/>
    <col min="10" max="10" width="15.75" customWidth="1"/>
    <col min="11" max="11" width="17.625" customWidth="1"/>
    <col min="12" max="12" width="13.75" customWidth="1"/>
    <col min="13" max="13" width="15.75" customWidth="1"/>
    <col min="14" max="14" width="17.75" customWidth="1"/>
    <col min="15" max="15" width="8.875" bestFit="1" customWidth="1"/>
    <col min="16" max="16" width="14" customWidth="1"/>
    <col min="17" max="17" width="13.5" customWidth="1"/>
    <col min="18" max="18" width="13.25" customWidth="1"/>
    <col min="19" max="19" width="18.125" customWidth="1"/>
    <col min="20" max="20" width="13.25" customWidth="1"/>
    <col min="21" max="21" width="12.625" customWidth="1"/>
    <col min="22" max="22" width="13.25" customWidth="1"/>
    <col min="24" max="24" width="13.125" bestFit="1" customWidth="1"/>
  </cols>
  <sheetData>
    <row r="1" spans="1:24" ht="15" x14ac:dyDescent="0.2">
      <c r="A1" s="1"/>
      <c r="B1" s="1"/>
      <c r="C1" s="1"/>
      <c r="D1" s="1" t="s">
        <v>0</v>
      </c>
      <c r="E1" s="82" t="s">
        <v>1</v>
      </c>
      <c r="F1" s="82"/>
      <c r="G1" s="82"/>
      <c r="H1" s="1"/>
      <c r="I1" s="82" t="s">
        <v>2</v>
      </c>
      <c r="J1" s="82"/>
      <c r="K1" s="82"/>
      <c r="L1" s="82" t="s">
        <v>3</v>
      </c>
      <c r="M1" s="82"/>
      <c r="N1" s="82"/>
      <c r="O1" s="82"/>
    </row>
    <row r="2" spans="1:24" ht="80.099999999999994" customHeight="1" x14ac:dyDescent="0.2">
      <c r="A2" s="15"/>
      <c r="B2" s="15"/>
      <c r="C2" s="15"/>
      <c r="D2" s="15" t="s">
        <v>605</v>
      </c>
      <c r="E2" s="83" t="s">
        <v>4</v>
      </c>
      <c r="F2" s="83"/>
      <c r="G2" s="83"/>
      <c r="H2" s="15"/>
      <c r="I2" s="83" t="s">
        <v>515</v>
      </c>
      <c r="J2" s="83"/>
      <c r="K2" s="83"/>
      <c r="L2" s="83" t="s">
        <v>5</v>
      </c>
      <c r="M2" s="83"/>
      <c r="N2" s="83"/>
      <c r="O2" s="83"/>
    </row>
    <row r="3" spans="1:24" ht="15" x14ac:dyDescent="0.25">
      <c r="A3" s="84" t="s">
        <v>6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</row>
    <row r="4" spans="1:24" ht="15" customHeight="1" x14ac:dyDescent="0.2">
      <c r="A4" s="86" t="s">
        <v>7</v>
      </c>
      <c r="B4" s="87" t="s">
        <v>8</v>
      </c>
      <c r="C4" s="86" t="s">
        <v>9</v>
      </c>
      <c r="D4" s="86" t="s">
        <v>10</v>
      </c>
      <c r="E4" s="88" t="s">
        <v>11</v>
      </c>
      <c r="F4" s="89" t="s">
        <v>12</v>
      </c>
      <c r="G4" s="87" t="s">
        <v>13</v>
      </c>
      <c r="H4" s="90" t="s">
        <v>516</v>
      </c>
      <c r="I4" s="88" t="s">
        <v>14</v>
      </c>
      <c r="J4" s="86"/>
      <c r="K4" s="86"/>
      <c r="L4" s="88" t="s">
        <v>15</v>
      </c>
      <c r="M4" s="86"/>
      <c r="N4" s="86"/>
      <c r="O4" s="87" t="s">
        <v>16</v>
      </c>
      <c r="Q4">
        <v>9406.9599999999991</v>
      </c>
    </row>
    <row r="5" spans="1:24" ht="15" customHeight="1" x14ac:dyDescent="0.2">
      <c r="A5" s="87"/>
      <c r="B5" s="87"/>
      <c r="C5" s="87"/>
      <c r="D5" s="87"/>
      <c r="E5" s="87"/>
      <c r="F5" s="89"/>
      <c r="G5" s="87"/>
      <c r="H5" s="87"/>
      <c r="I5" s="2" t="s">
        <v>17</v>
      </c>
      <c r="J5" s="2" t="s">
        <v>18</v>
      </c>
      <c r="K5" s="2" t="s">
        <v>15</v>
      </c>
      <c r="L5" s="2" t="s">
        <v>17</v>
      </c>
      <c r="M5" s="2" t="s">
        <v>18</v>
      </c>
      <c r="N5" s="2" t="s">
        <v>15</v>
      </c>
      <c r="O5" s="87"/>
      <c r="Q5" s="23">
        <f>58000-Q4</f>
        <v>48593.04</v>
      </c>
    </row>
    <row r="6" spans="1:24" ht="24" customHeight="1" x14ac:dyDescent="0.2">
      <c r="A6" s="3" t="s">
        <v>352</v>
      </c>
      <c r="B6" s="3"/>
      <c r="C6" s="3"/>
      <c r="D6" s="3" t="s">
        <v>19</v>
      </c>
      <c r="E6" s="3"/>
      <c r="F6" s="77"/>
      <c r="G6" s="4"/>
      <c r="H6" s="52"/>
      <c r="I6" s="3"/>
      <c r="J6" s="3"/>
      <c r="K6" s="3"/>
      <c r="L6" s="3"/>
      <c r="M6" s="3"/>
      <c r="N6" s="5">
        <f>SUM(N7:N11)</f>
        <v>130592</v>
      </c>
      <c r="O6" s="6">
        <f t="shared" ref="O6:O29" si="0">N6/$N$176</f>
        <v>7.4982763429698868E-3</v>
      </c>
      <c r="Q6" s="91" t="s">
        <v>513</v>
      </c>
      <c r="R6" s="91"/>
      <c r="S6" t="s">
        <v>514</v>
      </c>
      <c r="U6" s="91" t="s">
        <v>517</v>
      </c>
      <c r="V6" s="91"/>
      <c r="W6" s="91" t="s">
        <v>517</v>
      </c>
      <c r="X6" s="91"/>
    </row>
    <row r="7" spans="1:24" ht="24" customHeight="1" x14ac:dyDescent="0.2">
      <c r="A7" s="24" t="s">
        <v>353</v>
      </c>
      <c r="B7" s="49" t="s">
        <v>46</v>
      </c>
      <c r="C7" s="48" t="s">
        <v>20</v>
      </c>
      <c r="D7" s="48" t="s">
        <v>518</v>
      </c>
      <c r="E7" s="50" t="s">
        <v>35</v>
      </c>
      <c r="F7" s="20">
        <v>220</v>
      </c>
      <c r="G7" s="51">
        <v>135.68</v>
      </c>
      <c r="H7" s="53">
        <v>0.25</v>
      </c>
      <c r="I7" s="51">
        <v>164.19</v>
      </c>
      <c r="J7" s="51">
        <v>5.41</v>
      </c>
      <c r="K7" s="51">
        <v>169.6</v>
      </c>
      <c r="L7" s="51">
        <f>TRUNC(F7*I7,2)</f>
        <v>36121.800000000003</v>
      </c>
      <c r="M7" s="51">
        <f>N7-L7</f>
        <v>1190.1999999999971</v>
      </c>
      <c r="N7" s="51">
        <f>TRUNC(K7*F7,2)</f>
        <v>37312</v>
      </c>
      <c r="O7" s="6">
        <f t="shared" si="0"/>
        <v>2.1423646694199677E-3</v>
      </c>
      <c r="Q7" s="23">
        <f>TRUNC(K7*F7,2)</f>
        <v>37312</v>
      </c>
      <c r="R7" t="b">
        <f>Q7=N7</f>
        <v>1</v>
      </c>
      <c r="S7">
        <f>TRUNC(G7*1.25,2)</f>
        <v>169.6</v>
      </c>
      <c r="T7" t="b">
        <f>S7=K7</f>
        <v>1</v>
      </c>
      <c r="U7" s="46">
        <f>L7+M7</f>
        <v>37312</v>
      </c>
      <c r="V7" t="b">
        <f>U7=N7</f>
        <v>1</v>
      </c>
      <c r="W7" s="46">
        <f>I7+J7</f>
        <v>169.6</v>
      </c>
      <c r="X7" t="b">
        <f>W7=K7</f>
        <v>1</v>
      </c>
    </row>
    <row r="8" spans="1:24" ht="24" customHeight="1" x14ac:dyDescent="0.2">
      <c r="A8" s="24" t="s">
        <v>354</v>
      </c>
      <c r="B8" s="49" t="s">
        <v>46</v>
      </c>
      <c r="C8" s="48" t="s">
        <v>20</v>
      </c>
      <c r="D8" s="48" t="s">
        <v>519</v>
      </c>
      <c r="E8" s="50" t="s">
        <v>35</v>
      </c>
      <c r="F8" s="20">
        <v>160</v>
      </c>
      <c r="G8" s="51">
        <v>135.68</v>
      </c>
      <c r="H8" s="53">
        <v>0.25</v>
      </c>
      <c r="I8" s="51">
        <v>164.19</v>
      </c>
      <c r="J8" s="51">
        <v>5.41</v>
      </c>
      <c r="K8" s="51">
        <v>169.6</v>
      </c>
      <c r="L8" s="51">
        <f t="shared" ref="L8:L11" si="1">TRUNC(F8*I8,2)</f>
        <v>26270.400000000001</v>
      </c>
      <c r="M8" s="51">
        <f t="shared" ref="M8:M11" si="2">N8-L8</f>
        <v>865.59999999999854</v>
      </c>
      <c r="N8" s="51">
        <f t="shared" ref="N8:N11" si="3">TRUNC(K8*F8,2)</f>
        <v>27136</v>
      </c>
      <c r="O8" s="6">
        <f t="shared" si="0"/>
        <v>1.5580833959417948E-3</v>
      </c>
      <c r="Q8" s="23">
        <f t="shared" ref="Q8:Q11" si="4">TRUNC(K8*F8,2)</f>
        <v>27136</v>
      </c>
      <c r="R8" t="b">
        <f t="shared" ref="R8:R11" si="5">Q8=N8</f>
        <v>1</v>
      </c>
      <c r="S8">
        <f t="shared" ref="S8:S11" si="6">TRUNC(G8*1.25,2)</f>
        <v>169.6</v>
      </c>
      <c r="T8" t="b">
        <f t="shared" ref="T8:T11" si="7">S8=K8</f>
        <v>1</v>
      </c>
      <c r="U8" s="46">
        <f t="shared" ref="U8:U11" si="8">L8+M8</f>
        <v>27136</v>
      </c>
      <c r="V8" t="b">
        <f t="shared" ref="V8:V11" si="9">U8=N8</f>
        <v>1</v>
      </c>
      <c r="W8" s="46">
        <f t="shared" ref="W8:W11" si="10">I8+J8</f>
        <v>169.6</v>
      </c>
      <c r="X8" t="b">
        <f t="shared" ref="X8:X11" si="11">W8=K8</f>
        <v>1</v>
      </c>
    </row>
    <row r="9" spans="1:24" ht="24" customHeight="1" x14ac:dyDescent="0.2">
      <c r="A9" s="24" t="s">
        <v>355</v>
      </c>
      <c r="B9" s="49" t="s">
        <v>46</v>
      </c>
      <c r="C9" s="48" t="s">
        <v>20</v>
      </c>
      <c r="D9" s="48" t="s">
        <v>520</v>
      </c>
      <c r="E9" s="50" t="s">
        <v>35</v>
      </c>
      <c r="F9" s="20">
        <v>160</v>
      </c>
      <c r="G9" s="51">
        <v>135.68</v>
      </c>
      <c r="H9" s="53">
        <v>0.25</v>
      </c>
      <c r="I9" s="51">
        <v>164.19</v>
      </c>
      <c r="J9" s="51">
        <v>5.41</v>
      </c>
      <c r="K9" s="51">
        <v>169.6</v>
      </c>
      <c r="L9" s="51">
        <f t="shared" si="1"/>
        <v>26270.400000000001</v>
      </c>
      <c r="M9" s="51">
        <f t="shared" si="2"/>
        <v>865.59999999999854</v>
      </c>
      <c r="N9" s="51">
        <f t="shared" si="3"/>
        <v>27136</v>
      </c>
      <c r="O9" s="6">
        <f t="shared" si="0"/>
        <v>1.5580833959417948E-3</v>
      </c>
      <c r="Q9" s="23">
        <f t="shared" si="4"/>
        <v>27136</v>
      </c>
      <c r="R9" t="b">
        <f t="shared" si="5"/>
        <v>1</v>
      </c>
      <c r="S9">
        <f t="shared" si="6"/>
        <v>169.6</v>
      </c>
      <c r="T9" t="b">
        <f t="shared" si="7"/>
        <v>1</v>
      </c>
      <c r="U9" s="46">
        <f t="shared" si="8"/>
        <v>27136</v>
      </c>
      <c r="V9" t="b">
        <f t="shared" si="9"/>
        <v>1</v>
      </c>
      <c r="W9" s="46">
        <f t="shared" si="10"/>
        <v>169.6</v>
      </c>
      <c r="X9" t="b">
        <f t="shared" si="11"/>
        <v>1</v>
      </c>
    </row>
    <row r="10" spans="1:24" ht="24" customHeight="1" x14ac:dyDescent="0.2">
      <c r="A10" s="24" t="s">
        <v>356</v>
      </c>
      <c r="B10" s="49" t="s">
        <v>46</v>
      </c>
      <c r="C10" s="48" t="s">
        <v>20</v>
      </c>
      <c r="D10" s="48" t="s">
        <v>521</v>
      </c>
      <c r="E10" s="50" t="s">
        <v>35</v>
      </c>
      <c r="F10" s="20">
        <v>100</v>
      </c>
      <c r="G10" s="51">
        <v>135.68</v>
      </c>
      <c r="H10" s="53">
        <v>0.25</v>
      </c>
      <c r="I10" s="51">
        <v>164.19</v>
      </c>
      <c r="J10" s="51">
        <v>5.41</v>
      </c>
      <c r="K10" s="51">
        <v>169.6</v>
      </c>
      <c r="L10" s="51">
        <f t="shared" si="1"/>
        <v>16419</v>
      </c>
      <c r="M10" s="51">
        <f t="shared" si="2"/>
        <v>541</v>
      </c>
      <c r="N10" s="51">
        <f t="shared" si="3"/>
        <v>16960</v>
      </c>
      <c r="O10" s="6">
        <f t="shared" si="0"/>
        <v>9.7380212246362167E-4</v>
      </c>
      <c r="Q10" s="23">
        <f t="shared" si="4"/>
        <v>16960</v>
      </c>
      <c r="R10" t="b">
        <f t="shared" si="5"/>
        <v>1</v>
      </c>
      <c r="S10">
        <f t="shared" si="6"/>
        <v>169.6</v>
      </c>
      <c r="T10" t="b">
        <f t="shared" si="7"/>
        <v>1</v>
      </c>
      <c r="U10" s="46">
        <f t="shared" si="8"/>
        <v>16960</v>
      </c>
      <c r="V10" t="b">
        <f t="shared" si="9"/>
        <v>1</v>
      </c>
      <c r="W10" s="46">
        <f t="shared" si="10"/>
        <v>169.6</v>
      </c>
      <c r="X10" t="b">
        <f t="shared" si="11"/>
        <v>1</v>
      </c>
    </row>
    <row r="11" spans="1:24" ht="24" customHeight="1" x14ac:dyDescent="0.2">
      <c r="A11" s="24" t="s">
        <v>357</v>
      </c>
      <c r="B11" s="49" t="s">
        <v>46</v>
      </c>
      <c r="C11" s="48" t="s">
        <v>20</v>
      </c>
      <c r="D11" s="48" t="s">
        <v>522</v>
      </c>
      <c r="E11" s="50" t="s">
        <v>35</v>
      </c>
      <c r="F11" s="20">
        <v>130</v>
      </c>
      <c r="G11" s="51">
        <v>135.68</v>
      </c>
      <c r="H11" s="53">
        <v>0.25</v>
      </c>
      <c r="I11" s="51">
        <v>164.19</v>
      </c>
      <c r="J11" s="51">
        <v>5.41</v>
      </c>
      <c r="K11" s="51">
        <v>169.6</v>
      </c>
      <c r="L11" s="51">
        <f t="shared" si="1"/>
        <v>21344.7</v>
      </c>
      <c r="M11" s="51">
        <f t="shared" si="2"/>
        <v>703.29999999999927</v>
      </c>
      <c r="N11" s="51">
        <f t="shared" si="3"/>
        <v>22048</v>
      </c>
      <c r="O11" s="6">
        <f t="shared" si="0"/>
        <v>1.2659427592027082E-3</v>
      </c>
      <c r="Q11" s="23">
        <f t="shared" si="4"/>
        <v>22048</v>
      </c>
      <c r="R11" t="b">
        <f t="shared" si="5"/>
        <v>1</v>
      </c>
      <c r="S11">
        <f t="shared" si="6"/>
        <v>169.6</v>
      </c>
      <c r="T11" t="b">
        <f t="shared" si="7"/>
        <v>1</v>
      </c>
      <c r="U11" s="46">
        <f t="shared" si="8"/>
        <v>22048</v>
      </c>
      <c r="V11" t="b">
        <f t="shared" si="9"/>
        <v>1</v>
      </c>
      <c r="W11" s="46">
        <f t="shared" si="10"/>
        <v>169.6</v>
      </c>
      <c r="X11" t="b">
        <f t="shared" si="11"/>
        <v>1</v>
      </c>
    </row>
    <row r="12" spans="1:24" ht="24" customHeight="1" x14ac:dyDescent="0.2">
      <c r="A12" s="3">
        <v>2</v>
      </c>
      <c r="B12" s="3"/>
      <c r="C12" s="3"/>
      <c r="D12" s="3" t="s">
        <v>22</v>
      </c>
      <c r="E12" s="3"/>
      <c r="F12" s="77"/>
      <c r="G12" s="4"/>
      <c r="H12" s="52"/>
      <c r="I12" s="3"/>
      <c r="J12" s="3"/>
      <c r="K12" s="3"/>
      <c r="L12" s="3"/>
      <c r="M12" s="3"/>
      <c r="N12" s="5">
        <f>N13+N22+N32+N56+N62+N73+N78+N82+N90+N104+N108+N114+N121+N135+N137+N153+N156+N161+N163+N165+N167+N169+N171+N173</f>
        <v>17285677.289999999</v>
      </c>
      <c r="O12" s="6">
        <f t="shared" si="0"/>
        <v>0.99250172365702971</v>
      </c>
    </row>
    <row r="13" spans="1:24" ht="24" customHeight="1" x14ac:dyDescent="0.2">
      <c r="A13" s="3" t="s">
        <v>337</v>
      </c>
      <c r="B13" s="3"/>
      <c r="C13" s="3"/>
      <c r="D13" s="3" t="s">
        <v>23</v>
      </c>
      <c r="E13" s="3"/>
      <c r="F13" s="77"/>
      <c r="G13" s="4"/>
      <c r="H13" s="52"/>
      <c r="I13" s="3"/>
      <c r="J13" s="3"/>
      <c r="K13" s="3"/>
      <c r="L13" s="3"/>
      <c r="M13" s="3"/>
      <c r="N13" s="5">
        <f>SUM(N14:N21)</f>
        <v>250656.9</v>
      </c>
      <c r="O13" s="6">
        <f t="shared" si="0"/>
        <v>1.4392112100834421E-2</v>
      </c>
    </row>
    <row r="14" spans="1:24" ht="39" customHeight="1" x14ac:dyDescent="0.2">
      <c r="A14" s="7" t="s">
        <v>308</v>
      </c>
      <c r="B14" s="9" t="s">
        <v>24</v>
      </c>
      <c r="C14" s="7" t="s">
        <v>20</v>
      </c>
      <c r="D14" s="7" t="s">
        <v>25</v>
      </c>
      <c r="E14" s="8" t="s">
        <v>26</v>
      </c>
      <c r="F14" s="78">
        <v>6</v>
      </c>
      <c r="G14" s="10">
        <v>493.03</v>
      </c>
      <c r="H14" s="53">
        <v>0.25</v>
      </c>
      <c r="I14" s="10">
        <v>39.549999999999997</v>
      </c>
      <c r="J14" s="10">
        <v>576.73</v>
      </c>
      <c r="K14" s="10">
        <v>616.28</v>
      </c>
      <c r="L14" s="10">
        <v>237.3</v>
      </c>
      <c r="M14" s="10">
        <v>3460.38</v>
      </c>
      <c r="N14" s="10">
        <v>3697.68</v>
      </c>
      <c r="O14" s="6">
        <f t="shared" si="0"/>
        <v>2.123118297282597E-4</v>
      </c>
      <c r="Q14" s="23">
        <f t="shared" ref="Q14:Q21" si="12">TRUNC(K14*F14,2)</f>
        <v>3697.68</v>
      </c>
      <c r="R14" t="b">
        <f t="shared" ref="R14:R21" si="13">Q14=N14</f>
        <v>1</v>
      </c>
      <c r="S14">
        <f t="shared" ref="S14:S21" si="14">TRUNC(G14*1.25,2)</f>
        <v>616.28</v>
      </c>
      <c r="T14" t="b">
        <f t="shared" ref="T14:T21" si="15">S14=K14</f>
        <v>1</v>
      </c>
      <c r="U14" s="46">
        <f t="shared" ref="U14:U21" si="16">L14+M14</f>
        <v>3697.6800000000003</v>
      </c>
      <c r="V14" t="b">
        <f t="shared" ref="V14:V21" si="17">U14=N14</f>
        <v>1</v>
      </c>
      <c r="W14" s="46">
        <f t="shared" ref="W14:W21" si="18">I14+J14</f>
        <v>616.28</v>
      </c>
      <c r="X14" t="b">
        <f t="shared" ref="X14:X21" si="19">W14=K14</f>
        <v>1</v>
      </c>
    </row>
    <row r="15" spans="1:24" ht="51.95" customHeight="1" x14ac:dyDescent="0.2">
      <c r="A15" s="7" t="s">
        <v>309</v>
      </c>
      <c r="B15" s="9" t="s">
        <v>27</v>
      </c>
      <c r="C15" s="7" t="s">
        <v>20</v>
      </c>
      <c r="D15" s="7" t="s">
        <v>28</v>
      </c>
      <c r="E15" s="8" t="s">
        <v>26</v>
      </c>
      <c r="F15" s="78">
        <v>2425</v>
      </c>
      <c r="G15" s="10">
        <v>21.08</v>
      </c>
      <c r="H15" s="53">
        <v>0.25</v>
      </c>
      <c r="I15" s="10">
        <v>20.88</v>
      </c>
      <c r="J15" s="10">
        <v>5.47</v>
      </c>
      <c r="K15" s="10">
        <v>26.35</v>
      </c>
      <c r="L15" s="10">
        <v>50634</v>
      </c>
      <c r="M15" s="10">
        <v>13264.75</v>
      </c>
      <c r="N15" s="10">
        <v>63898.75</v>
      </c>
      <c r="O15" s="6">
        <f t="shared" si="0"/>
        <v>3.6689114606587468E-3</v>
      </c>
      <c r="Q15" s="23">
        <f t="shared" si="12"/>
        <v>63898.75</v>
      </c>
      <c r="R15" t="b">
        <f t="shared" si="13"/>
        <v>1</v>
      </c>
      <c r="S15">
        <f t="shared" si="14"/>
        <v>26.35</v>
      </c>
      <c r="T15" t="b">
        <f t="shared" si="15"/>
        <v>1</v>
      </c>
      <c r="U15" s="46">
        <f t="shared" si="16"/>
        <v>63898.75</v>
      </c>
      <c r="V15" t="b">
        <f t="shared" si="17"/>
        <v>1</v>
      </c>
      <c r="W15" s="46">
        <f t="shared" si="18"/>
        <v>26.349999999999998</v>
      </c>
      <c r="X15" t="b">
        <f t="shared" si="19"/>
        <v>1</v>
      </c>
    </row>
    <row r="16" spans="1:24" ht="24" customHeight="1" x14ac:dyDescent="0.2">
      <c r="A16" s="7" t="s">
        <v>310</v>
      </c>
      <c r="B16" s="9" t="s">
        <v>29</v>
      </c>
      <c r="C16" s="7" t="s">
        <v>20</v>
      </c>
      <c r="D16" s="7" t="s">
        <v>30</v>
      </c>
      <c r="E16" s="8" t="s">
        <v>26</v>
      </c>
      <c r="F16" s="78">
        <v>270</v>
      </c>
      <c r="G16" s="10">
        <v>79.7</v>
      </c>
      <c r="H16" s="53">
        <v>0.25</v>
      </c>
      <c r="I16" s="10">
        <v>32.700000000000003</v>
      </c>
      <c r="J16" s="10">
        <v>66.92</v>
      </c>
      <c r="K16" s="10">
        <v>99.62</v>
      </c>
      <c r="L16" s="10">
        <v>8829</v>
      </c>
      <c r="M16" s="10">
        <v>18068.400000000001</v>
      </c>
      <c r="N16" s="10">
        <v>26897.4</v>
      </c>
      <c r="O16" s="6">
        <f t="shared" si="0"/>
        <v>1.5443835618368525E-3</v>
      </c>
      <c r="Q16" s="23">
        <f t="shared" si="12"/>
        <v>26897.4</v>
      </c>
      <c r="R16" t="b">
        <f t="shared" si="13"/>
        <v>1</v>
      </c>
      <c r="S16">
        <f t="shared" si="14"/>
        <v>99.62</v>
      </c>
      <c r="T16" t="b">
        <f t="shared" si="15"/>
        <v>1</v>
      </c>
      <c r="U16" s="46">
        <f t="shared" si="16"/>
        <v>26897.4</v>
      </c>
      <c r="V16" t="b">
        <f t="shared" si="17"/>
        <v>1</v>
      </c>
      <c r="W16" s="46">
        <f t="shared" si="18"/>
        <v>99.62</v>
      </c>
      <c r="X16" t="b">
        <f t="shared" si="19"/>
        <v>1</v>
      </c>
    </row>
    <row r="17" spans="1:24" ht="26.1" customHeight="1" x14ac:dyDescent="0.2">
      <c r="A17" s="7" t="s">
        <v>311</v>
      </c>
      <c r="B17" s="9" t="s">
        <v>31</v>
      </c>
      <c r="C17" s="7" t="s">
        <v>20</v>
      </c>
      <c r="D17" s="7" t="s">
        <v>32</v>
      </c>
      <c r="E17" s="8" t="s">
        <v>26</v>
      </c>
      <c r="F17" s="78">
        <v>2425</v>
      </c>
      <c r="G17" s="10">
        <v>6.83</v>
      </c>
      <c r="H17" s="53">
        <v>0.25</v>
      </c>
      <c r="I17" s="10">
        <v>1.26</v>
      </c>
      <c r="J17" s="10">
        <v>7.27</v>
      </c>
      <c r="K17" s="10">
        <v>8.5299999999999994</v>
      </c>
      <c r="L17" s="10">
        <v>3055.5</v>
      </c>
      <c r="M17" s="10">
        <v>17629.75</v>
      </c>
      <c r="N17" s="10">
        <v>20685.25</v>
      </c>
      <c r="O17" s="6">
        <f t="shared" si="0"/>
        <v>1.1876969548166646E-3</v>
      </c>
      <c r="Q17" s="23">
        <f t="shared" si="12"/>
        <v>20685.25</v>
      </c>
      <c r="R17" t="b">
        <f t="shared" si="13"/>
        <v>1</v>
      </c>
      <c r="S17">
        <f t="shared" si="14"/>
        <v>8.5299999999999994</v>
      </c>
      <c r="T17" t="b">
        <f t="shared" si="15"/>
        <v>1</v>
      </c>
      <c r="U17" s="46">
        <f t="shared" si="16"/>
        <v>20685.25</v>
      </c>
      <c r="V17" t="b">
        <f t="shared" si="17"/>
        <v>1</v>
      </c>
      <c r="W17" s="46">
        <f t="shared" si="18"/>
        <v>8.5299999999999994</v>
      </c>
      <c r="X17" t="b">
        <f t="shared" si="19"/>
        <v>1</v>
      </c>
    </row>
    <row r="18" spans="1:24" ht="39" customHeight="1" x14ac:dyDescent="0.2">
      <c r="A18" s="7" t="s">
        <v>312</v>
      </c>
      <c r="B18" s="9" t="s">
        <v>33</v>
      </c>
      <c r="C18" s="7" t="s">
        <v>20</v>
      </c>
      <c r="D18" s="7" t="s">
        <v>34</v>
      </c>
      <c r="E18" s="8" t="s">
        <v>35</v>
      </c>
      <c r="F18" s="78">
        <v>1400</v>
      </c>
      <c r="G18" s="10">
        <v>14.05</v>
      </c>
      <c r="H18" s="53">
        <v>0.25</v>
      </c>
      <c r="I18" s="10">
        <v>0</v>
      </c>
      <c r="J18" s="10">
        <v>17.559999999999999</v>
      </c>
      <c r="K18" s="10">
        <v>17.559999999999999</v>
      </c>
      <c r="L18" s="10">
        <v>0</v>
      </c>
      <c r="M18" s="10">
        <v>24584</v>
      </c>
      <c r="N18" s="10">
        <v>24584</v>
      </c>
      <c r="O18" s="6">
        <f t="shared" si="0"/>
        <v>1.4115537369484479E-3</v>
      </c>
      <c r="Q18" s="23">
        <f t="shared" si="12"/>
        <v>24584</v>
      </c>
      <c r="R18" t="b">
        <f t="shared" si="13"/>
        <v>1</v>
      </c>
      <c r="S18">
        <f t="shared" si="14"/>
        <v>17.559999999999999</v>
      </c>
      <c r="T18" t="b">
        <f t="shared" si="15"/>
        <v>1</v>
      </c>
      <c r="U18" s="46">
        <f t="shared" si="16"/>
        <v>24584</v>
      </c>
      <c r="V18" t="b">
        <f t="shared" si="17"/>
        <v>1</v>
      </c>
      <c r="W18" s="46">
        <f t="shared" si="18"/>
        <v>17.559999999999999</v>
      </c>
      <c r="X18" t="b">
        <f t="shared" si="19"/>
        <v>1</v>
      </c>
    </row>
    <row r="19" spans="1:24" ht="65.099999999999994" customHeight="1" x14ac:dyDescent="0.2">
      <c r="A19" s="7" t="s">
        <v>313</v>
      </c>
      <c r="B19" s="9" t="s">
        <v>36</v>
      </c>
      <c r="C19" s="7" t="s">
        <v>20</v>
      </c>
      <c r="D19" s="7" t="s">
        <v>37</v>
      </c>
      <c r="E19" s="8" t="s">
        <v>38</v>
      </c>
      <c r="F19" s="78">
        <v>860</v>
      </c>
      <c r="G19" s="10">
        <v>89.77</v>
      </c>
      <c r="H19" s="53">
        <v>0.25</v>
      </c>
      <c r="I19" s="10">
        <v>16.940000000000001</v>
      </c>
      <c r="J19" s="10">
        <v>95.27</v>
      </c>
      <c r="K19" s="10">
        <v>112.21</v>
      </c>
      <c r="L19" s="10">
        <v>14568.4</v>
      </c>
      <c r="M19" s="10">
        <v>81932.2</v>
      </c>
      <c r="N19" s="10">
        <v>96500.6</v>
      </c>
      <c r="O19" s="6">
        <f t="shared" si="0"/>
        <v>5.5408307251776524E-3</v>
      </c>
      <c r="Q19" s="23">
        <f t="shared" si="12"/>
        <v>96500.6</v>
      </c>
      <c r="R19" t="b">
        <f t="shared" si="13"/>
        <v>1</v>
      </c>
      <c r="S19">
        <f t="shared" si="14"/>
        <v>112.21</v>
      </c>
      <c r="T19" t="b">
        <f t="shared" si="15"/>
        <v>1</v>
      </c>
      <c r="U19" s="46">
        <f t="shared" si="16"/>
        <v>96500.599999999991</v>
      </c>
      <c r="V19" t="b">
        <f t="shared" si="17"/>
        <v>1</v>
      </c>
      <c r="W19" s="46">
        <f t="shared" si="18"/>
        <v>112.21</v>
      </c>
      <c r="X19" t="b">
        <f t="shared" si="19"/>
        <v>1</v>
      </c>
    </row>
    <row r="20" spans="1:24" ht="26.1" customHeight="1" x14ac:dyDescent="0.2">
      <c r="A20" s="7" t="s">
        <v>358</v>
      </c>
      <c r="B20" s="9" t="s">
        <v>39</v>
      </c>
      <c r="C20" s="7" t="s">
        <v>20</v>
      </c>
      <c r="D20" s="7" t="s">
        <v>40</v>
      </c>
      <c r="E20" s="8" t="s">
        <v>38</v>
      </c>
      <c r="F20" s="78">
        <v>400</v>
      </c>
      <c r="G20" s="10">
        <v>19.88</v>
      </c>
      <c r="H20" s="53">
        <v>0.25</v>
      </c>
      <c r="I20" s="10">
        <v>1</v>
      </c>
      <c r="J20" s="10">
        <v>23.85</v>
      </c>
      <c r="K20" s="10">
        <v>24.85</v>
      </c>
      <c r="L20" s="10">
        <v>400</v>
      </c>
      <c r="M20" s="10">
        <v>9540</v>
      </c>
      <c r="N20" s="10">
        <v>9940</v>
      </c>
      <c r="O20" s="6">
        <f t="shared" si="0"/>
        <v>5.7073072507596691E-4</v>
      </c>
      <c r="Q20" s="23">
        <f t="shared" si="12"/>
        <v>9940</v>
      </c>
      <c r="R20" t="b">
        <f t="shared" si="13"/>
        <v>1</v>
      </c>
      <c r="S20">
        <f t="shared" si="14"/>
        <v>24.85</v>
      </c>
      <c r="T20" t="b">
        <f t="shared" si="15"/>
        <v>1</v>
      </c>
      <c r="U20" s="46">
        <f t="shared" si="16"/>
        <v>9940</v>
      </c>
      <c r="V20" t="b">
        <f t="shared" si="17"/>
        <v>1</v>
      </c>
      <c r="W20" s="46">
        <f t="shared" si="18"/>
        <v>24.85</v>
      </c>
      <c r="X20" t="b">
        <f t="shared" si="19"/>
        <v>1</v>
      </c>
    </row>
    <row r="21" spans="1:24" ht="39" customHeight="1" x14ac:dyDescent="0.2">
      <c r="A21" s="7" t="s">
        <v>359</v>
      </c>
      <c r="B21" s="9" t="s">
        <v>41</v>
      </c>
      <c r="C21" s="7" t="s">
        <v>20</v>
      </c>
      <c r="D21" s="7" t="s">
        <v>42</v>
      </c>
      <c r="E21" s="8" t="s">
        <v>26</v>
      </c>
      <c r="F21" s="78">
        <v>5118.6499999999996</v>
      </c>
      <c r="G21" s="10">
        <v>0.7</v>
      </c>
      <c r="H21" s="53">
        <v>0.25</v>
      </c>
      <c r="I21" s="10">
        <v>0.26</v>
      </c>
      <c r="J21" s="10">
        <v>0.61</v>
      </c>
      <c r="K21" s="10">
        <v>0.87</v>
      </c>
      <c r="L21" s="10">
        <v>1330.85</v>
      </c>
      <c r="M21" s="10">
        <v>3122.37</v>
      </c>
      <c r="N21" s="10">
        <v>4453.22</v>
      </c>
      <c r="O21" s="6">
        <f t="shared" si="0"/>
        <v>2.5569310659183077E-4</v>
      </c>
      <c r="Q21" s="23">
        <f t="shared" si="12"/>
        <v>4453.22</v>
      </c>
      <c r="R21" t="b">
        <f t="shared" si="13"/>
        <v>1</v>
      </c>
      <c r="S21">
        <f t="shared" si="14"/>
        <v>0.87</v>
      </c>
      <c r="T21" t="b">
        <f t="shared" si="15"/>
        <v>1</v>
      </c>
      <c r="U21" s="46">
        <f t="shared" si="16"/>
        <v>4453.2199999999993</v>
      </c>
      <c r="V21" t="b">
        <f t="shared" si="17"/>
        <v>1</v>
      </c>
      <c r="W21" s="46">
        <f t="shared" si="18"/>
        <v>0.87</v>
      </c>
      <c r="X21" t="b">
        <f t="shared" si="19"/>
        <v>1</v>
      </c>
    </row>
    <row r="22" spans="1:24" ht="24" customHeight="1" x14ac:dyDescent="0.2">
      <c r="A22" s="3" t="s">
        <v>360</v>
      </c>
      <c r="B22" s="3"/>
      <c r="C22" s="3"/>
      <c r="D22" s="3" t="s">
        <v>43</v>
      </c>
      <c r="E22" s="3"/>
      <c r="F22" s="77"/>
      <c r="G22" s="4"/>
      <c r="H22" s="52"/>
      <c r="I22" s="3"/>
      <c r="J22" s="3"/>
      <c r="K22" s="3"/>
      <c r="L22" s="3"/>
      <c r="M22" s="3"/>
      <c r="N22" s="5">
        <f>SUM(N23:N31)</f>
        <v>1086597.3600000001</v>
      </c>
      <c r="O22" s="6">
        <f t="shared" si="0"/>
        <v>6.238978864571746E-2</v>
      </c>
    </row>
    <row r="23" spans="1:24" ht="26.1" customHeight="1" x14ac:dyDescent="0.2">
      <c r="A23" s="48" t="s">
        <v>361</v>
      </c>
      <c r="B23" s="49" t="s">
        <v>44</v>
      </c>
      <c r="C23" s="48" t="s">
        <v>20</v>
      </c>
      <c r="D23" s="48" t="s">
        <v>45</v>
      </c>
      <c r="E23" s="50" t="s">
        <v>35</v>
      </c>
      <c r="F23" s="20">
        <v>1408</v>
      </c>
      <c r="G23" s="51">
        <v>148.9</v>
      </c>
      <c r="H23" s="53">
        <v>0.25</v>
      </c>
      <c r="I23" s="51">
        <v>180.72</v>
      </c>
      <c r="J23" s="51">
        <v>5.4</v>
      </c>
      <c r="K23" s="51">
        <v>186.12</v>
      </c>
      <c r="L23" s="51">
        <v>254453.76000000001</v>
      </c>
      <c r="M23" s="51">
        <v>7603.2</v>
      </c>
      <c r="N23" s="51">
        <v>262056.95999999999</v>
      </c>
      <c r="O23" s="6">
        <f t="shared" si="0"/>
        <v>1.5046675934809222E-2</v>
      </c>
      <c r="Q23" s="23">
        <f t="shared" ref="Q23:Q30" si="20">TRUNC(K23*F23,2)</f>
        <v>262056.95999999999</v>
      </c>
      <c r="R23" t="b">
        <f t="shared" ref="R23:R30" si="21">Q23=N23</f>
        <v>1</v>
      </c>
      <c r="S23">
        <f t="shared" ref="S23:S30" si="22">TRUNC(G23*1.25,2)</f>
        <v>186.12</v>
      </c>
      <c r="T23" t="b">
        <f t="shared" ref="T23:T30" si="23">S23=K23</f>
        <v>1</v>
      </c>
      <c r="U23" s="46">
        <f t="shared" ref="U23:U30" si="24">L23+M23</f>
        <v>262056.96000000002</v>
      </c>
      <c r="V23" t="b">
        <f t="shared" ref="V23:V30" si="25">U23=N23</f>
        <v>1</v>
      </c>
      <c r="W23" s="46">
        <f t="shared" ref="W23:W30" si="26">I23+J23</f>
        <v>186.12</v>
      </c>
      <c r="X23" t="b">
        <f t="shared" ref="X23:X30" si="27">W23=K23</f>
        <v>1</v>
      </c>
    </row>
    <row r="24" spans="1:24" ht="26.1" customHeight="1" x14ac:dyDescent="0.2">
      <c r="A24" s="48" t="s">
        <v>362</v>
      </c>
      <c r="B24" s="49" t="s">
        <v>46</v>
      </c>
      <c r="C24" s="48" t="s">
        <v>20</v>
      </c>
      <c r="D24" s="48" t="s">
        <v>47</v>
      </c>
      <c r="E24" s="50" t="s">
        <v>35</v>
      </c>
      <c r="F24" s="20">
        <v>1408</v>
      </c>
      <c r="G24" s="51">
        <v>135.68</v>
      </c>
      <c r="H24" s="53">
        <v>0.25</v>
      </c>
      <c r="I24" s="51">
        <v>164.19</v>
      </c>
      <c r="J24" s="51">
        <v>5.41</v>
      </c>
      <c r="K24" s="51">
        <v>169.6</v>
      </c>
      <c r="L24" s="51">
        <v>231179.51999999999</v>
      </c>
      <c r="M24" s="51">
        <v>7617.28</v>
      </c>
      <c r="N24" s="51">
        <v>238796.79999999999</v>
      </c>
      <c r="O24" s="6">
        <f t="shared" si="0"/>
        <v>1.3711133884287793E-2</v>
      </c>
      <c r="Q24" s="23">
        <f t="shared" si="20"/>
        <v>238796.79999999999</v>
      </c>
      <c r="R24" t="b">
        <f t="shared" si="21"/>
        <v>1</v>
      </c>
      <c r="S24">
        <f t="shared" si="22"/>
        <v>169.6</v>
      </c>
      <c r="T24" t="b">
        <f t="shared" si="23"/>
        <v>1</v>
      </c>
      <c r="U24" s="46">
        <f t="shared" si="24"/>
        <v>238796.79999999999</v>
      </c>
      <c r="V24" t="b">
        <f t="shared" si="25"/>
        <v>1</v>
      </c>
      <c r="W24" s="46">
        <f t="shared" si="26"/>
        <v>169.6</v>
      </c>
      <c r="X24" t="b">
        <f t="shared" si="27"/>
        <v>1</v>
      </c>
    </row>
    <row r="25" spans="1:24" ht="26.1" customHeight="1" x14ac:dyDescent="0.2">
      <c r="A25" s="48" t="s">
        <v>363</v>
      </c>
      <c r="B25" s="49" t="s">
        <v>48</v>
      </c>
      <c r="C25" s="48" t="s">
        <v>20</v>
      </c>
      <c r="D25" s="48" t="s">
        <v>49</v>
      </c>
      <c r="E25" s="50" t="s">
        <v>35</v>
      </c>
      <c r="F25" s="20">
        <v>1408</v>
      </c>
      <c r="G25" s="51">
        <v>38.65</v>
      </c>
      <c r="H25" s="53">
        <v>0.25</v>
      </c>
      <c r="I25" s="51">
        <v>41.63</v>
      </c>
      <c r="J25" s="51">
        <v>6.68</v>
      </c>
      <c r="K25" s="51">
        <v>48.31</v>
      </c>
      <c r="L25" s="51">
        <v>58615.040000000001</v>
      </c>
      <c r="M25" s="51">
        <v>9405.44</v>
      </c>
      <c r="N25" s="51">
        <v>68020.479999999996</v>
      </c>
      <c r="O25" s="6">
        <f t="shared" si="0"/>
        <v>3.9055712143274955E-3</v>
      </c>
      <c r="Q25" s="23">
        <f t="shared" si="20"/>
        <v>68020.479999999996</v>
      </c>
      <c r="R25" t="b">
        <f t="shared" si="21"/>
        <v>1</v>
      </c>
      <c r="S25">
        <f t="shared" si="22"/>
        <v>48.31</v>
      </c>
      <c r="T25" t="b">
        <f t="shared" si="23"/>
        <v>1</v>
      </c>
      <c r="U25" s="46">
        <f t="shared" si="24"/>
        <v>68020.479999999996</v>
      </c>
      <c r="V25" t="b">
        <f t="shared" si="25"/>
        <v>1</v>
      </c>
      <c r="W25" s="46">
        <f t="shared" si="26"/>
        <v>48.31</v>
      </c>
      <c r="X25" t="b">
        <f t="shared" si="27"/>
        <v>1</v>
      </c>
    </row>
    <row r="26" spans="1:24" ht="24" customHeight="1" x14ac:dyDescent="0.2">
      <c r="A26" s="48" t="s">
        <v>364</v>
      </c>
      <c r="B26" s="49" t="s">
        <v>50</v>
      </c>
      <c r="C26" s="48" t="s">
        <v>20</v>
      </c>
      <c r="D26" s="48" t="s">
        <v>51</v>
      </c>
      <c r="E26" s="50" t="s">
        <v>35</v>
      </c>
      <c r="F26" s="20">
        <v>1408</v>
      </c>
      <c r="G26" s="51">
        <v>117.83</v>
      </c>
      <c r="H26" s="53">
        <v>0.25</v>
      </c>
      <c r="I26" s="51">
        <v>139.97999999999999</v>
      </c>
      <c r="J26" s="51">
        <v>7.3</v>
      </c>
      <c r="K26" s="51">
        <v>147.28</v>
      </c>
      <c r="L26" s="51">
        <v>197091.84</v>
      </c>
      <c r="M26" s="51">
        <v>10278.4</v>
      </c>
      <c r="N26" s="51">
        <v>207370.23999999999</v>
      </c>
      <c r="O26" s="6">
        <f t="shared" si="0"/>
        <v>1.1906696924987654E-2</v>
      </c>
      <c r="Q26" s="23">
        <f t="shared" si="20"/>
        <v>207370.23999999999</v>
      </c>
      <c r="R26" t="b">
        <f t="shared" si="21"/>
        <v>1</v>
      </c>
      <c r="S26">
        <f t="shared" si="22"/>
        <v>147.28</v>
      </c>
      <c r="T26" t="b">
        <f t="shared" si="23"/>
        <v>1</v>
      </c>
      <c r="U26" s="46">
        <f t="shared" si="24"/>
        <v>207370.23999999999</v>
      </c>
      <c r="V26" t="b">
        <f t="shared" si="25"/>
        <v>1</v>
      </c>
      <c r="W26" s="46">
        <f t="shared" si="26"/>
        <v>147.28</v>
      </c>
      <c r="X26" t="b">
        <f t="shared" si="27"/>
        <v>1</v>
      </c>
    </row>
    <row r="27" spans="1:24" ht="24" customHeight="1" x14ac:dyDescent="0.2">
      <c r="A27" s="48" t="s">
        <v>365</v>
      </c>
      <c r="B27" s="49" t="s">
        <v>52</v>
      </c>
      <c r="C27" s="48" t="s">
        <v>20</v>
      </c>
      <c r="D27" s="48" t="s">
        <v>53</v>
      </c>
      <c r="E27" s="50" t="s">
        <v>35</v>
      </c>
      <c r="F27" s="20">
        <v>1408</v>
      </c>
      <c r="G27" s="51">
        <v>72.680000000000007</v>
      </c>
      <c r="H27" s="53">
        <v>0.25</v>
      </c>
      <c r="I27" s="51">
        <v>83.54</v>
      </c>
      <c r="J27" s="51">
        <v>7.31</v>
      </c>
      <c r="K27" s="51">
        <v>90.85</v>
      </c>
      <c r="L27" s="51">
        <v>117624.32000000001</v>
      </c>
      <c r="M27" s="51">
        <v>10292.48</v>
      </c>
      <c r="N27" s="51">
        <v>127916.8</v>
      </c>
      <c r="O27" s="6">
        <f t="shared" si="0"/>
        <v>7.3446728383699646E-3</v>
      </c>
      <c r="Q27" s="23">
        <f t="shared" si="20"/>
        <v>127916.8</v>
      </c>
      <c r="R27" t="b">
        <f t="shared" si="21"/>
        <v>1</v>
      </c>
      <c r="S27">
        <f t="shared" si="22"/>
        <v>90.85</v>
      </c>
      <c r="T27" t="b">
        <f t="shared" si="23"/>
        <v>1</v>
      </c>
      <c r="U27" s="46">
        <f t="shared" si="24"/>
        <v>127916.8</v>
      </c>
      <c r="V27" t="b">
        <f t="shared" si="25"/>
        <v>1</v>
      </c>
      <c r="W27" s="46">
        <f t="shared" si="26"/>
        <v>90.850000000000009</v>
      </c>
      <c r="X27" t="b">
        <f t="shared" si="27"/>
        <v>1</v>
      </c>
    </row>
    <row r="28" spans="1:24" ht="26.1" customHeight="1" x14ac:dyDescent="0.2">
      <c r="A28" s="48" t="s">
        <v>366</v>
      </c>
      <c r="B28" s="49" t="s">
        <v>54</v>
      </c>
      <c r="C28" s="48" t="s">
        <v>20</v>
      </c>
      <c r="D28" s="48" t="s">
        <v>55</v>
      </c>
      <c r="E28" s="50" t="s">
        <v>35</v>
      </c>
      <c r="F28" s="20">
        <v>1408</v>
      </c>
      <c r="G28" s="51">
        <v>24.48</v>
      </c>
      <c r="H28" s="53">
        <v>0.25</v>
      </c>
      <c r="I28" s="51">
        <v>22.37</v>
      </c>
      <c r="J28" s="51">
        <v>8.23</v>
      </c>
      <c r="K28" s="51">
        <v>30.6</v>
      </c>
      <c r="L28" s="51">
        <v>31496.959999999999</v>
      </c>
      <c r="M28" s="51">
        <v>11587.84</v>
      </c>
      <c r="N28" s="51">
        <v>43084.800000000003</v>
      </c>
      <c r="O28" s="6">
        <f t="shared" si="0"/>
        <v>2.4738248635566423E-3</v>
      </c>
      <c r="Q28" s="23">
        <f t="shared" si="20"/>
        <v>43084.800000000003</v>
      </c>
      <c r="R28" t="b">
        <f t="shared" si="21"/>
        <v>1</v>
      </c>
      <c r="S28">
        <f t="shared" si="22"/>
        <v>30.6</v>
      </c>
      <c r="T28" t="b">
        <f t="shared" si="23"/>
        <v>1</v>
      </c>
      <c r="U28" s="46">
        <f t="shared" si="24"/>
        <v>43084.800000000003</v>
      </c>
      <c r="V28" t="b">
        <f t="shared" si="25"/>
        <v>1</v>
      </c>
      <c r="W28" s="46">
        <f t="shared" si="26"/>
        <v>30.6</v>
      </c>
      <c r="X28" t="b">
        <f t="shared" si="27"/>
        <v>1</v>
      </c>
    </row>
    <row r="29" spans="1:24" ht="24" customHeight="1" x14ac:dyDescent="0.2">
      <c r="A29" s="48" t="s">
        <v>367</v>
      </c>
      <c r="B29" s="49" t="s">
        <v>56</v>
      </c>
      <c r="C29" s="48" t="s">
        <v>20</v>
      </c>
      <c r="D29" s="48" t="s">
        <v>57</v>
      </c>
      <c r="E29" s="50" t="s">
        <v>35</v>
      </c>
      <c r="F29" s="20">
        <v>1408</v>
      </c>
      <c r="G29" s="51">
        <v>29.59</v>
      </c>
      <c r="H29" s="53">
        <v>0.25</v>
      </c>
      <c r="I29" s="51">
        <v>30.51</v>
      </c>
      <c r="J29" s="51">
        <v>6.47</v>
      </c>
      <c r="K29" s="51">
        <v>36.979999999999997</v>
      </c>
      <c r="L29" s="51">
        <v>42958.080000000002</v>
      </c>
      <c r="M29" s="51">
        <v>9109.76</v>
      </c>
      <c r="N29" s="51">
        <v>52067.839999999997</v>
      </c>
      <c r="O29" s="6">
        <f t="shared" si="0"/>
        <v>2.9896092632132228E-3</v>
      </c>
      <c r="Q29" s="23">
        <f t="shared" si="20"/>
        <v>52067.839999999997</v>
      </c>
      <c r="R29" t="b">
        <f t="shared" si="21"/>
        <v>1</v>
      </c>
      <c r="S29">
        <f t="shared" si="22"/>
        <v>36.979999999999997</v>
      </c>
      <c r="T29" t="b">
        <f t="shared" si="23"/>
        <v>1</v>
      </c>
      <c r="U29" s="46">
        <f t="shared" si="24"/>
        <v>52067.840000000004</v>
      </c>
      <c r="V29" t="b">
        <f t="shared" si="25"/>
        <v>1</v>
      </c>
      <c r="W29" s="46">
        <f t="shared" si="26"/>
        <v>36.980000000000004</v>
      </c>
      <c r="X29" t="b">
        <f t="shared" si="27"/>
        <v>1</v>
      </c>
    </row>
    <row r="30" spans="1:24" ht="26.1" customHeight="1" x14ac:dyDescent="0.2">
      <c r="A30" s="48" t="s">
        <v>368</v>
      </c>
      <c r="B30" s="49" t="s">
        <v>58</v>
      </c>
      <c r="C30" s="48" t="s">
        <v>20</v>
      </c>
      <c r="D30" s="48" t="s">
        <v>59</v>
      </c>
      <c r="E30" s="50" t="s">
        <v>35</v>
      </c>
      <c r="F30" s="20">
        <v>1408</v>
      </c>
      <c r="G30" s="51">
        <v>44.25</v>
      </c>
      <c r="H30" s="53">
        <v>0.25</v>
      </c>
      <c r="I30" s="51">
        <v>48.83</v>
      </c>
      <c r="J30" s="51">
        <v>6.48</v>
      </c>
      <c r="K30" s="51">
        <v>55.31</v>
      </c>
      <c r="L30" s="51">
        <v>68752.639999999999</v>
      </c>
      <c r="M30" s="51">
        <v>9123.84</v>
      </c>
      <c r="N30" s="51">
        <v>77876.479999999996</v>
      </c>
      <c r="O30" s="6">
        <f t="shared" ref="O30:O62" si="28">N30/$N$176</f>
        <v>4.4714788628535248E-3</v>
      </c>
      <c r="Q30" s="23">
        <f t="shared" si="20"/>
        <v>77876.479999999996</v>
      </c>
      <c r="R30" t="b">
        <f t="shared" si="21"/>
        <v>1</v>
      </c>
      <c r="S30">
        <f t="shared" si="22"/>
        <v>55.31</v>
      </c>
      <c r="T30" t="b">
        <f t="shared" si="23"/>
        <v>1</v>
      </c>
      <c r="U30" s="46">
        <f t="shared" si="24"/>
        <v>77876.479999999996</v>
      </c>
      <c r="V30" t="b">
        <f t="shared" si="25"/>
        <v>1</v>
      </c>
      <c r="W30" s="46">
        <f t="shared" si="26"/>
        <v>55.31</v>
      </c>
      <c r="X30" t="b">
        <f t="shared" si="27"/>
        <v>1</v>
      </c>
    </row>
    <row r="31" spans="1:24" ht="26.1" customHeight="1" x14ac:dyDescent="0.2">
      <c r="A31" s="48" t="s">
        <v>523</v>
      </c>
      <c r="B31" s="49" t="s">
        <v>526</v>
      </c>
      <c r="C31" s="48" t="s">
        <v>527</v>
      </c>
      <c r="D31" s="48" t="s">
        <v>525</v>
      </c>
      <c r="E31" s="50" t="s">
        <v>295</v>
      </c>
      <c r="F31" s="20"/>
      <c r="G31" s="51"/>
      <c r="H31" s="53"/>
      <c r="I31" s="51"/>
      <c r="J31" s="51"/>
      <c r="K31" s="51"/>
      <c r="L31" s="51"/>
      <c r="M31" s="51">
        <f>N31</f>
        <v>9406.9599999999991</v>
      </c>
      <c r="N31" s="51">
        <v>9406.9599999999991</v>
      </c>
      <c r="O31" s="57">
        <f t="shared" si="28"/>
        <v>5.4012485931193336E-4</v>
      </c>
      <c r="Q31" s="23"/>
      <c r="U31" s="46"/>
      <c r="W31" s="46"/>
    </row>
    <row r="32" spans="1:24" ht="24" customHeight="1" x14ac:dyDescent="0.2">
      <c r="A32" s="3" t="s">
        <v>369</v>
      </c>
      <c r="B32" s="3"/>
      <c r="C32" s="3"/>
      <c r="D32" s="3" t="s">
        <v>60</v>
      </c>
      <c r="E32" s="3"/>
      <c r="F32" s="77"/>
      <c r="G32" s="4"/>
      <c r="H32" s="52"/>
      <c r="I32" s="3"/>
      <c r="J32" s="3"/>
      <c r="K32" s="3"/>
      <c r="L32" s="3"/>
      <c r="M32" s="3"/>
      <c r="N32" s="5">
        <f>SUM(N33:N55)</f>
        <v>443023.68</v>
      </c>
      <c r="O32" s="6">
        <f t="shared" si="28"/>
        <v>2.543734669137054E-2</v>
      </c>
    </row>
    <row r="33" spans="1:24" ht="26.1" customHeight="1" x14ac:dyDescent="0.2">
      <c r="A33" s="7" t="s">
        <v>370</v>
      </c>
      <c r="B33" s="9" t="s">
        <v>61</v>
      </c>
      <c r="C33" s="7" t="s">
        <v>20</v>
      </c>
      <c r="D33" s="7" t="s">
        <v>62</v>
      </c>
      <c r="E33" s="8" t="s">
        <v>63</v>
      </c>
      <c r="F33" s="78">
        <v>413.11</v>
      </c>
      <c r="G33" s="10">
        <v>115.65</v>
      </c>
      <c r="H33" s="53">
        <v>0.25</v>
      </c>
      <c r="I33" s="10">
        <v>105</v>
      </c>
      <c r="J33" s="10">
        <v>39.56</v>
      </c>
      <c r="K33" s="10">
        <v>144.56</v>
      </c>
      <c r="L33" s="10">
        <v>43376.55</v>
      </c>
      <c r="M33" s="10">
        <v>16342.63</v>
      </c>
      <c r="N33" s="10">
        <v>59719.18</v>
      </c>
      <c r="O33" s="6">
        <f t="shared" si="28"/>
        <v>3.4289306742798977E-3</v>
      </c>
      <c r="Q33" s="23">
        <f t="shared" ref="Q33:Q55" si="29">TRUNC(K33*F33,2)</f>
        <v>59719.18</v>
      </c>
      <c r="R33" t="b">
        <f t="shared" ref="R33:R55" si="30">Q33=N33</f>
        <v>1</v>
      </c>
      <c r="S33">
        <f t="shared" ref="S33:S55" si="31">TRUNC(G33*1.25,2)</f>
        <v>144.56</v>
      </c>
      <c r="T33" t="b">
        <f t="shared" ref="T33:T55" si="32">S33=K33</f>
        <v>1</v>
      </c>
      <c r="U33" s="46">
        <f t="shared" ref="U33:U55" si="33">L33+M33</f>
        <v>59719.18</v>
      </c>
      <c r="V33" t="b">
        <f t="shared" ref="V33:V55" si="34">U33=N33</f>
        <v>1</v>
      </c>
      <c r="W33" s="46">
        <f t="shared" ref="W33:W55" si="35">I33+J33</f>
        <v>144.56</v>
      </c>
      <c r="X33" t="b">
        <f t="shared" ref="X33:X55" si="36">W33=K33</f>
        <v>1</v>
      </c>
    </row>
    <row r="34" spans="1:24" ht="26.1" customHeight="1" x14ac:dyDescent="0.2">
      <c r="A34" s="7" t="s">
        <v>371</v>
      </c>
      <c r="B34" s="9" t="s">
        <v>64</v>
      </c>
      <c r="C34" s="7" t="s">
        <v>20</v>
      </c>
      <c r="D34" s="7" t="s">
        <v>65</v>
      </c>
      <c r="E34" s="8" t="s">
        <v>63</v>
      </c>
      <c r="F34" s="78">
        <v>58</v>
      </c>
      <c r="G34" s="10">
        <v>618.17999999999995</v>
      </c>
      <c r="H34" s="53">
        <v>0.25</v>
      </c>
      <c r="I34" s="10">
        <v>561.35</v>
      </c>
      <c r="J34" s="10">
        <v>211.37</v>
      </c>
      <c r="K34" s="10">
        <v>772.72</v>
      </c>
      <c r="L34" s="10">
        <v>32558.3</v>
      </c>
      <c r="M34" s="10">
        <v>12259.46</v>
      </c>
      <c r="N34" s="10">
        <v>44817.760000000002</v>
      </c>
      <c r="O34" s="6">
        <f t="shared" si="28"/>
        <v>2.5733272294849768E-3</v>
      </c>
      <c r="Q34" s="23">
        <f t="shared" si="29"/>
        <v>44817.760000000002</v>
      </c>
      <c r="R34" t="b">
        <f t="shared" si="30"/>
        <v>1</v>
      </c>
      <c r="S34">
        <f t="shared" si="31"/>
        <v>772.72</v>
      </c>
      <c r="T34" t="b">
        <f t="shared" si="32"/>
        <v>1</v>
      </c>
      <c r="U34" s="46">
        <f t="shared" si="33"/>
        <v>44817.759999999995</v>
      </c>
      <c r="V34" t="b">
        <f t="shared" si="34"/>
        <v>1</v>
      </c>
      <c r="W34" s="46">
        <f t="shared" si="35"/>
        <v>772.72</v>
      </c>
      <c r="X34" t="b">
        <f t="shared" si="36"/>
        <v>1</v>
      </c>
    </row>
    <row r="35" spans="1:24" ht="26.1" customHeight="1" x14ac:dyDescent="0.2">
      <c r="A35" s="7" t="s">
        <v>372</v>
      </c>
      <c r="B35" s="9" t="s">
        <v>66</v>
      </c>
      <c r="C35" s="7" t="s">
        <v>20</v>
      </c>
      <c r="D35" s="7" t="s">
        <v>67</v>
      </c>
      <c r="E35" s="8" t="s">
        <v>26</v>
      </c>
      <c r="F35" s="78">
        <v>85.51</v>
      </c>
      <c r="G35" s="10">
        <v>24.61</v>
      </c>
      <c r="H35" s="53">
        <v>0.25</v>
      </c>
      <c r="I35" s="10">
        <v>22.46</v>
      </c>
      <c r="J35" s="10">
        <v>8.3000000000000007</v>
      </c>
      <c r="K35" s="10">
        <v>30.76</v>
      </c>
      <c r="L35" s="10">
        <v>1920.55</v>
      </c>
      <c r="M35" s="10">
        <v>709.73</v>
      </c>
      <c r="N35" s="10">
        <v>2630.28</v>
      </c>
      <c r="O35" s="6">
        <f t="shared" si="28"/>
        <v>1.5102430699726505E-4</v>
      </c>
      <c r="Q35" s="23">
        <f t="shared" si="29"/>
        <v>2630.28</v>
      </c>
      <c r="R35" t="b">
        <f t="shared" si="30"/>
        <v>1</v>
      </c>
      <c r="S35">
        <f t="shared" si="31"/>
        <v>30.76</v>
      </c>
      <c r="T35" t="b">
        <f t="shared" si="32"/>
        <v>1</v>
      </c>
      <c r="U35" s="46">
        <f t="shared" si="33"/>
        <v>2630.2799999999997</v>
      </c>
      <c r="V35" t="b">
        <f t="shared" si="34"/>
        <v>1</v>
      </c>
      <c r="W35" s="46">
        <f t="shared" si="35"/>
        <v>30.76</v>
      </c>
      <c r="X35" t="b">
        <f t="shared" si="36"/>
        <v>1</v>
      </c>
    </row>
    <row r="36" spans="1:24" ht="39" customHeight="1" x14ac:dyDescent="0.2">
      <c r="A36" s="7" t="s">
        <v>373</v>
      </c>
      <c r="B36" s="9" t="s">
        <v>68</v>
      </c>
      <c r="C36" s="7" t="s">
        <v>20</v>
      </c>
      <c r="D36" s="7" t="s">
        <v>69</v>
      </c>
      <c r="E36" s="8" t="s">
        <v>63</v>
      </c>
      <c r="F36" s="78">
        <v>30</v>
      </c>
      <c r="G36" s="10">
        <v>105.1</v>
      </c>
      <c r="H36" s="53">
        <v>0.25</v>
      </c>
      <c r="I36" s="10">
        <v>98.87</v>
      </c>
      <c r="J36" s="10">
        <v>32.5</v>
      </c>
      <c r="K36" s="10">
        <v>131.37</v>
      </c>
      <c r="L36" s="10">
        <v>2966.1</v>
      </c>
      <c r="M36" s="10">
        <v>975</v>
      </c>
      <c r="N36" s="10">
        <v>3941.1</v>
      </c>
      <c r="O36" s="6">
        <f t="shared" si="28"/>
        <v>2.2628841655904361E-4</v>
      </c>
      <c r="Q36" s="23">
        <f t="shared" si="29"/>
        <v>3941.1</v>
      </c>
      <c r="R36" t="b">
        <f t="shared" si="30"/>
        <v>1</v>
      </c>
      <c r="S36">
        <f t="shared" si="31"/>
        <v>131.37</v>
      </c>
      <c r="T36" t="b">
        <f t="shared" si="32"/>
        <v>1</v>
      </c>
      <c r="U36" s="46">
        <f t="shared" si="33"/>
        <v>3941.1</v>
      </c>
      <c r="V36" t="b">
        <f t="shared" si="34"/>
        <v>1</v>
      </c>
      <c r="W36" s="46">
        <f t="shared" si="35"/>
        <v>131.37</v>
      </c>
      <c r="X36" t="b">
        <f t="shared" si="36"/>
        <v>1</v>
      </c>
    </row>
    <row r="37" spans="1:24" ht="26.1" customHeight="1" x14ac:dyDescent="0.2">
      <c r="A37" s="7" t="s">
        <v>374</v>
      </c>
      <c r="B37" s="9" t="s">
        <v>70</v>
      </c>
      <c r="C37" s="7" t="s">
        <v>20</v>
      </c>
      <c r="D37" s="7" t="s">
        <v>71</v>
      </c>
      <c r="E37" s="8" t="s">
        <v>26</v>
      </c>
      <c r="F37" s="78">
        <v>9338.67</v>
      </c>
      <c r="G37" s="10">
        <v>12.32</v>
      </c>
      <c r="H37" s="53">
        <v>0.25</v>
      </c>
      <c r="I37" s="10">
        <v>11.25</v>
      </c>
      <c r="J37" s="10">
        <v>4.1500000000000004</v>
      </c>
      <c r="K37" s="10">
        <v>15.4</v>
      </c>
      <c r="L37" s="10">
        <v>105060.04</v>
      </c>
      <c r="M37" s="10">
        <v>38755.47</v>
      </c>
      <c r="N37" s="10">
        <v>143815.51</v>
      </c>
      <c r="O37" s="6">
        <f t="shared" si="28"/>
        <v>8.2575382595040225E-3</v>
      </c>
      <c r="Q37" s="23">
        <f t="shared" si="29"/>
        <v>143815.51</v>
      </c>
      <c r="R37" t="b">
        <f t="shared" si="30"/>
        <v>1</v>
      </c>
      <c r="S37">
        <f t="shared" si="31"/>
        <v>15.4</v>
      </c>
      <c r="T37" t="b">
        <f t="shared" si="32"/>
        <v>1</v>
      </c>
      <c r="U37" s="46">
        <f t="shared" si="33"/>
        <v>143815.51</v>
      </c>
      <c r="V37" t="b">
        <f t="shared" si="34"/>
        <v>1</v>
      </c>
      <c r="W37" s="46">
        <f t="shared" si="35"/>
        <v>15.4</v>
      </c>
      <c r="X37" t="b">
        <f t="shared" si="36"/>
        <v>1</v>
      </c>
    </row>
    <row r="38" spans="1:24" ht="39" customHeight="1" x14ac:dyDescent="0.2">
      <c r="A38" s="7" t="s">
        <v>375</v>
      </c>
      <c r="B38" s="9" t="s">
        <v>72</v>
      </c>
      <c r="C38" s="7" t="s">
        <v>20</v>
      </c>
      <c r="D38" s="7" t="s">
        <v>73</v>
      </c>
      <c r="E38" s="8" t="s">
        <v>26</v>
      </c>
      <c r="F38" s="78">
        <v>1107.78</v>
      </c>
      <c r="G38" s="10">
        <v>3.81</v>
      </c>
      <c r="H38" s="53">
        <v>0.25</v>
      </c>
      <c r="I38" s="10">
        <v>3.48</v>
      </c>
      <c r="J38" s="10">
        <v>1.28</v>
      </c>
      <c r="K38" s="10">
        <v>4.76</v>
      </c>
      <c r="L38" s="10">
        <v>3855.07</v>
      </c>
      <c r="M38" s="10">
        <v>1417.96</v>
      </c>
      <c r="N38" s="10">
        <v>5273.03</v>
      </c>
      <c r="O38" s="6">
        <f t="shared" si="28"/>
        <v>3.027646111918839E-4</v>
      </c>
      <c r="Q38" s="23">
        <f t="shared" si="29"/>
        <v>5273.03</v>
      </c>
      <c r="R38" t="b">
        <f t="shared" si="30"/>
        <v>1</v>
      </c>
      <c r="S38">
        <f t="shared" si="31"/>
        <v>4.76</v>
      </c>
      <c r="T38" t="b">
        <f t="shared" si="32"/>
        <v>1</v>
      </c>
      <c r="U38" s="46">
        <f t="shared" si="33"/>
        <v>5273.0300000000007</v>
      </c>
      <c r="V38" t="b">
        <f t="shared" si="34"/>
        <v>1</v>
      </c>
      <c r="W38" s="46">
        <f t="shared" si="35"/>
        <v>4.76</v>
      </c>
      <c r="X38" t="b">
        <f t="shared" si="36"/>
        <v>1</v>
      </c>
    </row>
    <row r="39" spans="1:24" ht="39" customHeight="1" x14ac:dyDescent="0.2">
      <c r="A39" s="7" t="s">
        <v>376</v>
      </c>
      <c r="B39" s="9" t="s">
        <v>74</v>
      </c>
      <c r="C39" s="7" t="s">
        <v>20</v>
      </c>
      <c r="D39" s="7" t="s">
        <v>75</v>
      </c>
      <c r="E39" s="8" t="s">
        <v>21</v>
      </c>
      <c r="F39" s="78">
        <v>11</v>
      </c>
      <c r="G39" s="10">
        <v>238.22</v>
      </c>
      <c r="H39" s="53">
        <v>0.25</v>
      </c>
      <c r="I39" s="10">
        <v>95.76</v>
      </c>
      <c r="J39" s="10">
        <v>202.01</v>
      </c>
      <c r="K39" s="10">
        <v>297.77</v>
      </c>
      <c r="L39" s="10">
        <v>1053.3599999999999</v>
      </c>
      <c r="M39" s="10">
        <v>2222.11</v>
      </c>
      <c r="N39" s="10">
        <v>3275.47</v>
      </c>
      <c r="O39" s="6">
        <f t="shared" si="28"/>
        <v>1.8806955413124522E-4</v>
      </c>
      <c r="Q39" s="23">
        <f t="shared" si="29"/>
        <v>3275.47</v>
      </c>
      <c r="R39" t="b">
        <f t="shared" si="30"/>
        <v>1</v>
      </c>
      <c r="S39">
        <f t="shared" si="31"/>
        <v>297.77</v>
      </c>
      <c r="T39" t="b">
        <f t="shared" si="32"/>
        <v>1</v>
      </c>
      <c r="U39" s="46">
        <f t="shared" si="33"/>
        <v>3275.4700000000003</v>
      </c>
      <c r="V39" t="b">
        <f t="shared" si="34"/>
        <v>1</v>
      </c>
      <c r="W39" s="46">
        <f t="shared" si="35"/>
        <v>297.77</v>
      </c>
      <c r="X39" t="b">
        <f t="shared" si="36"/>
        <v>1</v>
      </c>
    </row>
    <row r="40" spans="1:24" ht="39" customHeight="1" x14ac:dyDescent="0.2">
      <c r="A40" s="7" t="s">
        <v>377</v>
      </c>
      <c r="B40" s="9" t="s">
        <v>76</v>
      </c>
      <c r="C40" s="7" t="s">
        <v>20</v>
      </c>
      <c r="D40" s="7" t="s">
        <v>77</v>
      </c>
      <c r="E40" s="8" t="s">
        <v>21</v>
      </c>
      <c r="F40" s="78">
        <v>10</v>
      </c>
      <c r="G40" s="10">
        <v>203.18</v>
      </c>
      <c r="H40" s="53">
        <v>0.25</v>
      </c>
      <c r="I40" s="10">
        <v>186.58</v>
      </c>
      <c r="J40" s="10">
        <v>67.39</v>
      </c>
      <c r="K40" s="10">
        <v>253.97</v>
      </c>
      <c r="L40" s="10">
        <v>1865.8</v>
      </c>
      <c r="M40" s="10">
        <v>673.9</v>
      </c>
      <c r="N40" s="10">
        <v>2539.6999999999998</v>
      </c>
      <c r="O40" s="6">
        <f t="shared" si="28"/>
        <v>1.458234227842488E-4</v>
      </c>
      <c r="Q40" s="23">
        <f t="shared" si="29"/>
        <v>2539.6999999999998</v>
      </c>
      <c r="R40" t="b">
        <f t="shared" si="30"/>
        <v>1</v>
      </c>
      <c r="S40">
        <f t="shared" si="31"/>
        <v>253.97</v>
      </c>
      <c r="T40" t="b">
        <f t="shared" si="32"/>
        <v>1</v>
      </c>
      <c r="U40" s="46">
        <f t="shared" si="33"/>
        <v>2539.6999999999998</v>
      </c>
      <c r="V40" t="b">
        <f t="shared" si="34"/>
        <v>1</v>
      </c>
      <c r="W40" s="46">
        <f t="shared" si="35"/>
        <v>253.97000000000003</v>
      </c>
      <c r="X40" t="b">
        <f t="shared" si="36"/>
        <v>1</v>
      </c>
    </row>
    <row r="41" spans="1:24" ht="26.1" customHeight="1" x14ac:dyDescent="0.2">
      <c r="A41" s="7" t="s">
        <v>378</v>
      </c>
      <c r="B41" s="9" t="s">
        <v>78</v>
      </c>
      <c r="C41" s="7" t="s">
        <v>20</v>
      </c>
      <c r="D41" s="7" t="s">
        <v>79</v>
      </c>
      <c r="E41" s="8" t="s">
        <v>38</v>
      </c>
      <c r="F41" s="78">
        <v>356</v>
      </c>
      <c r="G41" s="10">
        <v>4.8499999999999996</v>
      </c>
      <c r="H41" s="53">
        <v>0.25</v>
      </c>
      <c r="I41" s="10">
        <v>4.5</v>
      </c>
      <c r="J41" s="10">
        <v>1.56</v>
      </c>
      <c r="K41" s="10">
        <v>6.06</v>
      </c>
      <c r="L41" s="10">
        <v>1602</v>
      </c>
      <c r="M41" s="10">
        <v>555.36</v>
      </c>
      <c r="N41" s="10">
        <v>2157.36</v>
      </c>
      <c r="O41" s="6">
        <f t="shared" si="28"/>
        <v>1.2387038602111551E-4</v>
      </c>
      <c r="Q41" s="23">
        <f t="shared" si="29"/>
        <v>2157.36</v>
      </c>
      <c r="R41" t="b">
        <f t="shared" si="30"/>
        <v>1</v>
      </c>
      <c r="S41">
        <f t="shared" si="31"/>
        <v>6.06</v>
      </c>
      <c r="T41" t="b">
        <f t="shared" si="32"/>
        <v>1</v>
      </c>
      <c r="U41" s="46">
        <f t="shared" si="33"/>
        <v>2157.36</v>
      </c>
      <c r="V41" t="b">
        <f t="shared" si="34"/>
        <v>1</v>
      </c>
      <c r="W41" s="46">
        <f t="shared" si="35"/>
        <v>6.0600000000000005</v>
      </c>
      <c r="X41" t="b">
        <f t="shared" si="36"/>
        <v>1</v>
      </c>
    </row>
    <row r="42" spans="1:24" ht="26.1" customHeight="1" x14ac:dyDescent="0.2">
      <c r="A42" s="7" t="s">
        <v>379</v>
      </c>
      <c r="B42" s="9" t="s">
        <v>80</v>
      </c>
      <c r="C42" s="7" t="s">
        <v>20</v>
      </c>
      <c r="D42" s="7" t="s">
        <v>81</v>
      </c>
      <c r="E42" s="8" t="s">
        <v>21</v>
      </c>
      <c r="F42" s="78">
        <v>25</v>
      </c>
      <c r="G42" s="10">
        <v>13.61</v>
      </c>
      <c r="H42" s="53">
        <v>0.25</v>
      </c>
      <c r="I42" s="10">
        <v>12.52</v>
      </c>
      <c r="J42" s="10">
        <v>4.49</v>
      </c>
      <c r="K42" s="10">
        <v>17.010000000000002</v>
      </c>
      <c r="L42" s="10">
        <v>313</v>
      </c>
      <c r="M42" s="10">
        <v>112.25</v>
      </c>
      <c r="N42" s="10">
        <v>425.25</v>
      </c>
      <c r="O42" s="6">
        <f t="shared" si="28"/>
        <v>2.4416825034059854E-5</v>
      </c>
      <c r="Q42" s="23">
        <f t="shared" si="29"/>
        <v>425.25</v>
      </c>
      <c r="R42" t="b">
        <f t="shared" si="30"/>
        <v>1</v>
      </c>
      <c r="S42">
        <f t="shared" si="31"/>
        <v>17.010000000000002</v>
      </c>
      <c r="T42" t="b">
        <f t="shared" si="32"/>
        <v>1</v>
      </c>
      <c r="U42" s="46">
        <f t="shared" si="33"/>
        <v>425.25</v>
      </c>
      <c r="V42" t="b">
        <f t="shared" si="34"/>
        <v>1</v>
      </c>
      <c r="W42" s="46">
        <f t="shared" si="35"/>
        <v>17.009999999999998</v>
      </c>
      <c r="X42" t="b">
        <f t="shared" si="36"/>
        <v>1</v>
      </c>
    </row>
    <row r="43" spans="1:24" ht="26.1" customHeight="1" x14ac:dyDescent="0.2">
      <c r="A43" s="7" t="s">
        <v>380</v>
      </c>
      <c r="B43" s="9" t="s">
        <v>82</v>
      </c>
      <c r="C43" s="7" t="s">
        <v>20</v>
      </c>
      <c r="D43" s="7" t="s">
        <v>83</v>
      </c>
      <c r="E43" s="8" t="s">
        <v>26</v>
      </c>
      <c r="F43" s="78">
        <v>95.23</v>
      </c>
      <c r="G43" s="10">
        <v>10.27</v>
      </c>
      <c r="H43" s="53">
        <v>0.25</v>
      </c>
      <c r="I43" s="10">
        <v>9.39</v>
      </c>
      <c r="J43" s="10">
        <v>3.44</v>
      </c>
      <c r="K43" s="10">
        <v>12.83</v>
      </c>
      <c r="L43" s="10">
        <v>894.21</v>
      </c>
      <c r="M43" s="10">
        <v>327.58999999999997</v>
      </c>
      <c r="N43" s="10">
        <v>1221.8</v>
      </c>
      <c r="O43" s="6">
        <f t="shared" si="28"/>
        <v>7.0152796770404065E-5</v>
      </c>
      <c r="Q43" s="23">
        <f t="shared" si="29"/>
        <v>1221.8</v>
      </c>
      <c r="R43" t="b">
        <f t="shared" si="30"/>
        <v>1</v>
      </c>
      <c r="S43">
        <f t="shared" si="31"/>
        <v>12.83</v>
      </c>
      <c r="T43" t="b">
        <f t="shared" si="32"/>
        <v>1</v>
      </c>
      <c r="U43" s="46">
        <f t="shared" si="33"/>
        <v>1221.8</v>
      </c>
      <c r="V43" t="b">
        <f t="shared" si="34"/>
        <v>1</v>
      </c>
      <c r="W43" s="46">
        <f t="shared" si="35"/>
        <v>12.83</v>
      </c>
      <c r="X43" t="b">
        <f t="shared" si="36"/>
        <v>1</v>
      </c>
    </row>
    <row r="44" spans="1:24" ht="26.1" customHeight="1" x14ac:dyDescent="0.2">
      <c r="A44" s="7" t="s">
        <v>381</v>
      </c>
      <c r="B44" s="9" t="s">
        <v>84</v>
      </c>
      <c r="C44" s="7" t="s">
        <v>20</v>
      </c>
      <c r="D44" s="7" t="s">
        <v>85</v>
      </c>
      <c r="E44" s="8" t="s">
        <v>26</v>
      </c>
      <c r="F44" s="78">
        <v>284</v>
      </c>
      <c r="G44" s="10">
        <v>26.52</v>
      </c>
      <c r="H44" s="53">
        <v>0.25</v>
      </c>
      <c r="I44" s="10">
        <v>24.28</v>
      </c>
      <c r="J44" s="10">
        <v>8.8699999999999992</v>
      </c>
      <c r="K44" s="10">
        <v>33.15</v>
      </c>
      <c r="L44" s="10">
        <v>6895.52</v>
      </c>
      <c r="M44" s="10">
        <v>2519.08</v>
      </c>
      <c r="N44" s="10">
        <v>9414.6</v>
      </c>
      <c r="O44" s="6">
        <f t="shared" si="28"/>
        <v>5.4056352960766586E-4</v>
      </c>
      <c r="Q44" s="23">
        <f t="shared" si="29"/>
        <v>9414.6</v>
      </c>
      <c r="R44" t="b">
        <f t="shared" si="30"/>
        <v>1</v>
      </c>
      <c r="S44">
        <f t="shared" si="31"/>
        <v>33.15</v>
      </c>
      <c r="T44" t="b">
        <f t="shared" si="32"/>
        <v>1</v>
      </c>
      <c r="U44" s="46">
        <f t="shared" si="33"/>
        <v>9414.6</v>
      </c>
      <c r="V44" t="b">
        <f t="shared" si="34"/>
        <v>1</v>
      </c>
      <c r="W44" s="46">
        <f t="shared" si="35"/>
        <v>33.15</v>
      </c>
      <c r="X44" t="b">
        <f t="shared" si="36"/>
        <v>1</v>
      </c>
    </row>
    <row r="45" spans="1:24" ht="51.95" customHeight="1" x14ac:dyDescent="0.2">
      <c r="A45" s="7" t="s">
        <v>382</v>
      </c>
      <c r="B45" s="9" t="s">
        <v>86</v>
      </c>
      <c r="C45" s="7" t="s">
        <v>20</v>
      </c>
      <c r="D45" s="7" t="s">
        <v>87</v>
      </c>
      <c r="E45" s="8" t="s">
        <v>63</v>
      </c>
      <c r="F45" s="78">
        <v>200</v>
      </c>
      <c r="G45" s="10">
        <v>80.23</v>
      </c>
      <c r="H45" s="53">
        <v>0.25</v>
      </c>
      <c r="I45" s="10">
        <v>72.13</v>
      </c>
      <c r="J45" s="10">
        <v>28.15</v>
      </c>
      <c r="K45" s="10">
        <v>100.28</v>
      </c>
      <c r="L45" s="10">
        <v>14426</v>
      </c>
      <c r="M45" s="10">
        <v>5630</v>
      </c>
      <c r="N45" s="10">
        <v>20056</v>
      </c>
      <c r="O45" s="6">
        <f t="shared" si="28"/>
        <v>1.151566943875613E-3</v>
      </c>
      <c r="Q45" s="23">
        <f t="shared" si="29"/>
        <v>20056</v>
      </c>
      <c r="R45" t="b">
        <f t="shared" si="30"/>
        <v>1</v>
      </c>
      <c r="S45">
        <f t="shared" si="31"/>
        <v>100.28</v>
      </c>
      <c r="T45" t="b">
        <f t="shared" si="32"/>
        <v>1</v>
      </c>
      <c r="U45" s="46">
        <f t="shared" si="33"/>
        <v>20056</v>
      </c>
      <c r="V45" t="b">
        <f t="shared" si="34"/>
        <v>1</v>
      </c>
      <c r="W45" s="46">
        <f t="shared" si="35"/>
        <v>100.28</v>
      </c>
      <c r="X45" t="b">
        <f t="shared" si="36"/>
        <v>1</v>
      </c>
    </row>
    <row r="46" spans="1:24" ht="39" customHeight="1" x14ac:dyDescent="0.2">
      <c r="A46" s="7" t="s">
        <v>383</v>
      </c>
      <c r="B46" s="9" t="s">
        <v>88</v>
      </c>
      <c r="C46" s="7" t="s">
        <v>20</v>
      </c>
      <c r="D46" s="7" t="s">
        <v>89</v>
      </c>
      <c r="E46" s="8" t="s">
        <v>90</v>
      </c>
      <c r="F46" s="78">
        <v>2000</v>
      </c>
      <c r="G46" s="10">
        <v>3.77</v>
      </c>
      <c r="H46" s="53">
        <v>0.25</v>
      </c>
      <c r="I46" s="10">
        <v>0.31</v>
      </c>
      <c r="J46" s="10">
        <v>4.4000000000000004</v>
      </c>
      <c r="K46" s="10">
        <v>4.71</v>
      </c>
      <c r="L46" s="10">
        <v>620</v>
      </c>
      <c r="M46" s="10">
        <v>8800</v>
      </c>
      <c r="N46" s="10">
        <v>9420</v>
      </c>
      <c r="O46" s="6">
        <f t="shared" si="28"/>
        <v>5.4087358452873323E-4</v>
      </c>
      <c r="Q46" s="23">
        <f t="shared" si="29"/>
        <v>9420</v>
      </c>
      <c r="R46" t="b">
        <f t="shared" si="30"/>
        <v>1</v>
      </c>
      <c r="S46">
        <f t="shared" si="31"/>
        <v>4.71</v>
      </c>
      <c r="T46" t="b">
        <f t="shared" si="32"/>
        <v>1</v>
      </c>
      <c r="U46" s="46">
        <f t="shared" si="33"/>
        <v>9420</v>
      </c>
      <c r="V46" t="b">
        <f t="shared" si="34"/>
        <v>1</v>
      </c>
      <c r="W46" s="46">
        <f t="shared" si="35"/>
        <v>4.71</v>
      </c>
      <c r="X46" t="b">
        <f t="shared" si="36"/>
        <v>1</v>
      </c>
    </row>
    <row r="47" spans="1:24" ht="51.95" customHeight="1" x14ac:dyDescent="0.2">
      <c r="A47" s="7" t="s">
        <v>384</v>
      </c>
      <c r="B47" s="9" t="s">
        <v>91</v>
      </c>
      <c r="C47" s="7" t="s">
        <v>20</v>
      </c>
      <c r="D47" s="7" t="s">
        <v>92</v>
      </c>
      <c r="E47" s="8" t="s">
        <v>26</v>
      </c>
      <c r="F47" s="78">
        <v>4.5</v>
      </c>
      <c r="G47" s="10">
        <v>9.99</v>
      </c>
      <c r="H47" s="53">
        <v>0.25</v>
      </c>
      <c r="I47" s="10">
        <v>9.26</v>
      </c>
      <c r="J47" s="10">
        <v>3.22</v>
      </c>
      <c r="K47" s="10">
        <v>12.48</v>
      </c>
      <c r="L47" s="10">
        <v>41.67</v>
      </c>
      <c r="M47" s="10">
        <v>14.49</v>
      </c>
      <c r="N47" s="10">
        <v>56.16</v>
      </c>
      <c r="O47" s="6">
        <f t="shared" si="28"/>
        <v>3.2245711791012376E-6</v>
      </c>
      <c r="Q47" s="23">
        <f t="shared" si="29"/>
        <v>56.16</v>
      </c>
      <c r="R47" t="b">
        <f t="shared" si="30"/>
        <v>1</v>
      </c>
      <c r="S47">
        <f t="shared" si="31"/>
        <v>12.48</v>
      </c>
      <c r="T47" t="b">
        <f t="shared" si="32"/>
        <v>1</v>
      </c>
      <c r="U47" s="46">
        <f t="shared" si="33"/>
        <v>56.160000000000004</v>
      </c>
      <c r="V47" t="b">
        <f t="shared" si="34"/>
        <v>1</v>
      </c>
      <c r="W47" s="46">
        <f t="shared" si="35"/>
        <v>12.48</v>
      </c>
      <c r="X47" t="b">
        <f t="shared" si="36"/>
        <v>1</v>
      </c>
    </row>
    <row r="48" spans="1:24" ht="26.1" customHeight="1" x14ac:dyDescent="0.2">
      <c r="A48" s="7" t="s">
        <v>385</v>
      </c>
      <c r="B48" s="9" t="s">
        <v>93</v>
      </c>
      <c r="C48" s="7" t="s">
        <v>20</v>
      </c>
      <c r="D48" s="7" t="s">
        <v>94</v>
      </c>
      <c r="E48" s="8" t="s">
        <v>21</v>
      </c>
      <c r="F48" s="78">
        <v>50</v>
      </c>
      <c r="G48" s="10">
        <v>1.97</v>
      </c>
      <c r="H48" s="53">
        <v>0.25</v>
      </c>
      <c r="I48" s="10">
        <v>1.8</v>
      </c>
      <c r="J48" s="10">
        <v>0.66</v>
      </c>
      <c r="K48" s="10">
        <v>2.46</v>
      </c>
      <c r="L48" s="10">
        <v>90</v>
      </c>
      <c r="M48" s="10">
        <v>33</v>
      </c>
      <c r="N48" s="10">
        <v>123</v>
      </c>
      <c r="O48" s="6">
        <f t="shared" si="28"/>
        <v>7.0623620909802753E-6</v>
      </c>
      <c r="Q48" s="23">
        <f t="shared" si="29"/>
        <v>123</v>
      </c>
      <c r="R48" t="b">
        <f t="shared" si="30"/>
        <v>1</v>
      </c>
      <c r="S48">
        <f t="shared" si="31"/>
        <v>2.46</v>
      </c>
      <c r="T48" t="b">
        <f t="shared" si="32"/>
        <v>1</v>
      </c>
      <c r="U48" s="46">
        <f t="shared" si="33"/>
        <v>123</v>
      </c>
      <c r="V48" t="b">
        <f t="shared" si="34"/>
        <v>1</v>
      </c>
      <c r="W48" s="46">
        <f t="shared" si="35"/>
        <v>2.46</v>
      </c>
      <c r="X48" t="b">
        <f t="shared" si="36"/>
        <v>1</v>
      </c>
    </row>
    <row r="49" spans="1:24" ht="26.1" customHeight="1" x14ac:dyDescent="0.2">
      <c r="A49" s="7" t="s">
        <v>386</v>
      </c>
      <c r="B49" s="9" t="s">
        <v>95</v>
      </c>
      <c r="C49" s="7" t="s">
        <v>20</v>
      </c>
      <c r="D49" s="7" t="s">
        <v>96</v>
      </c>
      <c r="E49" s="8" t="s">
        <v>38</v>
      </c>
      <c r="F49" s="78">
        <v>1000</v>
      </c>
      <c r="G49" s="10">
        <v>1.48</v>
      </c>
      <c r="H49" s="53">
        <v>0.25</v>
      </c>
      <c r="I49" s="10">
        <v>1.34</v>
      </c>
      <c r="J49" s="10">
        <v>0.51</v>
      </c>
      <c r="K49" s="10">
        <v>1.85</v>
      </c>
      <c r="L49" s="10">
        <v>1340</v>
      </c>
      <c r="M49" s="10">
        <v>510</v>
      </c>
      <c r="N49" s="10">
        <v>1850</v>
      </c>
      <c r="O49" s="6">
        <f t="shared" si="28"/>
        <v>1.0622251925458138E-4</v>
      </c>
      <c r="Q49" s="23">
        <f t="shared" si="29"/>
        <v>1850</v>
      </c>
      <c r="R49" t="b">
        <f t="shared" si="30"/>
        <v>1</v>
      </c>
      <c r="S49">
        <f t="shared" si="31"/>
        <v>1.85</v>
      </c>
      <c r="T49" t="b">
        <f t="shared" si="32"/>
        <v>1</v>
      </c>
      <c r="U49" s="46">
        <f t="shared" si="33"/>
        <v>1850</v>
      </c>
      <c r="V49" t="b">
        <f t="shared" si="34"/>
        <v>1</v>
      </c>
      <c r="W49" s="46">
        <f t="shared" si="35"/>
        <v>1.85</v>
      </c>
      <c r="X49" t="b">
        <f t="shared" si="36"/>
        <v>1</v>
      </c>
    </row>
    <row r="50" spans="1:24" ht="26.1" customHeight="1" x14ac:dyDescent="0.2">
      <c r="A50" s="7" t="s">
        <v>387</v>
      </c>
      <c r="B50" s="9" t="s">
        <v>97</v>
      </c>
      <c r="C50" s="7" t="s">
        <v>20</v>
      </c>
      <c r="D50" s="7" t="s">
        <v>98</v>
      </c>
      <c r="E50" s="8" t="s">
        <v>21</v>
      </c>
      <c r="F50" s="78">
        <v>250</v>
      </c>
      <c r="G50" s="10">
        <v>0.72</v>
      </c>
      <c r="H50" s="53">
        <v>0.25</v>
      </c>
      <c r="I50" s="10">
        <v>0.66</v>
      </c>
      <c r="J50" s="10">
        <v>0.24</v>
      </c>
      <c r="K50" s="10">
        <v>0.9</v>
      </c>
      <c r="L50" s="10">
        <v>165</v>
      </c>
      <c r="M50" s="10">
        <v>60</v>
      </c>
      <c r="N50" s="10">
        <v>225</v>
      </c>
      <c r="O50" s="6">
        <f t="shared" si="28"/>
        <v>1.2918955044476112E-5</v>
      </c>
      <c r="Q50" s="23">
        <f t="shared" si="29"/>
        <v>225</v>
      </c>
      <c r="R50" t="b">
        <f t="shared" si="30"/>
        <v>1</v>
      </c>
      <c r="S50">
        <f t="shared" si="31"/>
        <v>0.9</v>
      </c>
      <c r="T50" t="b">
        <f t="shared" si="32"/>
        <v>1</v>
      </c>
      <c r="U50" s="46">
        <f t="shared" si="33"/>
        <v>225</v>
      </c>
      <c r="V50" t="b">
        <f t="shared" si="34"/>
        <v>1</v>
      </c>
      <c r="W50" s="46">
        <f t="shared" si="35"/>
        <v>0.9</v>
      </c>
      <c r="X50" t="b">
        <f t="shared" si="36"/>
        <v>1</v>
      </c>
    </row>
    <row r="51" spans="1:24" ht="39" customHeight="1" x14ac:dyDescent="0.2">
      <c r="A51" s="7" t="s">
        <v>388</v>
      </c>
      <c r="B51" s="9" t="s">
        <v>99</v>
      </c>
      <c r="C51" s="7" t="s">
        <v>20</v>
      </c>
      <c r="D51" s="7" t="s">
        <v>100</v>
      </c>
      <c r="E51" s="8" t="s">
        <v>63</v>
      </c>
      <c r="F51" s="78">
        <v>587.39</v>
      </c>
      <c r="G51" s="10">
        <v>123.91</v>
      </c>
      <c r="H51" s="53">
        <v>0.25</v>
      </c>
      <c r="I51" s="10">
        <v>74.25</v>
      </c>
      <c r="J51" s="10">
        <v>80.63</v>
      </c>
      <c r="K51" s="10">
        <v>154.88</v>
      </c>
      <c r="L51" s="10">
        <v>43613.71</v>
      </c>
      <c r="M51" s="10">
        <v>47361.25</v>
      </c>
      <c r="N51" s="10">
        <v>90974.96</v>
      </c>
      <c r="O51" s="6">
        <f t="shared" si="28"/>
        <v>5.2235618596133898E-3</v>
      </c>
      <c r="Q51" s="23">
        <f t="shared" si="29"/>
        <v>90974.96</v>
      </c>
      <c r="R51" t="b">
        <f t="shared" si="30"/>
        <v>1</v>
      </c>
      <c r="S51">
        <f t="shared" si="31"/>
        <v>154.88</v>
      </c>
      <c r="T51" t="b">
        <f t="shared" si="32"/>
        <v>1</v>
      </c>
      <c r="U51" s="46">
        <f t="shared" si="33"/>
        <v>90974.959999999992</v>
      </c>
      <c r="V51" t="b">
        <f t="shared" si="34"/>
        <v>1</v>
      </c>
      <c r="W51" s="46">
        <f t="shared" si="35"/>
        <v>154.88</v>
      </c>
      <c r="X51" t="b">
        <f t="shared" si="36"/>
        <v>1</v>
      </c>
    </row>
    <row r="52" spans="1:24" ht="26.1" customHeight="1" x14ac:dyDescent="0.2">
      <c r="A52" s="7" t="s">
        <v>389</v>
      </c>
      <c r="B52" s="9" t="s">
        <v>66</v>
      </c>
      <c r="C52" s="7" t="s">
        <v>20</v>
      </c>
      <c r="D52" s="7" t="s">
        <v>67</v>
      </c>
      <c r="E52" s="8" t="s">
        <v>26</v>
      </c>
      <c r="F52" s="78">
        <v>1100</v>
      </c>
      <c r="G52" s="10">
        <v>24.61</v>
      </c>
      <c r="H52" s="53">
        <v>0.25</v>
      </c>
      <c r="I52" s="10">
        <v>22.46</v>
      </c>
      <c r="J52" s="10">
        <v>8.3000000000000007</v>
      </c>
      <c r="K52" s="10">
        <v>30.76</v>
      </c>
      <c r="L52" s="10">
        <v>24706</v>
      </c>
      <c r="M52" s="10">
        <v>9130</v>
      </c>
      <c r="N52" s="10">
        <v>33836</v>
      </c>
      <c r="O52" s="6">
        <f t="shared" si="28"/>
        <v>1.9427811683773056E-3</v>
      </c>
      <c r="Q52" s="23">
        <f t="shared" si="29"/>
        <v>33836</v>
      </c>
      <c r="R52" t="b">
        <f t="shared" si="30"/>
        <v>1</v>
      </c>
      <c r="S52">
        <f t="shared" si="31"/>
        <v>30.76</v>
      </c>
      <c r="T52" t="b">
        <f t="shared" si="32"/>
        <v>1</v>
      </c>
      <c r="U52" s="46">
        <f t="shared" si="33"/>
        <v>33836</v>
      </c>
      <c r="V52" t="b">
        <f t="shared" si="34"/>
        <v>1</v>
      </c>
      <c r="W52" s="46">
        <f t="shared" si="35"/>
        <v>30.76</v>
      </c>
      <c r="X52" t="b">
        <f t="shared" si="36"/>
        <v>1</v>
      </c>
    </row>
    <row r="53" spans="1:24" ht="39" customHeight="1" x14ac:dyDescent="0.2">
      <c r="A53" s="7" t="s">
        <v>390</v>
      </c>
      <c r="B53" s="9" t="s">
        <v>101</v>
      </c>
      <c r="C53" s="7" t="s">
        <v>20</v>
      </c>
      <c r="D53" s="7" t="s">
        <v>102</v>
      </c>
      <c r="E53" s="8" t="s">
        <v>38</v>
      </c>
      <c r="F53" s="78">
        <v>1400</v>
      </c>
      <c r="G53" s="10">
        <v>0.54</v>
      </c>
      <c r="H53" s="53">
        <v>0.25</v>
      </c>
      <c r="I53" s="10">
        <v>0.49</v>
      </c>
      <c r="J53" s="10">
        <v>0.18</v>
      </c>
      <c r="K53" s="10">
        <v>0.67</v>
      </c>
      <c r="L53" s="10">
        <v>686</v>
      </c>
      <c r="M53" s="10">
        <v>252</v>
      </c>
      <c r="N53" s="10">
        <v>938</v>
      </c>
      <c r="O53" s="6">
        <f t="shared" si="28"/>
        <v>5.3857688140971529E-5</v>
      </c>
      <c r="Q53" s="23">
        <f t="shared" si="29"/>
        <v>938</v>
      </c>
      <c r="R53" t="b">
        <f t="shared" si="30"/>
        <v>1</v>
      </c>
      <c r="S53">
        <f t="shared" si="31"/>
        <v>0.67</v>
      </c>
      <c r="T53" t="b">
        <f t="shared" si="32"/>
        <v>1</v>
      </c>
      <c r="U53" s="46">
        <f t="shared" si="33"/>
        <v>938</v>
      </c>
      <c r="V53" t="b">
        <f t="shared" si="34"/>
        <v>1</v>
      </c>
      <c r="W53" s="46">
        <f t="shared" si="35"/>
        <v>0.66999999999999993</v>
      </c>
      <c r="X53" t="b">
        <f t="shared" si="36"/>
        <v>1</v>
      </c>
    </row>
    <row r="54" spans="1:24" ht="39" customHeight="1" x14ac:dyDescent="0.2">
      <c r="A54" s="7" t="s">
        <v>391</v>
      </c>
      <c r="B54" s="9" t="s">
        <v>99</v>
      </c>
      <c r="C54" s="7" t="s">
        <v>20</v>
      </c>
      <c r="D54" s="7" t="s">
        <v>100</v>
      </c>
      <c r="E54" s="8" t="s">
        <v>63</v>
      </c>
      <c r="F54" s="78">
        <v>29</v>
      </c>
      <c r="G54" s="10">
        <v>123.91</v>
      </c>
      <c r="H54" s="53">
        <v>0.25</v>
      </c>
      <c r="I54" s="10">
        <v>74.25</v>
      </c>
      <c r="J54" s="10">
        <v>80.63</v>
      </c>
      <c r="K54" s="10">
        <v>154.88</v>
      </c>
      <c r="L54" s="10">
        <v>2153.25</v>
      </c>
      <c r="M54" s="10">
        <v>2338.27</v>
      </c>
      <c r="N54" s="10">
        <v>4491.5200000000004</v>
      </c>
      <c r="O54" s="6">
        <f t="shared" si="28"/>
        <v>2.5789219982829049E-4</v>
      </c>
      <c r="Q54" s="23">
        <f t="shared" si="29"/>
        <v>4491.5200000000004</v>
      </c>
      <c r="R54" t="b">
        <f t="shared" si="30"/>
        <v>1</v>
      </c>
      <c r="S54">
        <f t="shared" si="31"/>
        <v>154.88</v>
      </c>
      <c r="T54" t="b">
        <f t="shared" si="32"/>
        <v>1</v>
      </c>
      <c r="U54" s="46">
        <f t="shared" si="33"/>
        <v>4491.5200000000004</v>
      </c>
      <c r="V54" t="b">
        <f t="shared" si="34"/>
        <v>1</v>
      </c>
      <c r="W54" s="46">
        <f t="shared" si="35"/>
        <v>154.88</v>
      </c>
      <c r="X54" t="b">
        <f t="shared" si="36"/>
        <v>1</v>
      </c>
    </row>
    <row r="55" spans="1:24" ht="39" customHeight="1" x14ac:dyDescent="0.2">
      <c r="A55" s="7" t="s">
        <v>392</v>
      </c>
      <c r="B55" s="9" t="s">
        <v>103</v>
      </c>
      <c r="C55" s="7" t="s">
        <v>20</v>
      </c>
      <c r="D55" s="7" t="s">
        <v>314</v>
      </c>
      <c r="E55" s="8" t="s">
        <v>26</v>
      </c>
      <c r="F55" s="78">
        <v>200</v>
      </c>
      <c r="G55" s="10">
        <v>7.29</v>
      </c>
      <c r="H55" s="53">
        <v>0.25</v>
      </c>
      <c r="I55" s="10">
        <v>6.8</v>
      </c>
      <c r="J55" s="10">
        <v>2.31</v>
      </c>
      <c r="K55" s="10">
        <v>9.11</v>
      </c>
      <c r="L55" s="10">
        <v>1360</v>
      </c>
      <c r="M55" s="10">
        <v>462</v>
      </c>
      <c r="N55" s="10">
        <v>1822</v>
      </c>
      <c r="O55" s="6">
        <f t="shared" si="28"/>
        <v>1.046148270712688E-4</v>
      </c>
      <c r="Q55" s="23">
        <f t="shared" si="29"/>
        <v>1822</v>
      </c>
      <c r="R55" t="b">
        <f t="shared" si="30"/>
        <v>1</v>
      </c>
      <c r="S55">
        <f t="shared" si="31"/>
        <v>9.11</v>
      </c>
      <c r="T55" t="b">
        <f t="shared" si="32"/>
        <v>1</v>
      </c>
      <c r="U55" s="46">
        <f t="shared" si="33"/>
        <v>1822</v>
      </c>
      <c r="V55" t="b">
        <f t="shared" si="34"/>
        <v>1</v>
      </c>
      <c r="W55" s="46">
        <f t="shared" si="35"/>
        <v>9.11</v>
      </c>
      <c r="X55" t="b">
        <f t="shared" si="36"/>
        <v>1</v>
      </c>
    </row>
    <row r="56" spans="1:24" ht="24" customHeight="1" x14ac:dyDescent="0.2">
      <c r="A56" s="3" t="s">
        <v>393</v>
      </c>
      <c r="B56" s="3"/>
      <c r="C56" s="3"/>
      <c r="D56" s="3" t="s">
        <v>104</v>
      </c>
      <c r="E56" s="3"/>
      <c r="F56" s="77"/>
      <c r="G56" s="4"/>
      <c r="H56" s="52"/>
      <c r="I56" s="3"/>
      <c r="J56" s="3"/>
      <c r="K56" s="3"/>
      <c r="L56" s="3"/>
      <c r="M56" s="3"/>
      <c r="N56" s="5">
        <f>SUM(N57:N61)</f>
        <v>36527.39</v>
      </c>
      <c r="O56" s="6">
        <f t="shared" si="28"/>
        <v>2.0973142635646504E-3</v>
      </c>
    </row>
    <row r="57" spans="1:24" ht="65.099999999999994" customHeight="1" x14ac:dyDescent="0.2">
      <c r="A57" s="7" t="s">
        <v>394</v>
      </c>
      <c r="B57" s="9" t="s">
        <v>105</v>
      </c>
      <c r="C57" s="7" t="s">
        <v>20</v>
      </c>
      <c r="D57" s="7" t="s">
        <v>106</v>
      </c>
      <c r="E57" s="8" t="s">
        <v>63</v>
      </c>
      <c r="F57" s="78">
        <v>61.4</v>
      </c>
      <c r="G57" s="10">
        <v>17.27</v>
      </c>
      <c r="H57" s="53">
        <v>0.25</v>
      </c>
      <c r="I57" s="10">
        <v>7.29</v>
      </c>
      <c r="J57" s="10">
        <v>14.29</v>
      </c>
      <c r="K57" s="10">
        <v>21.58</v>
      </c>
      <c r="L57" s="10">
        <v>447.61</v>
      </c>
      <c r="M57" s="10">
        <v>877.4</v>
      </c>
      <c r="N57" s="10">
        <v>1325.01</v>
      </c>
      <c r="O57" s="6">
        <f t="shared" si="28"/>
        <v>7.6078864993250203E-5</v>
      </c>
      <c r="Q57" s="23">
        <f t="shared" ref="Q57:Q61" si="37">TRUNC(K57*F57,2)</f>
        <v>1325.01</v>
      </c>
      <c r="R57" t="b">
        <f t="shared" ref="R57:R61" si="38">Q57=N57</f>
        <v>1</v>
      </c>
      <c r="S57">
        <f t="shared" ref="S57:S61" si="39">TRUNC(G57*1.25,2)</f>
        <v>21.58</v>
      </c>
      <c r="T57" t="b">
        <f t="shared" ref="T57:T61" si="40">S57=K57</f>
        <v>1</v>
      </c>
      <c r="U57" s="46">
        <f t="shared" ref="U57:U61" si="41">L57+M57</f>
        <v>1325.01</v>
      </c>
      <c r="V57" t="b">
        <f t="shared" ref="V57:V61" si="42">U57=N57</f>
        <v>1</v>
      </c>
      <c r="W57" s="46">
        <f t="shared" ref="W57:W61" si="43">I57+J57</f>
        <v>21.58</v>
      </c>
      <c r="X57" t="b">
        <f t="shared" ref="X57:X61" si="44">W57=K57</f>
        <v>1</v>
      </c>
    </row>
    <row r="58" spans="1:24" ht="51.95" customHeight="1" x14ac:dyDescent="0.2">
      <c r="A58" s="7" t="s">
        <v>395</v>
      </c>
      <c r="B58" s="9" t="s">
        <v>107</v>
      </c>
      <c r="C58" s="7" t="s">
        <v>20</v>
      </c>
      <c r="D58" s="7" t="s">
        <v>108</v>
      </c>
      <c r="E58" s="8" t="s">
        <v>63</v>
      </c>
      <c r="F58" s="78">
        <v>61</v>
      </c>
      <c r="G58" s="10">
        <v>9.15</v>
      </c>
      <c r="H58" s="53">
        <v>0.25</v>
      </c>
      <c r="I58" s="10">
        <v>1.48</v>
      </c>
      <c r="J58" s="10">
        <v>9.9499999999999993</v>
      </c>
      <c r="K58" s="10">
        <v>11.43</v>
      </c>
      <c r="L58" s="10">
        <v>90.28</v>
      </c>
      <c r="M58" s="10">
        <v>606.95000000000005</v>
      </c>
      <c r="N58" s="10">
        <v>697.23</v>
      </c>
      <c r="O58" s="6">
        <f t="shared" si="28"/>
        <v>4.0033257891822583E-5</v>
      </c>
      <c r="Q58" s="23">
        <f t="shared" si="37"/>
        <v>697.23</v>
      </c>
      <c r="R58" t="b">
        <f t="shared" si="38"/>
        <v>1</v>
      </c>
      <c r="S58">
        <f t="shared" si="39"/>
        <v>11.43</v>
      </c>
      <c r="T58" t="b">
        <f t="shared" si="40"/>
        <v>1</v>
      </c>
      <c r="U58" s="46">
        <f t="shared" si="41"/>
        <v>697.23</v>
      </c>
      <c r="V58" t="b">
        <f t="shared" si="42"/>
        <v>1</v>
      </c>
      <c r="W58" s="46">
        <f t="shared" si="43"/>
        <v>11.43</v>
      </c>
      <c r="X58" t="b">
        <f t="shared" si="44"/>
        <v>1</v>
      </c>
    </row>
    <row r="59" spans="1:24" ht="39" customHeight="1" x14ac:dyDescent="0.2">
      <c r="A59" s="7" t="s">
        <v>396</v>
      </c>
      <c r="B59" s="9" t="s">
        <v>109</v>
      </c>
      <c r="C59" s="7" t="s">
        <v>20</v>
      </c>
      <c r="D59" s="7" t="s">
        <v>110</v>
      </c>
      <c r="E59" s="8" t="s">
        <v>26</v>
      </c>
      <c r="F59" s="78">
        <v>35.6</v>
      </c>
      <c r="G59" s="10">
        <v>130.26</v>
      </c>
      <c r="H59" s="53">
        <v>0.25</v>
      </c>
      <c r="I59" s="10">
        <v>101.45</v>
      </c>
      <c r="J59" s="10">
        <v>61.37</v>
      </c>
      <c r="K59" s="10">
        <v>162.82</v>
      </c>
      <c r="L59" s="10">
        <v>3611.62</v>
      </c>
      <c r="M59" s="10">
        <v>2184.77</v>
      </c>
      <c r="N59" s="10">
        <v>5796.39</v>
      </c>
      <c r="O59" s="6">
        <f t="shared" si="28"/>
        <v>3.3281467480111512E-4</v>
      </c>
      <c r="Q59" s="23">
        <f t="shared" si="37"/>
        <v>5796.39</v>
      </c>
      <c r="R59" t="b">
        <f t="shared" si="38"/>
        <v>1</v>
      </c>
      <c r="S59">
        <f t="shared" si="39"/>
        <v>162.82</v>
      </c>
      <c r="T59" t="b">
        <f t="shared" si="40"/>
        <v>1</v>
      </c>
      <c r="U59" s="46">
        <f t="shared" si="41"/>
        <v>5796.3899999999994</v>
      </c>
      <c r="V59" t="b">
        <f t="shared" si="42"/>
        <v>1</v>
      </c>
      <c r="W59" s="46">
        <f t="shared" si="43"/>
        <v>162.82</v>
      </c>
      <c r="X59" t="b">
        <f t="shared" si="44"/>
        <v>1</v>
      </c>
    </row>
    <row r="60" spans="1:24" ht="39" customHeight="1" x14ac:dyDescent="0.2">
      <c r="A60" s="7" t="s">
        <v>397</v>
      </c>
      <c r="B60" s="9" t="s">
        <v>111</v>
      </c>
      <c r="C60" s="7" t="s">
        <v>20</v>
      </c>
      <c r="D60" s="7" t="s">
        <v>112</v>
      </c>
      <c r="E60" s="8" t="s">
        <v>113</v>
      </c>
      <c r="F60" s="78">
        <v>691</v>
      </c>
      <c r="G60" s="10">
        <v>10.95</v>
      </c>
      <c r="H60" s="53">
        <v>0.25</v>
      </c>
      <c r="I60" s="10">
        <v>2.39</v>
      </c>
      <c r="J60" s="10">
        <v>11.29</v>
      </c>
      <c r="K60" s="10">
        <v>13.68</v>
      </c>
      <c r="L60" s="10">
        <v>1651.49</v>
      </c>
      <c r="M60" s="10">
        <v>7801.39</v>
      </c>
      <c r="N60" s="10">
        <v>9452.8799999999992</v>
      </c>
      <c r="O60" s="6">
        <f t="shared" si="28"/>
        <v>5.4276147449256601E-4</v>
      </c>
      <c r="Q60" s="23">
        <f t="shared" si="37"/>
        <v>9452.8799999999992</v>
      </c>
      <c r="R60" t="b">
        <f t="shared" si="38"/>
        <v>1</v>
      </c>
      <c r="S60">
        <f t="shared" si="39"/>
        <v>13.68</v>
      </c>
      <c r="T60" t="b">
        <f t="shared" si="40"/>
        <v>1</v>
      </c>
      <c r="U60" s="46">
        <f t="shared" si="41"/>
        <v>9452.880000000001</v>
      </c>
      <c r="V60" t="b">
        <f t="shared" si="42"/>
        <v>1</v>
      </c>
      <c r="W60" s="46">
        <f t="shared" si="43"/>
        <v>13.68</v>
      </c>
      <c r="X60" t="b">
        <f t="shared" si="44"/>
        <v>1</v>
      </c>
    </row>
    <row r="61" spans="1:24" ht="39" customHeight="1" x14ac:dyDescent="0.2">
      <c r="A61" s="7" t="s">
        <v>398</v>
      </c>
      <c r="B61" s="9" t="s">
        <v>114</v>
      </c>
      <c r="C61" s="7" t="s">
        <v>20</v>
      </c>
      <c r="D61" s="7" t="s">
        <v>115</v>
      </c>
      <c r="E61" s="8" t="s">
        <v>63</v>
      </c>
      <c r="F61" s="78">
        <v>18.899999999999999</v>
      </c>
      <c r="G61" s="10">
        <v>815.07</v>
      </c>
      <c r="H61" s="53">
        <v>0.25</v>
      </c>
      <c r="I61" s="10">
        <v>34.35</v>
      </c>
      <c r="J61" s="10">
        <v>984.48</v>
      </c>
      <c r="K61" s="10">
        <v>1018.83</v>
      </c>
      <c r="L61" s="10">
        <v>649.21500000000003</v>
      </c>
      <c r="M61" s="10">
        <v>18606.665000000001</v>
      </c>
      <c r="N61" s="10">
        <v>19255.88</v>
      </c>
      <c r="O61" s="6">
        <f t="shared" si="28"/>
        <v>1.1056259913858966E-3</v>
      </c>
      <c r="Q61" s="23">
        <f t="shared" si="37"/>
        <v>19255.88</v>
      </c>
      <c r="R61" t="b">
        <f t="shared" si="38"/>
        <v>1</v>
      </c>
      <c r="S61">
        <f t="shared" si="39"/>
        <v>1018.83</v>
      </c>
      <c r="T61" t="b">
        <f t="shared" si="40"/>
        <v>1</v>
      </c>
      <c r="U61" s="46">
        <f t="shared" si="41"/>
        <v>19255.88</v>
      </c>
      <c r="V61" t="b">
        <f t="shared" si="42"/>
        <v>1</v>
      </c>
      <c r="W61" s="46">
        <f t="shared" si="43"/>
        <v>1018.83</v>
      </c>
      <c r="X61" t="b">
        <f t="shared" si="44"/>
        <v>1</v>
      </c>
    </row>
    <row r="62" spans="1:24" ht="24" customHeight="1" x14ac:dyDescent="0.2">
      <c r="A62" s="3" t="s">
        <v>399</v>
      </c>
      <c r="B62" s="3"/>
      <c r="C62" s="3"/>
      <c r="D62" s="3" t="s">
        <v>116</v>
      </c>
      <c r="E62" s="3"/>
      <c r="F62" s="77"/>
      <c r="G62" s="4"/>
      <c r="H62" s="52"/>
      <c r="I62" s="3"/>
      <c r="J62" s="3"/>
      <c r="K62" s="3"/>
      <c r="L62" s="3"/>
      <c r="M62" s="3"/>
      <c r="N62" s="5">
        <f>SUM(N63:N72)</f>
        <v>2301768.7100000004</v>
      </c>
      <c r="O62" s="6">
        <f t="shared" si="28"/>
        <v>0.13216198438787458</v>
      </c>
    </row>
    <row r="63" spans="1:24" ht="26.1" customHeight="1" x14ac:dyDescent="0.2">
      <c r="A63" s="7" t="s">
        <v>400</v>
      </c>
      <c r="B63" s="9" t="s">
        <v>117</v>
      </c>
      <c r="C63" s="7" t="s">
        <v>20</v>
      </c>
      <c r="D63" s="7" t="s">
        <v>118</v>
      </c>
      <c r="E63" s="8" t="s">
        <v>26</v>
      </c>
      <c r="F63" s="78">
        <v>634.9</v>
      </c>
      <c r="G63" s="10">
        <v>113.12</v>
      </c>
      <c r="H63" s="53">
        <v>0.25</v>
      </c>
      <c r="I63" s="10">
        <v>1.24</v>
      </c>
      <c r="J63" s="10">
        <v>140.16</v>
      </c>
      <c r="K63" s="10">
        <v>141.4</v>
      </c>
      <c r="L63" s="10">
        <v>787.27599999999995</v>
      </c>
      <c r="M63" s="10">
        <v>88987.584000000003</v>
      </c>
      <c r="N63" s="10">
        <v>89774.86</v>
      </c>
      <c r="O63" s="6">
        <f t="shared" ref="O63:O94" si="45">N63/$N$176</f>
        <v>5.1546550242850524E-3</v>
      </c>
      <c r="Q63" s="23">
        <f t="shared" ref="Q63:Q72" si="46">TRUNC(K63*F63,2)</f>
        <v>89774.86</v>
      </c>
      <c r="R63" t="b">
        <f t="shared" ref="R63:R72" si="47">Q63=N63</f>
        <v>1</v>
      </c>
      <c r="S63">
        <f t="shared" ref="S63:S72" si="48">TRUNC(G63*1.25,2)</f>
        <v>141.4</v>
      </c>
      <c r="T63" t="b">
        <f t="shared" ref="T63:T72" si="49">S63=K63</f>
        <v>1</v>
      </c>
      <c r="U63" s="46">
        <f t="shared" ref="U63:U72" si="50">L63+M63</f>
        <v>89774.86</v>
      </c>
      <c r="V63" t="b">
        <f t="shared" ref="V63:V72" si="51">U63=N63</f>
        <v>1</v>
      </c>
      <c r="W63" s="46">
        <f t="shared" ref="W63:W72" si="52">I63+J63</f>
        <v>141.4</v>
      </c>
      <c r="X63" t="b">
        <f t="shared" ref="X63:X72" si="53">W63=K63</f>
        <v>1</v>
      </c>
    </row>
    <row r="64" spans="1:24" ht="39" customHeight="1" x14ac:dyDescent="0.2">
      <c r="A64" s="7" t="s">
        <v>401</v>
      </c>
      <c r="B64" s="9" t="s">
        <v>119</v>
      </c>
      <c r="C64" s="7" t="s">
        <v>20</v>
      </c>
      <c r="D64" s="7" t="s">
        <v>120</v>
      </c>
      <c r="E64" s="8" t="s">
        <v>26</v>
      </c>
      <c r="F64" s="78">
        <v>119.2</v>
      </c>
      <c r="G64" s="10">
        <v>168.52</v>
      </c>
      <c r="H64" s="53">
        <v>0.25</v>
      </c>
      <c r="I64" s="10">
        <v>33.85</v>
      </c>
      <c r="J64" s="10">
        <v>176.8</v>
      </c>
      <c r="K64" s="10">
        <v>210.65</v>
      </c>
      <c r="L64" s="10">
        <v>4034.92</v>
      </c>
      <c r="M64" s="10">
        <v>21074.560000000001</v>
      </c>
      <c r="N64" s="10">
        <v>25109.48</v>
      </c>
      <c r="O64" s="6">
        <f t="shared" si="45"/>
        <v>1.441725525822987E-3</v>
      </c>
      <c r="Q64" s="23">
        <f t="shared" si="46"/>
        <v>25109.48</v>
      </c>
      <c r="R64" t="b">
        <f t="shared" si="47"/>
        <v>1</v>
      </c>
      <c r="S64">
        <f t="shared" si="48"/>
        <v>210.65</v>
      </c>
      <c r="T64" t="b">
        <f t="shared" si="49"/>
        <v>1</v>
      </c>
      <c r="U64" s="46">
        <f t="shared" si="50"/>
        <v>25109.480000000003</v>
      </c>
      <c r="V64" t="b">
        <f t="shared" si="51"/>
        <v>1</v>
      </c>
      <c r="W64" s="46">
        <f t="shared" si="52"/>
        <v>210.65</v>
      </c>
      <c r="X64" t="b">
        <f t="shared" si="53"/>
        <v>1</v>
      </c>
    </row>
    <row r="65" spans="1:24" ht="26.1" customHeight="1" x14ac:dyDescent="0.2">
      <c r="A65" s="7" t="s">
        <v>402</v>
      </c>
      <c r="B65" s="9" t="s">
        <v>121</v>
      </c>
      <c r="C65" s="7" t="s">
        <v>20</v>
      </c>
      <c r="D65" s="7" t="s">
        <v>122</v>
      </c>
      <c r="E65" s="8" t="s">
        <v>26</v>
      </c>
      <c r="F65" s="78">
        <v>1647.6</v>
      </c>
      <c r="G65" s="10">
        <v>163.74</v>
      </c>
      <c r="H65" s="53">
        <v>0.25</v>
      </c>
      <c r="I65" s="10">
        <v>35.75</v>
      </c>
      <c r="J65" s="10">
        <v>168.92</v>
      </c>
      <c r="K65" s="10">
        <v>204.67</v>
      </c>
      <c r="L65" s="10">
        <v>58901.7</v>
      </c>
      <c r="M65" s="10">
        <v>278312.59000000003</v>
      </c>
      <c r="N65" s="10">
        <v>337214.29</v>
      </c>
      <c r="O65" s="6">
        <f t="shared" si="45"/>
        <v>1.9362027790510803E-2</v>
      </c>
      <c r="Q65" s="23">
        <f t="shared" si="46"/>
        <v>337214.29</v>
      </c>
      <c r="R65" t="b">
        <f t="shared" si="47"/>
        <v>1</v>
      </c>
      <c r="S65">
        <f t="shared" si="48"/>
        <v>204.67</v>
      </c>
      <c r="T65" t="b">
        <f t="shared" si="49"/>
        <v>1</v>
      </c>
      <c r="U65" s="46">
        <f t="shared" si="50"/>
        <v>337214.29000000004</v>
      </c>
      <c r="V65" t="b">
        <f t="shared" si="51"/>
        <v>1</v>
      </c>
      <c r="W65" s="46">
        <f t="shared" si="52"/>
        <v>204.67</v>
      </c>
      <c r="X65" t="b">
        <f t="shared" si="53"/>
        <v>1</v>
      </c>
    </row>
    <row r="66" spans="1:24" ht="26.1" customHeight="1" x14ac:dyDescent="0.2">
      <c r="A66" s="7" t="s">
        <v>403</v>
      </c>
      <c r="B66" s="9" t="s">
        <v>123</v>
      </c>
      <c r="C66" s="7" t="s">
        <v>20</v>
      </c>
      <c r="D66" s="7" t="s">
        <v>124</v>
      </c>
      <c r="E66" s="8" t="s">
        <v>26</v>
      </c>
      <c r="F66" s="78">
        <v>1421.82</v>
      </c>
      <c r="G66" s="10">
        <v>120.34</v>
      </c>
      <c r="H66" s="53">
        <v>0.25</v>
      </c>
      <c r="I66" s="10">
        <v>28.92</v>
      </c>
      <c r="J66" s="10">
        <v>121.5</v>
      </c>
      <c r="K66" s="10">
        <v>150.41999999999999</v>
      </c>
      <c r="L66" s="10">
        <v>41119.034399999997</v>
      </c>
      <c r="M66" s="10">
        <v>172751.1256</v>
      </c>
      <c r="N66" s="10">
        <v>213870.16</v>
      </c>
      <c r="O66" s="6">
        <f t="shared" si="45"/>
        <v>1.2279906588421837E-2</v>
      </c>
      <c r="Q66" s="23">
        <f t="shared" si="46"/>
        <v>213870.16</v>
      </c>
      <c r="R66" t="b">
        <f t="shared" si="47"/>
        <v>1</v>
      </c>
      <c r="S66">
        <f t="shared" si="48"/>
        <v>150.41999999999999</v>
      </c>
      <c r="T66" t="b">
        <f t="shared" si="49"/>
        <v>1</v>
      </c>
      <c r="U66" s="46">
        <f t="shared" si="50"/>
        <v>213870.16</v>
      </c>
      <c r="V66" t="b">
        <f t="shared" si="51"/>
        <v>1</v>
      </c>
      <c r="W66" s="46">
        <f t="shared" si="52"/>
        <v>150.42000000000002</v>
      </c>
      <c r="X66" t="b">
        <f t="shared" si="53"/>
        <v>1</v>
      </c>
    </row>
    <row r="67" spans="1:24" ht="39" customHeight="1" x14ac:dyDescent="0.2">
      <c r="A67" s="7" t="s">
        <v>404</v>
      </c>
      <c r="B67" s="9" t="s">
        <v>125</v>
      </c>
      <c r="C67" s="7" t="s">
        <v>20</v>
      </c>
      <c r="D67" s="7" t="s">
        <v>126</v>
      </c>
      <c r="E67" s="8" t="s">
        <v>113</v>
      </c>
      <c r="F67" s="78">
        <v>13467</v>
      </c>
      <c r="G67" s="10">
        <v>11.17</v>
      </c>
      <c r="H67" s="53">
        <v>0.25</v>
      </c>
      <c r="I67" s="10">
        <v>1.4</v>
      </c>
      <c r="J67" s="10">
        <v>12.56</v>
      </c>
      <c r="K67" s="10">
        <v>13.96</v>
      </c>
      <c r="L67" s="10">
        <v>18853.8</v>
      </c>
      <c r="M67" s="10">
        <v>169145.52</v>
      </c>
      <c r="N67" s="10">
        <v>187999.32</v>
      </c>
      <c r="O67" s="6">
        <f t="shared" si="45"/>
        <v>1.0794465615431462E-2</v>
      </c>
      <c r="Q67" s="23">
        <f t="shared" si="46"/>
        <v>187999.32</v>
      </c>
      <c r="R67" t="b">
        <f t="shared" si="47"/>
        <v>1</v>
      </c>
      <c r="S67">
        <f t="shared" si="48"/>
        <v>13.96</v>
      </c>
      <c r="T67" t="b">
        <f t="shared" si="49"/>
        <v>1</v>
      </c>
      <c r="U67" s="46">
        <f t="shared" si="50"/>
        <v>187999.31999999998</v>
      </c>
      <c r="V67" t="b">
        <f t="shared" si="51"/>
        <v>1</v>
      </c>
      <c r="W67" s="46">
        <f t="shared" si="52"/>
        <v>13.96</v>
      </c>
      <c r="X67" t="b">
        <f t="shared" si="53"/>
        <v>1</v>
      </c>
    </row>
    <row r="68" spans="1:24" ht="39" customHeight="1" x14ac:dyDescent="0.2">
      <c r="A68" s="7" t="s">
        <v>405</v>
      </c>
      <c r="B68" s="9" t="s">
        <v>127</v>
      </c>
      <c r="C68" s="7" t="s">
        <v>20</v>
      </c>
      <c r="D68" s="7" t="s">
        <v>128</v>
      </c>
      <c r="E68" s="8" t="s">
        <v>113</v>
      </c>
      <c r="F68" s="78">
        <v>38461.5</v>
      </c>
      <c r="G68" s="10">
        <v>10.93</v>
      </c>
      <c r="H68" s="53">
        <v>0.25</v>
      </c>
      <c r="I68" s="10">
        <v>2.36</v>
      </c>
      <c r="J68" s="10">
        <v>11.3</v>
      </c>
      <c r="K68" s="10">
        <v>13.66</v>
      </c>
      <c r="L68" s="10">
        <v>90769.14</v>
      </c>
      <c r="M68" s="10">
        <v>434614.95</v>
      </c>
      <c r="N68" s="10">
        <v>525384.09</v>
      </c>
      <c r="O68" s="6">
        <f t="shared" si="45"/>
        <v>3.016628195463552E-2</v>
      </c>
      <c r="Q68" s="23">
        <f t="shared" si="46"/>
        <v>525384.09</v>
      </c>
      <c r="R68" t="b">
        <f t="shared" si="47"/>
        <v>1</v>
      </c>
      <c r="S68">
        <f t="shared" si="48"/>
        <v>13.66</v>
      </c>
      <c r="T68" t="b">
        <f t="shared" si="49"/>
        <v>1</v>
      </c>
      <c r="U68" s="46">
        <f t="shared" si="50"/>
        <v>525384.09</v>
      </c>
      <c r="V68" t="b">
        <f t="shared" si="51"/>
        <v>1</v>
      </c>
      <c r="W68" s="46">
        <f t="shared" si="52"/>
        <v>13.66</v>
      </c>
      <c r="X68" t="b">
        <f t="shared" si="53"/>
        <v>1</v>
      </c>
    </row>
    <row r="69" spans="1:24" ht="39" customHeight="1" x14ac:dyDescent="0.2">
      <c r="A69" s="7" t="s">
        <v>406</v>
      </c>
      <c r="B69" s="9" t="s">
        <v>129</v>
      </c>
      <c r="C69" s="7" t="s">
        <v>20</v>
      </c>
      <c r="D69" s="7" t="s">
        <v>130</v>
      </c>
      <c r="E69" s="8" t="s">
        <v>113</v>
      </c>
      <c r="F69" s="78">
        <v>5043.3999999999996</v>
      </c>
      <c r="G69" s="10">
        <v>20.69</v>
      </c>
      <c r="H69" s="53">
        <v>0.25</v>
      </c>
      <c r="I69" s="10">
        <v>11.09</v>
      </c>
      <c r="J69" s="10">
        <v>14.77</v>
      </c>
      <c r="K69" s="10">
        <v>25.86</v>
      </c>
      <c r="L69" s="10">
        <v>55931.305999999997</v>
      </c>
      <c r="M69" s="10">
        <v>74491.013999999996</v>
      </c>
      <c r="N69" s="10">
        <v>130422.32</v>
      </c>
      <c r="O69" s="6">
        <f t="shared" si="45"/>
        <v>7.4885337283390136E-3</v>
      </c>
      <c r="Q69" s="23">
        <f t="shared" si="46"/>
        <v>130422.32</v>
      </c>
      <c r="R69" t="b">
        <f t="shared" si="47"/>
        <v>1</v>
      </c>
      <c r="S69">
        <f t="shared" si="48"/>
        <v>25.86</v>
      </c>
      <c r="T69" t="b">
        <f t="shared" si="49"/>
        <v>1</v>
      </c>
      <c r="U69" s="46">
        <f t="shared" si="50"/>
        <v>130422.31999999999</v>
      </c>
      <c r="V69" t="b">
        <f t="shared" si="51"/>
        <v>1</v>
      </c>
      <c r="W69" s="46">
        <f t="shared" si="52"/>
        <v>25.86</v>
      </c>
      <c r="X69" t="b">
        <f t="shared" si="53"/>
        <v>1</v>
      </c>
    </row>
    <row r="70" spans="1:24" ht="39" customHeight="1" x14ac:dyDescent="0.2">
      <c r="A70" s="7" t="s">
        <v>407</v>
      </c>
      <c r="B70" s="9" t="s">
        <v>131</v>
      </c>
      <c r="C70" s="7" t="s">
        <v>20</v>
      </c>
      <c r="D70" s="7" t="s">
        <v>132</v>
      </c>
      <c r="E70" s="8" t="s">
        <v>63</v>
      </c>
      <c r="F70" s="78">
        <v>15.3</v>
      </c>
      <c r="G70" s="10">
        <v>770.6</v>
      </c>
      <c r="H70" s="53">
        <v>0.25</v>
      </c>
      <c r="I70" s="10">
        <v>104</v>
      </c>
      <c r="J70" s="10">
        <v>859.25</v>
      </c>
      <c r="K70" s="10">
        <v>963.25</v>
      </c>
      <c r="L70" s="10">
        <v>1591.2</v>
      </c>
      <c r="M70" s="10">
        <v>13146.52</v>
      </c>
      <c r="N70" s="10">
        <v>14737.72</v>
      </c>
      <c r="O70" s="6">
        <f t="shared" si="45"/>
        <v>8.4620418728034003E-4</v>
      </c>
      <c r="Q70" s="23">
        <f t="shared" si="46"/>
        <v>14737.72</v>
      </c>
      <c r="R70" t="b">
        <f t="shared" si="47"/>
        <v>1</v>
      </c>
      <c r="S70">
        <f t="shared" si="48"/>
        <v>963.25</v>
      </c>
      <c r="T70" t="b">
        <f t="shared" si="49"/>
        <v>1</v>
      </c>
      <c r="U70" s="46">
        <f t="shared" si="50"/>
        <v>14737.720000000001</v>
      </c>
      <c r="V70" t="b">
        <f t="shared" si="51"/>
        <v>1</v>
      </c>
      <c r="W70" s="46">
        <f t="shared" si="52"/>
        <v>963.25</v>
      </c>
      <c r="X70" t="b">
        <f t="shared" si="53"/>
        <v>1</v>
      </c>
    </row>
    <row r="71" spans="1:24" ht="39" customHeight="1" x14ac:dyDescent="0.2">
      <c r="A71" s="7" t="s">
        <v>408</v>
      </c>
      <c r="B71" s="9" t="s">
        <v>133</v>
      </c>
      <c r="C71" s="7" t="s">
        <v>20</v>
      </c>
      <c r="D71" s="7" t="s">
        <v>134</v>
      </c>
      <c r="E71" s="8" t="s">
        <v>63</v>
      </c>
      <c r="F71" s="78">
        <v>615.20000000000005</v>
      </c>
      <c r="G71" s="10">
        <v>725.32</v>
      </c>
      <c r="H71" s="53">
        <v>0.25</v>
      </c>
      <c r="I71" s="10">
        <v>60.14</v>
      </c>
      <c r="J71" s="10">
        <v>846.51</v>
      </c>
      <c r="K71" s="10">
        <v>906.65</v>
      </c>
      <c r="L71" s="10">
        <v>36998.127999999997</v>
      </c>
      <c r="M71" s="10">
        <v>520772.95199999999</v>
      </c>
      <c r="N71" s="10">
        <v>557771.07999999996</v>
      </c>
      <c r="O71" s="6">
        <f t="shared" si="45"/>
        <v>3.2025864478350617E-2</v>
      </c>
      <c r="Q71" s="23">
        <f t="shared" si="46"/>
        <v>557771.07999999996</v>
      </c>
      <c r="R71" t="b">
        <f t="shared" si="47"/>
        <v>1</v>
      </c>
      <c r="S71">
        <f t="shared" si="48"/>
        <v>906.65</v>
      </c>
      <c r="T71" t="b">
        <f t="shared" si="49"/>
        <v>1</v>
      </c>
      <c r="U71" s="46">
        <f t="shared" si="50"/>
        <v>557771.07999999996</v>
      </c>
      <c r="V71" t="b">
        <f t="shared" si="51"/>
        <v>1</v>
      </c>
      <c r="W71" s="46">
        <f t="shared" si="52"/>
        <v>906.65</v>
      </c>
      <c r="X71" t="b">
        <f t="shared" si="53"/>
        <v>1</v>
      </c>
    </row>
    <row r="72" spans="1:24" ht="39" customHeight="1" x14ac:dyDescent="0.2">
      <c r="A72" s="7" t="s">
        <v>409</v>
      </c>
      <c r="B72" s="9" t="s">
        <v>135</v>
      </c>
      <c r="C72" s="7" t="s">
        <v>20</v>
      </c>
      <c r="D72" s="7" t="s">
        <v>136</v>
      </c>
      <c r="E72" s="8" t="s">
        <v>63</v>
      </c>
      <c r="F72" s="78">
        <v>249.2</v>
      </c>
      <c r="G72" s="10">
        <v>704.61</v>
      </c>
      <c r="H72" s="53">
        <v>0.25</v>
      </c>
      <c r="I72" s="10">
        <v>40.36</v>
      </c>
      <c r="J72" s="10">
        <v>840.4</v>
      </c>
      <c r="K72" s="10">
        <v>880.76</v>
      </c>
      <c r="L72" s="10">
        <v>10057.712</v>
      </c>
      <c r="M72" s="10">
        <v>209427.67800000001</v>
      </c>
      <c r="N72" s="10">
        <v>219485.39</v>
      </c>
      <c r="O72" s="6">
        <f t="shared" si="45"/>
        <v>1.2602319494796921E-2</v>
      </c>
      <c r="Q72" s="23">
        <f t="shared" si="46"/>
        <v>219485.39</v>
      </c>
      <c r="R72" t="b">
        <f t="shared" si="47"/>
        <v>1</v>
      </c>
      <c r="S72">
        <f t="shared" si="48"/>
        <v>880.76</v>
      </c>
      <c r="T72" t="b">
        <f t="shared" si="49"/>
        <v>1</v>
      </c>
      <c r="U72" s="46">
        <f t="shared" si="50"/>
        <v>219485.39</v>
      </c>
      <c r="V72" t="b">
        <f t="shared" si="51"/>
        <v>1</v>
      </c>
      <c r="W72" s="46">
        <f t="shared" si="52"/>
        <v>880.76</v>
      </c>
      <c r="X72" t="b">
        <f t="shared" si="53"/>
        <v>1</v>
      </c>
    </row>
    <row r="73" spans="1:24" ht="24" customHeight="1" x14ac:dyDescent="0.2">
      <c r="A73" s="3" t="s">
        <v>410</v>
      </c>
      <c r="B73" s="3"/>
      <c r="C73" s="3"/>
      <c r="D73" s="3" t="s">
        <v>137</v>
      </c>
      <c r="E73" s="3"/>
      <c r="F73" s="77"/>
      <c r="G73" s="4"/>
      <c r="H73" s="52"/>
      <c r="I73" s="3"/>
      <c r="J73" s="3"/>
      <c r="K73" s="3"/>
      <c r="L73" s="3"/>
      <c r="M73" s="3"/>
      <c r="N73" s="5">
        <f>SUM(N74:N77)</f>
        <v>510419.95000000007</v>
      </c>
      <c r="O73" s="6">
        <f t="shared" si="45"/>
        <v>2.9307077279349985E-2</v>
      </c>
    </row>
    <row r="74" spans="1:24" ht="65.099999999999994" customHeight="1" x14ac:dyDescent="0.2">
      <c r="A74" s="7" t="s">
        <v>411</v>
      </c>
      <c r="B74" s="9" t="s">
        <v>138</v>
      </c>
      <c r="C74" s="7" t="s">
        <v>20</v>
      </c>
      <c r="D74" s="7" t="s">
        <v>139</v>
      </c>
      <c r="E74" s="8" t="s">
        <v>26</v>
      </c>
      <c r="F74" s="78">
        <v>660.5</v>
      </c>
      <c r="G74" s="10">
        <v>228.42</v>
      </c>
      <c r="H74" s="53">
        <v>0.25</v>
      </c>
      <c r="I74" s="10">
        <v>40.54</v>
      </c>
      <c r="J74" s="10">
        <v>244.98</v>
      </c>
      <c r="K74" s="10">
        <v>285.52</v>
      </c>
      <c r="L74" s="10">
        <v>26776.67</v>
      </c>
      <c r="M74" s="10">
        <v>161809.29</v>
      </c>
      <c r="N74" s="10">
        <v>188585.96</v>
      </c>
      <c r="O74" s="6">
        <f t="shared" si="45"/>
        <v>1.0828149063374979E-2</v>
      </c>
      <c r="Q74" s="23">
        <f t="shared" ref="Q74:Q77" si="54">TRUNC(K74*F74,2)</f>
        <v>188585.96</v>
      </c>
      <c r="R74" t="b">
        <f t="shared" ref="R74:R77" si="55">Q74=N74</f>
        <v>1</v>
      </c>
      <c r="S74">
        <f t="shared" ref="S74:S77" si="56">TRUNC(G74*1.25,2)</f>
        <v>285.52</v>
      </c>
      <c r="T74" t="b">
        <f t="shared" ref="T74:T77" si="57">S74=K74</f>
        <v>1</v>
      </c>
      <c r="U74" s="46">
        <f t="shared" ref="U74:U77" si="58">L74+M74</f>
        <v>188585.96000000002</v>
      </c>
      <c r="V74" t="b">
        <f t="shared" ref="V74:V77" si="59">U74=N74</f>
        <v>1</v>
      </c>
      <c r="W74" s="46">
        <f t="shared" ref="W74:W77" si="60">I74+J74</f>
        <v>285.52</v>
      </c>
      <c r="X74" t="b">
        <f t="shared" ref="X74:X77" si="61">W74=K74</f>
        <v>1</v>
      </c>
    </row>
    <row r="75" spans="1:24" ht="39" customHeight="1" x14ac:dyDescent="0.2">
      <c r="A75" s="7" t="s">
        <v>412</v>
      </c>
      <c r="B75" s="9" t="s">
        <v>140</v>
      </c>
      <c r="C75" s="7" t="s">
        <v>20</v>
      </c>
      <c r="D75" s="7" t="s">
        <v>141</v>
      </c>
      <c r="E75" s="8" t="s">
        <v>26</v>
      </c>
      <c r="F75" s="78">
        <v>170.28</v>
      </c>
      <c r="G75" s="10">
        <v>956.41</v>
      </c>
      <c r="H75" s="53">
        <v>0.25</v>
      </c>
      <c r="I75" s="10">
        <v>138.02000000000001</v>
      </c>
      <c r="J75" s="10">
        <v>1057.49</v>
      </c>
      <c r="K75" s="10">
        <v>1195.51</v>
      </c>
      <c r="L75" s="10">
        <v>23502.045600000001</v>
      </c>
      <c r="M75" s="10">
        <v>180069.39439999999</v>
      </c>
      <c r="N75" s="10">
        <v>203571.44</v>
      </c>
      <c r="O75" s="6">
        <f t="shared" si="45"/>
        <v>1.1688579029774517E-2</v>
      </c>
      <c r="Q75" s="23">
        <f t="shared" si="54"/>
        <v>203571.44</v>
      </c>
      <c r="R75" t="b">
        <f t="shared" si="55"/>
        <v>1</v>
      </c>
      <c r="S75">
        <f t="shared" si="56"/>
        <v>1195.51</v>
      </c>
      <c r="T75" t="b">
        <f t="shared" si="57"/>
        <v>1</v>
      </c>
      <c r="U75" s="46">
        <f t="shared" si="58"/>
        <v>203571.44</v>
      </c>
      <c r="V75" t="b">
        <f t="shared" si="59"/>
        <v>1</v>
      </c>
      <c r="W75" s="46">
        <f t="shared" si="60"/>
        <v>1195.51</v>
      </c>
      <c r="X75" t="b">
        <f t="shared" si="61"/>
        <v>1</v>
      </c>
    </row>
    <row r="76" spans="1:24" ht="51.95" customHeight="1" x14ac:dyDescent="0.2">
      <c r="A76" s="7" t="s">
        <v>413</v>
      </c>
      <c r="B76" s="9" t="s">
        <v>142</v>
      </c>
      <c r="C76" s="7" t="s">
        <v>20</v>
      </c>
      <c r="D76" s="7" t="s">
        <v>143</v>
      </c>
      <c r="E76" s="8" t="s">
        <v>26</v>
      </c>
      <c r="F76" s="78">
        <v>360.27</v>
      </c>
      <c r="G76" s="10">
        <v>86</v>
      </c>
      <c r="H76" s="53">
        <v>0.25</v>
      </c>
      <c r="I76" s="10">
        <v>36.99</v>
      </c>
      <c r="J76" s="10">
        <v>70.510000000000005</v>
      </c>
      <c r="K76" s="10">
        <v>107.5</v>
      </c>
      <c r="L76" s="10">
        <v>13326.3873</v>
      </c>
      <c r="M76" s="10">
        <v>25402.632699999998</v>
      </c>
      <c r="N76" s="10">
        <v>38729.019999999997</v>
      </c>
      <c r="O76" s="6">
        <f t="shared" si="45"/>
        <v>2.223726525762739E-3</v>
      </c>
      <c r="Q76" s="23">
        <f t="shared" si="54"/>
        <v>38729.019999999997</v>
      </c>
      <c r="R76" t="b">
        <f t="shared" si="55"/>
        <v>1</v>
      </c>
      <c r="S76">
        <f t="shared" si="56"/>
        <v>107.5</v>
      </c>
      <c r="T76" t="b">
        <f t="shared" si="57"/>
        <v>1</v>
      </c>
      <c r="U76" s="46">
        <f t="shared" si="58"/>
        <v>38729.019999999997</v>
      </c>
      <c r="V76" t="b">
        <f t="shared" si="59"/>
        <v>1</v>
      </c>
      <c r="W76" s="46">
        <f t="shared" si="60"/>
        <v>107.5</v>
      </c>
      <c r="X76" t="b">
        <f t="shared" si="61"/>
        <v>1</v>
      </c>
    </row>
    <row r="77" spans="1:24" ht="51.95" customHeight="1" x14ac:dyDescent="0.2">
      <c r="A77" s="7" t="s">
        <v>414</v>
      </c>
      <c r="B77" s="9" t="s">
        <v>144</v>
      </c>
      <c r="C77" s="7" t="s">
        <v>20</v>
      </c>
      <c r="D77" s="7" t="s">
        <v>145</v>
      </c>
      <c r="E77" s="8" t="s">
        <v>26</v>
      </c>
      <c r="F77" s="78">
        <v>629.47</v>
      </c>
      <c r="G77" s="10">
        <v>101.08</v>
      </c>
      <c r="H77" s="53">
        <v>0.25</v>
      </c>
      <c r="I77" s="10">
        <v>51.02</v>
      </c>
      <c r="J77" s="10">
        <v>75.33</v>
      </c>
      <c r="K77" s="10">
        <v>126.35</v>
      </c>
      <c r="L77" s="10">
        <v>32115.559399999998</v>
      </c>
      <c r="M77" s="10">
        <v>47417.970600000001</v>
      </c>
      <c r="N77" s="10">
        <v>79533.53</v>
      </c>
      <c r="O77" s="6">
        <f t="shared" si="45"/>
        <v>4.5666226604377438E-3</v>
      </c>
      <c r="Q77" s="23">
        <f t="shared" si="54"/>
        <v>79533.53</v>
      </c>
      <c r="R77" t="b">
        <f t="shared" si="55"/>
        <v>1</v>
      </c>
      <c r="S77">
        <f t="shared" si="56"/>
        <v>126.35</v>
      </c>
      <c r="T77" t="b">
        <f t="shared" si="57"/>
        <v>1</v>
      </c>
      <c r="U77" s="46">
        <f t="shared" si="58"/>
        <v>79533.53</v>
      </c>
      <c r="V77" t="b">
        <f t="shared" si="59"/>
        <v>1</v>
      </c>
      <c r="W77" s="46">
        <f t="shared" si="60"/>
        <v>126.35</v>
      </c>
      <c r="X77" t="b">
        <f t="shared" si="61"/>
        <v>1</v>
      </c>
    </row>
    <row r="78" spans="1:24" ht="24" customHeight="1" x14ac:dyDescent="0.2">
      <c r="A78" s="3" t="s">
        <v>415</v>
      </c>
      <c r="B78" s="3"/>
      <c r="C78" s="3"/>
      <c r="D78" s="3" t="s">
        <v>146</v>
      </c>
      <c r="E78" s="3"/>
      <c r="F78" s="77"/>
      <c r="G78" s="4"/>
      <c r="H78" s="52"/>
      <c r="I78" s="3"/>
      <c r="J78" s="3"/>
      <c r="K78" s="3"/>
      <c r="L78" s="3"/>
      <c r="M78" s="3"/>
      <c r="N78" s="5">
        <f>SUM(N79:N81)</f>
        <v>95436.950000000012</v>
      </c>
      <c r="O78" s="6">
        <f t="shared" si="45"/>
        <v>5.4797585183640656E-3</v>
      </c>
    </row>
    <row r="79" spans="1:24" ht="39" customHeight="1" x14ac:dyDescent="0.2">
      <c r="A79" s="7" t="s">
        <v>416</v>
      </c>
      <c r="B79" s="9" t="s">
        <v>147</v>
      </c>
      <c r="C79" s="7" t="s">
        <v>20</v>
      </c>
      <c r="D79" s="7" t="s">
        <v>148</v>
      </c>
      <c r="E79" s="8" t="s">
        <v>26</v>
      </c>
      <c r="F79" s="78">
        <v>526.30999999999995</v>
      </c>
      <c r="G79" s="10">
        <v>133.07</v>
      </c>
      <c r="H79" s="53">
        <v>0.25</v>
      </c>
      <c r="I79" s="10">
        <v>31.43</v>
      </c>
      <c r="J79" s="10">
        <v>134.9</v>
      </c>
      <c r="K79" s="10">
        <v>166.33</v>
      </c>
      <c r="L79" s="10">
        <v>16541.923299999999</v>
      </c>
      <c r="M79" s="10">
        <v>70999.216700000004</v>
      </c>
      <c r="N79" s="10">
        <v>87541.14</v>
      </c>
      <c r="O79" s="6">
        <f t="shared" si="45"/>
        <v>5.0264002320097321E-3</v>
      </c>
      <c r="Q79" s="23">
        <f t="shared" ref="Q79:Q81" si="62">TRUNC(K79*F79,2)</f>
        <v>87541.14</v>
      </c>
      <c r="R79" t="b">
        <f t="shared" ref="R79:R81" si="63">Q79=N79</f>
        <v>1</v>
      </c>
      <c r="S79">
        <f t="shared" ref="S79:S81" si="64">TRUNC(G79*1.25,2)</f>
        <v>166.33</v>
      </c>
      <c r="T79" t="b">
        <f t="shared" ref="T79:T81" si="65">S79=K79</f>
        <v>1</v>
      </c>
      <c r="U79" s="46">
        <f t="shared" ref="U79:U81" si="66">L79+M79</f>
        <v>87541.14</v>
      </c>
      <c r="V79" t="b">
        <f t="shared" ref="V79:V81" si="67">U79=N79</f>
        <v>1</v>
      </c>
      <c r="W79" s="46">
        <f t="shared" ref="W79:W81" si="68">I79+J79</f>
        <v>166.33</v>
      </c>
      <c r="X79" t="b">
        <f t="shared" ref="X79:X81" si="69">W79=K79</f>
        <v>1</v>
      </c>
    </row>
    <row r="80" spans="1:24" ht="26.1" customHeight="1" x14ac:dyDescent="0.2">
      <c r="A80" s="7" t="s">
        <v>417</v>
      </c>
      <c r="B80" s="9" t="s">
        <v>149</v>
      </c>
      <c r="C80" s="7" t="s">
        <v>20</v>
      </c>
      <c r="D80" s="7" t="s">
        <v>315</v>
      </c>
      <c r="E80" s="8" t="s">
        <v>26</v>
      </c>
      <c r="F80" s="78">
        <v>70</v>
      </c>
      <c r="G80" s="10">
        <v>48.43</v>
      </c>
      <c r="H80" s="53">
        <v>0.25</v>
      </c>
      <c r="I80" s="10">
        <v>14.49</v>
      </c>
      <c r="J80" s="10">
        <v>46.04</v>
      </c>
      <c r="K80" s="10">
        <v>60.53</v>
      </c>
      <c r="L80" s="10">
        <v>1014.3</v>
      </c>
      <c r="M80" s="10">
        <v>3222.8</v>
      </c>
      <c r="N80" s="10">
        <v>4237.1000000000004</v>
      </c>
      <c r="O80" s="6">
        <f t="shared" si="45"/>
        <v>2.4328401963977665E-4</v>
      </c>
      <c r="Q80" s="23">
        <f t="shared" si="62"/>
        <v>4237.1000000000004</v>
      </c>
      <c r="R80" t="b">
        <f t="shared" si="63"/>
        <v>1</v>
      </c>
      <c r="S80">
        <f t="shared" si="64"/>
        <v>60.53</v>
      </c>
      <c r="T80" t="b">
        <f t="shared" si="65"/>
        <v>1</v>
      </c>
      <c r="U80" s="46">
        <f t="shared" si="66"/>
        <v>4237.1000000000004</v>
      </c>
      <c r="V80" t="b">
        <f t="shared" si="67"/>
        <v>1</v>
      </c>
      <c r="W80" s="46">
        <f t="shared" si="68"/>
        <v>60.53</v>
      </c>
      <c r="X80" t="b">
        <f t="shared" si="69"/>
        <v>1</v>
      </c>
    </row>
    <row r="81" spans="1:24" ht="26.1" customHeight="1" x14ac:dyDescent="0.2">
      <c r="A81" s="7" t="s">
        <v>418</v>
      </c>
      <c r="B81" s="9" t="s">
        <v>150</v>
      </c>
      <c r="C81" s="7" t="s">
        <v>20</v>
      </c>
      <c r="D81" s="7" t="s">
        <v>151</v>
      </c>
      <c r="E81" s="8" t="s">
        <v>26</v>
      </c>
      <c r="F81" s="78">
        <v>61.74</v>
      </c>
      <c r="G81" s="10">
        <v>47.41</v>
      </c>
      <c r="H81" s="53">
        <v>0.25</v>
      </c>
      <c r="I81" s="10">
        <v>21.04</v>
      </c>
      <c r="J81" s="10">
        <v>38.22</v>
      </c>
      <c r="K81" s="10">
        <v>59.26</v>
      </c>
      <c r="L81" s="10">
        <v>1299.0096000000001</v>
      </c>
      <c r="M81" s="10">
        <v>2359.7004000000002</v>
      </c>
      <c r="N81" s="10">
        <v>3658.71</v>
      </c>
      <c r="O81" s="6">
        <f t="shared" si="45"/>
        <v>2.1007426671455645E-4</v>
      </c>
      <c r="Q81" s="23">
        <f t="shared" si="62"/>
        <v>3658.71</v>
      </c>
      <c r="R81" t="b">
        <f t="shared" si="63"/>
        <v>1</v>
      </c>
      <c r="S81">
        <f t="shared" si="64"/>
        <v>59.26</v>
      </c>
      <c r="T81" t="b">
        <f t="shared" si="65"/>
        <v>1</v>
      </c>
      <c r="U81" s="46">
        <f t="shared" si="66"/>
        <v>3658.71</v>
      </c>
      <c r="V81" t="b">
        <f t="shared" si="67"/>
        <v>1</v>
      </c>
      <c r="W81" s="46">
        <f t="shared" si="68"/>
        <v>59.26</v>
      </c>
      <c r="X81" t="b">
        <f t="shared" si="69"/>
        <v>1</v>
      </c>
    </row>
    <row r="82" spans="1:24" ht="24" customHeight="1" x14ac:dyDescent="0.2">
      <c r="A82" s="3" t="s">
        <v>419</v>
      </c>
      <c r="B82" s="3"/>
      <c r="C82" s="3"/>
      <c r="D82" s="3" t="s">
        <v>152</v>
      </c>
      <c r="E82" s="3"/>
      <c r="F82" s="77"/>
      <c r="G82" s="4"/>
      <c r="H82" s="52"/>
      <c r="I82" s="3"/>
      <c r="J82" s="3"/>
      <c r="K82" s="3"/>
      <c r="L82" s="3"/>
      <c r="M82" s="3"/>
      <c r="N82" s="5">
        <f>SUM(N83:N89)</f>
        <v>451697.07999999996</v>
      </c>
      <c r="O82" s="6">
        <f t="shared" si="45"/>
        <v>2.5935352312182799E-2</v>
      </c>
    </row>
    <row r="83" spans="1:24" ht="51.95" customHeight="1" x14ac:dyDescent="0.2">
      <c r="A83" s="7" t="s">
        <v>420</v>
      </c>
      <c r="B83" s="9" t="s">
        <v>153</v>
      </c>
      <c r="C83" s="7" t="s">
        <v>20</v>
      </c>
      <c r="D83" s="7" t="s">
        <v>154</v>
      </c>
      <c r="E83" s="8" t="s">
        <v>26</v>
      </c>
      <c r="F83" s="78">
        <v>939</v>
      </c>
      <c r="G83" s="10">
        <v>25.42</v>
      </c>
      <c r="H83" s="53">
        <v>0.25</v>
      </c>
      <c r="I83" s="10">
        <v>7.85</v>
      </c>
      <c r="J83" s="10">
        <v>23.92</v>
      </c>
      <c r="K83" s="10">
        <v>31.77</v>
      </c>
      <c r="L83" s="10">
        <v>7371.15</v>
      </c>
      <c r="M83" s="10">
        <v>22460.880000000001</v>
      </c>
      <c r="N83" s="10">
        <v>29832.03</v>
      </c>
      <c r="O83" s="6">
        <f t="shared" si="45"/>
        <v>1.7128829086909454E-3</v>
      </c>
      <c r="Q83" s="23">
        <f t="shared" ref="Q83:Q89" si="70">TRUNC(K83*F83,2)</f>
        <v>29832.03</v>
      </c>
      <c r="R83" t="b">
        <f t="shared" ref="R83:R89" si="71">Q83=N83</f>
        <v>1</v>
      </c>
      <c r="S83">
        <f t="shared" ref="S83:S89" si="72">TRUNC(G83*1.25,2)</f>
        <v>31.77</v>
      </c>
      <c r="T83" t="b">
        <f t="shared" ref="T83:T89" si="73">S83=K83</f>
        <v>1</v>
      </c>
      <c r="U83" s="46">
        <f t="shared" ref="U83:U89" si="74">L83+M83</f>
        <v>29832.03</v>
      </c>
      <c r="V83" t="b">
        <f t="shared" ref="V83:V89" si="75">U83=N83</f>
        <v>1</v>
      </c>
      <c r="W83" s="46">
        <f t="shared" ref="W83:W89" si="76">I83+J83</f>
        <v>31.770000000000003</v>
      </c>
      <c r="X83" t="b">
        <f t="shared" ref="X83:X89" si="77">W83=K83</f>
        <v>1</v>
      </c>
    </row>
    <row r="84" spans="1:24" ht="39" customHeight="1" x14ac:dyDescent="0.2">
      <c r="A84" s="7" t="s">
        <v>421</v>
      </c>
      <c r="B84" s="9" t="s">
        <v>155</v>
      </c>
      <c r="C84" s="7" t="s">
        <v>20</v>
      </c>
      <c r="D84" s="7" t="s">
        <v>156</v>
      </c>
      <c r="E84" s="8" t="s">
        <v>26</v>
      </c>
      <c r="F84" s="78">
        <v>1236.08</v>
      </c>
      <c r="G84" s="10">
        <v>162.21</v>
      </c>
      <c r="H84" s="53">
        <v>0.25</v>
      </c>
      <c r="I84" s="10">
        <v>2.81</v>
      </c>
      <c r="J84" s="10">
        <v>199.95</v>
      </c>
      <c r="K84" s="10">
        <v>202.76</v>
      </c>
      <c r="L84" s="10">
        <v>3473.3847999999998</v>
      </c>
      <c r="M84" s="10">
        <v>247154.19519999999</v>
      </c>
      <c r="N84" s="10">
        <v>250627.58</v>
      </c>
      <c r="O84" s="6">
        <f t="shared" si="45"/>
        <v>1.439042861744818E-2</v>
      </c>
      <c r="Q84" s="23">
        <f t="shared" si="70"/>
        <v>250627.58</v>
      </c>
      <c r="R84" t="b">
        <f t="shared" si="71"/>
        <v>1</v>
      </c>
      <c r="S84">
        <f t="shared" si="72"/>
        <v>202.76</v>
      </c>
      <c r="T84" t="b">
        <f t="shared" si="73"/>
        <v>1</v>
      </c>
      <c r="U84" s="46">
        <f t="shared" si="74"/>
        <v>250627.58</v>
      </c>
      <c r="V84" t="b">
        <f t="shared" si="75"/>
        <v>1</v>
      </c>
      <c r="W84" s="46">
        <f t="shared" si="76"/>
        <v>202.76</v>
      </c>
      <c r="X84" t="b">
        <f t="shared" si="77"/>
        <v>1</v>
      </c>
    </row>
    <row r="85" spans="1:24" ht="39" customHeight="1" x14ac:dyDescent="0.2">
      <c r="A85" s="7" t="s">
        <v>422</v>
      </c>
      <c r="B85" s="9" t="s">
        <v>157</v>
      </c>
      <c r="C85" s="7" t="s">
        <v>20</v>
      </c>
      <c r="D85" s="7" t="s">
        <v>158</v>
      </c>
      <c r="E85" s="8" t="s">
        <v>38</v>
      </c>
      <c r="F85" s="78">
        <v>199.2</v>
      </c>
      <c r="G85" s="10">
        <v>194.15</v>
      </c>
      <c r="H85" s="53">
        <v>0.25</v>
      </c>
      <c r="I85" s="10">
        <v>28.52</v>
      </c>
      <c r="J85" s="10">
        <v>214.16</v>
      </c>
      <c r="K85" s="10">
        <v>242.68</v>
      </c>
      <c r="L85" s="10">
        <v>5681.1840000000002</v>
      </c>
      <c r="M85" s="10">
        <v>42660.665999999997</v>
      </c>
      <c r="N85" s="10">
        <v>48341.85</v>
      </c>
      <c r="O85" s="6">
        <f t="shared" si="45"/>
        <v>2.7756719418524779E-3</v>
      </c>
      <c r="Q85" s="23">
        <f t="shared" si="70"/>
        <v>48341.85</v>
      </c>
      <c r="R85" t="b">
        <f t="shared" si="71"/>
        <v>1</v>
      </c>
      <c r="S85">
        <f t="shared" si="72"/>
        <v>242.68</v>
      </c>
      <c r="T85" t="b">
        <f t="shared" si="73"/>
        <v>1</v>
      </c>
      <c r="U85" s="46">
        <f t="shared" si="74"/>
        <v>48341.85</v>
      </c>
      <c r="V85" t="b">
        <f t="shared" si="75"/>
        <v>1</v>
      </c>
      <c r="W85" s="46">
        <f t="shared" si="76"/>
        <v>242.68</v>
      </c>
      <c r="X85" t="b">
        <f t="shared" si="77"/>
        <v>1</v>
      </c>
    </row>
    <row r="86" spans="1:24" ht="39" customHeight="1" x14ac:dyDescent="0.2">
      <c r="A86" s="7" t="s">
        <v>423</v>
      </c>
      <c r="B86" s="9" t="s">
        <v>159</v>
      </c>
      <c r="C86" s="7" t="s">
        <v>20</v>
      </c>
      <c r="D86" s="7" t="s">
        <v>160</v>
      </c>
      <c r="E86" s="8" t="s">
        <v>38</v>
      </c>
      <c r="F86" s="78">
        <v>390</v>
      </c>
      <c r="G86" s="10">
        <v>67.260000000000005</v>
      </c>
      <c r="H86" s="53">
        <v>0.25</v>
      </c>
      <c r="I86" s="10">
        <v>9.84</v>
      </c>
      <c r="J86" s="10">
        <v>74.23</v>
      </c>
      <c r="K86" s="10">
        <v>84.07</v>
      </c>
      <c r="L86" s="10">
        <v>3837.6</v>
      </c>
      <c r="M86" s="10">
        <v>28949.7</v>
      </c>
      <c r="N86" s="10">
        <v>32787.300000000003</v>
      </c>
      <c r="O86" s="6">
        <f t="shared" si="45"/>
        <v>1.882567354354452E-3</v>
      </c>
      <c r="Q86" s="23">
        <f t="shared" si="70"/>
        <v>32787.300000000003</v>
      </c>
      <c r="R86" t="b">
        <f t="shared" si="71"/>
        <v>1</v>
      </c>
      <c r="S86">
        <f t="shared" si="72"/>
        <v>84.07</v>
      </c>
      <c r="T86" t="b">
        <f t="shared" si="73"/>
        <v>1</v>
      </c>
      <c r="U86" s="46">
        <f t="shared" si="74"/>
        <v>32787.300000000003</v>
      </c>
      <c r="V86" t="b">
        <f t="shared" si="75"/>
        <v>1</v>
      </c>
      <c r="W86" s="46">
        <f t="shared" si="76"/>
        <v>84.070000000000007</v>
      </c>
      <c r="X86" t="b">
        <f t="shared" si="77"/>
        <v>1</v>
      </c>
    </row>
    <row r="87" spans="1:24" ht="51.95" customHeight="1" x14ac:dyDescent="0.2">
      <c r="A87" s="7" t="s">
        <v>424</v>
      </c>
      <c r="B87" s="9" t="s">
        <v>161</v>
      </c>
      <c r="C87" s="7" t="s">
        <v>20</v>
      </c>
      <c r="D87" s="7" t="s">
        <v>162</v>
      </c>
      <c r="E87" s="8" t="s">
        <v>21</v>
      </c>
      <c r="F87" s="78">
        <v>14</v>
      </c>
      <c r="G87" s="10">
        <v>2267.15</v>
      </c>
      <c r="H87" s="53">
        <v>0.25</v>
      </c>
      <c r="I87" s="10">
        <v>551.6</v>
      </c>
      <c r="J87" s="10">
        <v>2282.33</v>
      </c>
      <c r="K87" s="10">
        <v>2833.93</v>
      </c>
      <c r="L87" s="10">
        <v>7722.4</v>
      </c>
      <c r="M87" s="10">
        <v>31952.62</v>
      </c>
      <c r="N87" s="10">
        <v>39675.019999999997</v>
      </c>
      <c r="O87" s="6">
        <f t="shared" si="45"/>
        <v>2.2780435545275137E-3</v>
      </c>
      <c r="Q87" s="23">
        <f t="shared" si="70"/>
        <v>39675.019999999997</v>
      </c>
      <c r="R87" t="b">
        <f t="shared" si="71"/>
        <v>1</v>
      </c>
      <c r="S87">
        <f t="shared" si="72"/>
        <v>2833.93</v>
      </c>
      <c r="T87" t="b">
        <f t="shared" si="73"/>
        <v>1</v>
      </c>
      <c r="U87" s="46">
        <f t="shared" si="74"/>
        <v>39675.019999999997</v>
      </c>
      <c r="V87" t="b">
        <f t="shared" si="75"/>
        <v>1</v>
      </c>
      <c r="W87" s="46">
        <f t="shared" si="76"/>
        <v>2833.93</v>
      </c>
      <c r="X87" t="b">
        <f t="shared" si="77"/>
        <v>1</v>
      </c>
    </row>
    <row r="88" spans="1:24" ht="51.95" customHeight="1" x14ac:dyDescent="0.2">
      <c r="A88" s="7" t="s">
        <v>425</v>
      </c>
      <c r="B88" s="9" t="s">
        <v>163</v>
      </c>
      <c r="C88" s="7" t="s">
        <v>20</v>
      </c>
      <c r="D88" s="7" t="s">
        <v>164</v>
      </c>
      <c r="E88" s="8" t="s">
        <v>21</v>
      </c>
      <c r="F88" s="78">
        <v>10</v>
      </c>
      <c r="G88" s="10">
        <v>2536.08</v>
      </c>
      <c r="H88" s="53">
        <v>0.25</v>
      </c>
      <c r="I88" s="10">
        <v>1084.3800000000001</v>
      </c>
      <c r="J88" s="10">
        <v>2085.7199999999998</v>
      </c>
      <c r="K88" s="10">
        <v>3170.1</v>
      </c>
      <c r="L88" s="10">
        <v>10843.8</v>
      </c>
      <c r="M88" s="10">
        <v>20857.2</v>
      </c>
      <c r="N88" s="10">
        <v>31701</v>
      </c>
      <c r="O88" s="6">
        <f t="shared" si="45"/>
        <v>1.8201946393997211E-3</v>
      </c>
      <c r="Q88" s="23">
        <f t="shared" si="70"/>
        <v>31701</v>
      </c>
      <c r="R88" t="b">
        <f t="shared" si="71"/>
        <v>1</v>
      </c>
      <c r="S88">
        <f t="shared" si="72"/>
        <v>3170.1</v>
      </c>
      <c r="T88" t="b">
        <f t="shared" si="73"/>
        <v>1</v>
      </c>
      <c r="U88" s="46">
        <f t="shared" si="74"/>
        <v>31701</v>
      </c>
      <c r="V88" t="b">
        <f t="shared" si="75"/>
        <v>1</v>
      </c>
      <c r="W88" s="46">
        <f t="shared" si="76"/>
        <v>3170.1</v>
      </c>
      <c r="X88" t="b">
        <f t="shared" si="77"/>
        <v>1</v>
      </c>
    </row>
    <row r="89" spans="1:24" ht="51.95" customHeight="1" x14ac:dyDescent="0.2">
      <c r="A89" s="7" t="s">
        <v>426</v>
      </c>
      <c r="B89" s="9" t="s">
        <v>165</v>
      </c>
      <c r="C89" s="7" t="s">
        <v>20</v>
      </c>
      <c r="D89" s="7" t="s">
        <v>166</v>
      </c>
      <c r="E89" s="8" t="s">
        <v>26</v>
      </c>
      <c r="F89" s="78">
        <v>293.83999999999997</v>
      </c>
      <c r="G89" s="10">
        <v>51</v>
      </c>
      <c r="H89" s="53">
        <v>0.25</v>
      </c>
      <c r="I89" s="10">
        <v>11.01</v>
      </c>
      <c r="J89" s="10">
        <v>52.74</v>
      </c>
      <c r="K89" s="10">
        <v>63.75</v>
      </c>
      <c r="L89" s="10">
        <v>3235.1783999999998</v>
      </c>
      <c r="M89" s="10">
        <v>15497.1216</v>
      </c>
      <c r="N89" s="10">
        <v>18732.3</v>
      </c>
      <c r="O89" s="6">
        <f t="shared" si="45"/>
        <v>1.0755632959095105E-3</v>
      </c>
      <c r="Q89" s="23">
        <f t="shared" si="70"/>
        <v>18732.3</v>
      </c>
      <c r="R89" t="b">
        <f t="shared" si="71"/>
        <v>1</v>
      </c>
      <c r="S89">
        <f t="shared" si="72"/>
        <v>63.75</v>
      </c>
      <c r="T89" t="b">
        <f t="shared" si="73"/>
        <v>1</v>
      </c>
      <c r="U89" s="46">
        <f t="shared" si="74"/>
        <v>18732.3</v>
      </c>
      <c r="V89" t="b">
        <f t="shared" si="75"/>
        <v>1</v>
      </c>
      <c r="W89" s="46">
        <f t="shared" si="76"/>
        <v>63.75</v>
      </c>
      <c r="X89" t="b">
        <f t="shared" si="77"/>
        <v>1</v>
      </c>
    </row>
    <row r="90" spans="1:24" ht="24" customHeight="1" x14ac:dyDescent="0.2">
      <c r="A90" s="3" t="s">
        <v>427</v>
      </c>
      <c r="B90" s="3"/>
      <c r="C90" s="3"/>
      <c r="D90" s="3" t="s">
        <v>167</v>
      </c>
      <c r="E90" s="3"/>
      <c r="F90" s="77"/>
      <c r="G90" s="4"/>
      <c r="H90" s="52"/>
      <c r="I90" s="3"/>
      <c r="J90" s="3"/>
      <c r="K90" s="3"/>
      <c r="L90" s="3"/>
      <c r="M90" s="3"/>
      <c r="N90" s="5">
        <f>SUM(N91:N103)</f>
        <v>1038844.2399999999</v>
      </c>
      <c r="O90" s="6">
        <f t="shared" si="45"/>
        <v>5.9647920154546452E-2</v>
      </c>
    </row>
    <row r="91" spans="1:24" ht="39" customHeight="1" x14ac:dyDescent="0.2">
      <c r="A91" s="7" t="s">
        <v>428</v>
      </c>
      <c r="B91" s="9" t="s">
        <v>168</v>
      </c>
      <c r="C91" s="7" t="s">
        <v>20</v>
      </c>
      <c r="D91" s="7" t="s">
        <v>316</v>
      </c>
      <c r="E91" s="8" t="s">
        <v>26</v>
      </c>
      <c r="F91" s="78">
        <v>2782.76</v>
      </c>
      <c r="G91" s="10">
        <v>116.66</v>
      </c>
      <c r="H91" s="53">
        <v>0.25</v>
      </c>
      <c r="I91" s="10">
        <v>17.84</v>
      </c>
      <c r="J91" s="10">
        <v>127.98</v>
      </c>
      <c r="K91" s="10">
        <v>145.82</v>
      </c>
      <c r="L91" s="10">
        <v>49644.438399999999</v>
      </c>
      <c r="M91" s="10">
        <v>356137.62160000001</v>
      </c>
      <c r="N91" s="10">
        <v>405782.06</v>
      </c>
      <c r="O91" s="6">
        <f t="shared" si="45"/>
        <v>2.3299023071088484E-2</v>
      </c>
      <c r="Q91" s="23">
        <f t="shared" ref="Q91:Q103" si="78">TRUNC(K91*F91,2)</f>
        <v>405782.06</v>
      </c>
      <c r="R91" t="b">
        <f t="shared" ref="R91:R103" si="79">Q91=N91</f>
        <v>1</v>
      </c>
      <c r="S91">
        <f>TRUNC(G91*1.25,2)</f>
        <v>145.82</v>
      </c>
      <c r="T91" t="b">
        <f t="shared" ref="T91:T103" si="80">S91=K91</f>
        <v>1</v>
      </c>
      <c r="U91" s="46">
        <f t="shared" ref="U91:U103" si="81">L91+M91</f>
        <v>405782.06</v>
      </c>
      <c r="V91" t="b">
        <f t="shared" ref="V91:V103" si="82">U91=N91</f>
        <v>1</v>
      </c>
      <c r="W91" s="46">
        <f t="shared" ref="W91:W103" si="83">I91+J91</f>
        <v>145.82</v>
      </c>
      <c r="X91" t="b">
        <f t="shared" ref="X91:X103" si="84">W91=K91</f>
        <v>1</v>
      </c>
    </row>
    <row r="92" spans="1:24" ht="26.1" customHeight="1" x14ac:dyDescent="0.2">
      <c r="A92" s="7" t="s">
        <v>429</v>
      </c>
      <c r="B92" s="9" t="s">
        <v>169</v>
      </c>
      <c r="C92" s="7" t="s">
        <v>20</v>
      </c>
      <c r="D92" s="7" t="s">
        <v>170</v>
      </c>
      <c r="E92" s="8" t="s">
        <v>26</v>
      </c>
      <c r="F92" s="78">
        <v>338.51</v>
      </c>
      <c r="G92" s="10">
        <v>15.5</v>
      </c>
      <c r="H92" s="53">
        <v>0.25</v>
      </c>
      <c r="I92" s="10">
        <v>14.53</v>
      </c>
      <c r="J92" s="10">
        <v>4.84</v>
      </c>
      <c r="K92" s="10">
        <v>19.37</v>
      </c>
      <c r="L92" s="10">
        <v>4918.5502999999999</v>
      </c>
      <c r="M92" s="10">
        <v>1638.3797</v>
      </c>
      <c r="N92" s="10">
        <v>6556.93</v>
      </c>
      <c r="O92" s="6">
        <f t="shared" si="45"/>
        <v>3.7648303955456339E-4</v>
      </c>
      <c r="Q92" s="23">
        <f t="shared" si="78"/>
        <v>6556.93</v>
      </c>
      <c r="R92" t="b">
        <f t="shared" si="79"/>
        <v>1</v>
      </c>
      <c r="S92">
        <f>TRUNC(G92*1.25,2)</f>
        <v>19.37</v>
      </c>
      <c r="T92" t="b">
        <f t="shared" si="80"/>
        <v>1</v>
      </c>
      <c r="U92" s="46">
        <f t="shared" si="81"/>
        <v>6556.93</v>
      </c>
      <c r="V92" t="b">
        <f t="shared" si="82"/>
        <v>1</v>
      </c>
      <c r="W92" s="46">
        <f t="shared" si="83"/>
        <v>19.369999999999997</v>
      </c>
      <c r="X92" t="b">
        <f t="shared" si="84"/>
        <v>1</v>
      </c>
    </row>
    <row r="93" spans="1:24" ht="39" customHeight="1" x14ac:dyDescent="0.2">
      <c r="A93" s="7" t="s">
        <v>430</v>
      </c>
      <c r="B93" s="13" t="s">
        <v>171</v>
      </c>
      <c r="C93" s="11" t="s">
        <v>20</v>
      </c>
      <c r="D93" s="11" t="s">
        <v>317</v>
      </c>
      <c r="E93" s="12" t="s">
        <v>26</v>
      </c>
      <c r="F93" s="76">
        <v>1161.07</v>
      </c>
      <c r="G93" s="14">
        <v>141.41</v>
      </c>
      <c r="H93" s="54">
        <v>0.15</v>
      </c>
      <c r="I93" s="14">
        <v>0</v>
      </c>
      <c r="J93" s="14">
        <f>K93</f>
        <v>162.62</v>
      </c>
      <c r="K93" s="14">
        <f>TRUNC(G93*1.15,2)</f>
        <v>162.62</v>
      </c>
      <c r="L93" s="14">
        <v>0</v>
      </c>
      <c r="M93" s="14">
        <f>N93</f>
        <v>188813.2</v>
      </c>
      <c r="N93" s="14">
        <f>TRUNC(K93*F93,2)</f>
        <v>188813.2</v>
      </c>
      <c r="O93" s="6">
        <f t="shared" si="45"/>
        <v>1.0841196633794122E-2</v>
      </c>
      <c r="Q93" s="23">
        <f t="shared" si="78"/>
        <v>188813.2</v>
      </c>
      <c r="R93" t="b">
        <f t="shared" si="79"/>
        <v>1</v>
      </c>
      <c r="S93">
        <f>TRUNC(G93*1.15,2)</f>
        <v>162.62</v>
      </c>
      <c r="T93" t="b">
        <f t="shared" si="80"/>
        <v>1</v>
      </c>
      <c r="U93" s="46">
        <f t="shared" si="81"/>
        <v>188813.2</v>
      </c>
      <c r="V93" t="b">
        <f t="shared" si="82"/>
        <v>1</v>
      </c>
      <c r="W93" s="46">
        <f t="shared" si="83"/>
        <v>162.62</v>
      </c>
      <c r="X93" t="b">
        <f t="shared" si="84"/>
        <v>1</v>
      </c>
    </row>
    <row r="94" spans="1:24" ht="39" customHeight="1" x14ac:dyDescent="0.2">
      <c r="A94" s="7" t="s">
        <v>431</v>
      </c>
      <c r="B94" s="9" t="s">
        <v>172</v>
      </c>
      <c r="C94" s="7" t="s">
        <v>20</v>
      </c>
      <c r="D94" s="7" t="s">
        <v>173</v>
      </c>
      <c r="E94" s="8" t="s">
        <v>26</v>
      </c>
      <c r="F94" s="78">
        <v>290</v>
      </c>
      <c r="G94" s="10">
        <v>92.91</v>
      </c>
      <c r="H94" s="53">
        <v>0.25</v>
      </c>
      <c r="I94" s="10">
        <v>21.67</v>
      </c>
      <c r="J94" s="10">
        <v>94.46</v>
      </c>
      <c r="K94" s="10">
        <v>116.13</v>
      </c>
      <c r="L94" s="10">
        <v>6284.3</v>
      </c>
      <c r="M94" s="10">
        <v>27393.4</v>
      </c>
      <c r="N94" s="10">
        <v>33677.699999999997</v>
      </c>
      <c r="O94" s="6">
        <f t="shared" si="45"/>
        <v>1.9336919657837919E-3</v>
      </c>
      <c r="Q94" s="23">
        <f t="shared" si="78"/>
        <v>33677.699999999997</v>
      </c>
      <c r="R94" t="b">
        <f t="shared" si="79"/>
        <v>1</v>
      </c>
      <c r="S94">
        <f t="shared" ref="S94:S103" si="85">TRUNC(G94*1.25,2)</f>
        <v>116.13</v>
      </c>
      <c r="T94" t="b">
        <f t="shared" si="80"/>
        <v>1</v>
      </c>
      <c r="U94" s="46">
        <f t="shared" si="81"/>
        <v>33677.700000000004</v>
      </c>
      <c r="V94" t="b">
        <f t="shared" si="82"/>
        <v>1</v>
      </c>
      <c r="W94" s="46">
        <f t="shared" si="83"/>
        <v>116.13</v>
      </c>
      <c r="X94" t="b">
        <f t="shared" si="84"/>
        <v>1</v>
      </c>
    </row>
    <row r="95" spans="1:24" ht="39" customHeight="1" x14ac:dyDescent="0.2">
      <c r="A95" s="7" t="s">
        <v>432</v>
      </c>
      <c r="B95" s="9" t="s">
        <v>174</v>
      </c>
      <c r="C95" s="7" t="s">
        <v>20</v>
      </c>
      <c r="D95" s="7" t="s">
        <v>175</v>
      </c>
      <c r="E95" s="8" t="s">
        <v>26</v>
      </c>
      <c r="F95" s="78">
        <v>1161.07</v>
      </c>
      <c r="G95" s="10">
        <v>47.07</v>
      </c>
      <c r="H95" s="53">
        <v>0.25</v>
      </c>
      <c r="I95" s="10">
        <v>25.69</v>
      </c>
      <c r="J95" s="10">
        <v>33.14</v>
      </c>
      <c r="K95" s="10">
        <v>58.83</v>
      </c>
      <c r="L95" s="10">
        <v>29827.888299999999</v>
      </c>
      <c r="M95" s="10">
        <v>38477.851699999999</v>
      </c>
      <c r="N95" s="10">
        <v>68305.740000000005</v>
      </c>
      <c r="O95" s="6">
        <f t="shared" ref="O95:O126" si="86">N95/$N$176</f>
        <v>3.9219501526207732E-3</v>
      </c>
      <c r="Q95" s="23">
        <f t="shared" si="78"/>
        <v>68305.740000000005</v>
      </c>
      <c r="R95" t="b">
        <f t="shared" si="79"/>
        <v>1</v>
      </c>
      <c r="S95">
        <f t="shared" si="85"/>
        <v>58.83</v>
      </c>
      <c r="T95" t="b">
        <f t="shared" si="80"/>
        <v>1</v>
      </c>
      <c r="U95" s="46">
        <f t="shared" si="81"/>
        <v>68305.739999999991</v>
      </c>
      <c r="V95" t="b">
        <f t="shared" si="82"/>
        <v>1</v>
      </c>
      <c r="W95" s="46">
        <f t="shared" si="83"/>
        <v>58.83</v>
      </c>
      <c r="X95" t="b">
        <f t="shared" si="84"/>
        <v>1</v>
      </c>
    </row>
    <row r="96" spans="1:24" ht="26.1" customHeight="1" x14ac:dyDescent="0.2">
      <c r="A96" s="7" t="s">
        <v>433</v>
      </c>
      <c r="B96" s="9" t="s">
        <v>176</v>
      </c>
      <c r="C96" s="7" t="s">
        <v>20</v>
      </c>
      <c r="D96" s="7" t="s">
        <v>177</v>
      </c>
      <c r="E96" s="8" t="s">
        <v>26</v>
      </c>
      <c r="F96" s="78">
        <v>425</v>
      </c>
      <c r="G96" s="10">
        <v>18.61</v>
      </c>
      <c r="H96" s="53">
        <v>0.25</v>
      </c>
      <c r="I96" s="10">
        <v>16.100000000000001</v>
      </c>
      <c r="J96" s="10">
        <v>7.16</v>
      </c>
      <c r="K96" s="10">
        <v>23.26</v>
      </c>
      <c r="L96" s="10">
        <v>6842.5</v>
      </c>
      <c r="M96" s="10">
        <v>3043</v>
      </c>
      <c r="N96" s="10">
        <v>9885.5</v>
      </c>
      <c r="O96" s="6">
        <f t="shared" si="86"/>
        <v>5.6760146707630498E-4</v>
      </c>
      <c r="Q96" s="23">
        <f t="shared" si="78"/>
        <v>9885.5</v>
      </c>
      <c r="R96" t="b">
        <f t="shared" si="79"/>
        <v>1</v>
      </c>
      <c r="S96">
        <f t="shared" si="85"/>
        <v>23.26</v>
      </c>
      <c r="T96" t="b">
        <f t="shared" si="80"/>
        <v>1</v>
      </c>
      <c r="U96" s="46">
        <f t="shared" si="81"/>
        <v>9885.5</v>
      </c>
      <c r="V96" t="b">
        <f t="shared" si="82"/>
        <v>1</v>
      </c>
      <c r="W96" s="46">
        <f t="shared" si="83"/>
        <v>23.26</v>
      </c>
      <c r="X96" t="b">
        <f t="shared" si="84"/>
        <v>1</v>
      </c>
    </row>
    <row r="97" spans="1:24" ht="24" customHeight="1" x14ac:dyDescent="0.2">
      <c r="A97" s="7" t="s">
        <v>434</v>
      </c>
      <c r="B97" s="9" t="s">
        <v>178</v>
      </c>
      <c r="C97" s="7" t="s">
        <v>20</v>
      </c>
      <c r="D97" s="7" t="s">
        <v>179</v>
      </c>
      <c r="E97" s="8" t="s">
        <v>38</v>
      </c>
      <c r="F97" s="78">
        <v>1155.51</v>
      </c>
      <c r="G97" s="10">
        <v>57.96</v>
      </c>
      <c r="H97" s="53">
        <v>0.25</v>
      </c>
      <c r="I97" s="10">
        <v>2.52</v>
      </c>
      <c r="J97" s="10">
        <v>69.930000000000007</v>
      </c>
      <c r="K97" s="10">
        <v>72.45</v>
      </c>
      <c r="L97" s="10">
        <v>2911.8852000000002</v>
      </c>
      <c r="M97" s="10">
        <v>80804.804799999998</v>
      </c>
      <c r="N97" s="10">
        <v>83716.69</v>
      </c>
      <c r="O97" s="6">
        <f t="shared" si="86"/>
        <v>4.8068095759215244E-3</v>
      </c>
      <c r="Q97" s="23">
        <f t="shared" si="78"/>
        <v>83716.69</v>
      </c>
      <c r="R97" t="b">
        <f t="shared" si="79"/>
        <v>1</v>
      </c>
      <c r="S97">
        <f t="shared" si="85"/>
        <v>72.45</v>
      </c>
      <c r="T97" t="b">
        <f t="shared" si="80"/>
        <v>1</v>
      </c>
      <c r="U97" s="46">
        <f t="shared" si="81"/>
        <v>83716.69</v>
      </c>
      <c r="V97" t="b">
        <f t="shared" si="82"/>
        <v>1</v>
      </c>
      <c r="W97" s="46">
        <f t="shared" si="83"/>
        <v>72.45</v>
      </c>
      <c r="X97" t="b">
        <f t="shared" si="84"/>
        <v>1</v>
      </c>
    </row>
    <row r="98" spans="1:24" ht="26.1" customHeight="1" x14ac:dyDescent="0.2">
      <c r="A98" s="7" t="s">
        <v>435</v>
      </c>
      <c r="B98" s="9" t="s">
        <v>180</v>
      </c>
      <c r="C98" s="7" t="s">
        <v>20</v>
      </c>
      <c r="D98" s="7" t="s">
        <v>181</v>
      </c>
      <c r="E98" s="8" t="s">
        <v>26</v>
      </c>
      <c r="F98" s="78">
        <v>196.65</v>
      </c>
      <c r="G98" s="10">
        <v>161.46</v>
      </c>
      <c r="H98" s="53">
        <v>0.25</v>
      </c>
      <c r="I98" s="10">
        <v>4.71</v>
      </c>
      <c r="J98" s="10">
        <v>197.11</v>
      </c>
      <c r="K98" s="10">
        <v>201.82</v>
      </c>
      <c r="L98" s="10">
        <v>926.22149999999999</v>
      </c>
      <c r="M98" s="10">
        <v>38761.678500000002</v>
      </c>
      <c r="N98" s="10">
        <v>39687.9</v>
      </c>
      <c r="O98" s="6">
        <f t="shared" si="86"/>
        <v>2.2787830929318379E-3</v>
      </c>
      <c r="Q98" s="23">
        <f t="shared" si="78"/>
        <v>39687.9</v>
      </c>
      <c r="R98" t="b">
        <f t="shared" si="79"/>
        <v>1</v>
      </c>
      <c r="S98">
        <f t="shared" si="85"/>
        <v>201.82</v>
      </c>
      <c r="T98" t="b">
        <f t="shared" si="80"/>
        <v>1</v>
      </c>
      <c r="U98" s="46">
        <f t="shared" si="81"/>
        <v>39687.9</v>
      </c>
      <c r="V98" t="b">
        <f t="shared" si="82"/>
        <v>1</v>
      </c>
      <c r="W98" s="46">
        <f t="shared" si="83"/>
        <v>201.82000000000002</v>
      </c>
      <c r="X98" t="b">
        <f t="shared" si="84"/>
        <v>1</v>
      </c>
    </row>
    <row r="99" spans="1:24" ht="24" customHeight="1" x14ac:dyDescent="0.2">
      <c r="A99" s="7" t="s">
        <v>436</v>
      </c>
      <c r="B99" s="9" t="s">
        <v>182</v>
      </c>
      <c r="C99" s="7" t="s">
        <v>20</v>
      </c>
      <c r="D99" s="7" t="s">
        <v>183</v>
      </c>
      <c r="E99" s="8" t="s">
        <v>38</v>
      </c>
      <c r="F99" s="78">
        <v>775.27</v>
      </c>
      <c r="G99" s="10">
        <v>54.61</v>
      </c>
      <c r="H99" s="53">
        <v>0.25</v>
      </c>
      <c r="I99" s="10">
        <v>30.55</v>
      </c>
      <c r="J99" s="10">
        <v>37.71</v>
      </c>
      <c r="K99" s="10">
        <v>68.260000000000005</v>
      </c>
      <c r="L99" s="10">
        <v>23684.498500000002</v>
      </c>
      <c r="M99" s="10">
        <v>29235.431499999999</v>
      </c>
      <c r="N99" s="10">
        <v>52919.93</v>
      </c>
      <c r="O99" s="6">
        <f t="shared" si="86"/>
        <v>3.0385342072303235E-3</v>
      </c>
      <c r="Q99" s="23">
        <f t="shared" si="78"/>
        <v>52919.93</v>
      </c>
      <c r="R99" t="b">
        <f t="shared" si="79"/>
        <v>1</v>
      </c>
      <c r="S99">
        <f t="shared" si="85"/>
        <v>68.260000000000005</v>
      </c>
      <c r="T99" t="b">
        <f t="shared" si="80"/>
        <v>1</v>
      </c>
      <c r="U99" s="46">
        <f t="shared" si="81"/>
        <v>52919.93</v>
      </c>
      <c r="V99" t="b">
        <f t="shared" si="82"/>
        <v>1</v>
      </c>
      <c r="W99" s="46">
        <f t="shared" si="83"/>
        <v>68.260000000000005</v>
      </c>
      <c r="X99" t="b">
        <f t="shared" si="84"/>
        <v>1</v>
      </c>
    </row>
    <row r="100" spans="1:24" ht="26.1" customHeight="1" x14ac:dyDescent="0.2">
      <c r="A100" s="7" t="s">
        <v>437</v>
      </c>
      <c r="B100" s="9" t="s">
        <v>184</v>
      </c>
      <c r="C100" s="7" t="s">
        <v>20</v>
      </c>
      <c r="D100" s="7" t="s">
        <v>318</v>
      </c>
      <c r="E100" s="8" t="s">
        <v>26</v>
      </c>
      <c r="F100" s="78">
        <v>105.12</v>
      </c>
      <c r="G100" s="10">
        <v>456.91</v>
      </c>
      <c r="H100" s="53">
        <v>0.25</v>
      </c>
      <c r="I100" s="10">
        <v>37.93</v>
      </c>
      <c r="J100" s="10">
        <v>533.20000000000005</v>
      </c>
      <c r="K100" s="10">
        <v>571.13</v>
      </c>
      <c r="L100" s="10">
        <v>3987.2015999999999</v>
      </c>
      <c r="M100" s="10">
        <v>56049.9784</v>
      </c>
      <c r="N100" s="10">
        <v>60037.18</v>
      </c>
      <c r="O100" s="6">
        <f t="shared" si="86"/>
        <v>3.4471894640760907E-3</v>
      </c>
      <c r="Q100" s="23">
        <f t="shared" si="78"/>
        <v>60037.18</v>
      </c>
      <c r="R100" t="b">
        <f t="shared" si="79"/>
        <v>1</v>
      </c>
      <c r="S100">
        <f t="shared" si="85"/>
        <v>571.13</v>
      </c>
      <c r="T100" t="b">
        <f t="shared" si="80"/>
        <v>1</v>
      </c>
      <c r="U100" s="46">
        <f t="shared" si="81"/>
        <v>60037.18</v>
      </c>
      <c r="V100" t="b">
        <f t="shared" si="82"/>
        <v>1</v>
      </c>
      <c r="W100" s="46">
        <f t="shared" si="83"/>
        <v>571.13</v>
      </c>
      <c r="X100" t="b">
        <f t="shared" si="84"/>
        <v>1</v>
      </c>
    </row>
    <row r="101" spans="1:24" ht="26.1" customHeight="1" x14ac:dyDescent="0.2">
      <c r="A101" s="7" t="s">
        <v>438</v>
      </c>
      <c r="B101" s="9" t="s">
        <v>184</v>
      </c>
      <c r="C101" s="7" t="s">
        <v>20</v>
      </c>
      <c r="D101" s="7" t="s">
        <v>319</v>
      </c>
      <c r="E101" s="8" t="s">
        <v>26</v>
      </c>
      <c r="F101" s="78">
        <v>47.62</v>
      </c>
      <c r="G101" s="10">
        <v>456.91</v>
      </c>
      <c r="H101" s="53">
        <v>0.25</v>
      </c>
      <c r="I101" s="10">
        <v>37.93</v>
      </c>
      <c r="J101" s="10">
        <v>533.20000000000005</v>
      </c>
      <c r="K101" s="10">
        <v>571.13</v>
      </c>
      <c r="L101" s="10">
        <v>1806.2266</v>
      </c>
      <c r="M101" s="10">
        <v>25390.983400000001</v>
      </c>
      <c r="N101" s="10">
        <v>27197.21</v>
      </c>
      <c r="O101" s="6">
        <f t="shared" si="86"/>
        <v>1.5615979258896719E-3</v>
      </c>
      <c r="Q101" s="23">
        <f t="shared" si="78"/>
        <v>27197.21</v>
      </c>
      <c r="R101" t="b">
        <f t="shared" si="79"/>
        <v>1</v>
      </c>
      <c r="S101">
        <f t="shared" si="85"/>
        <v>571.13</v>
      </c>
      <c r="T101" t="b">
        <f t="shared" si="80"/>
        <v>1</v>
      </c>
      <c r="U101" s="46">
        <f t="shared" si="81"/>
        <v>27197.21</v>
      </c>
      <c r="V101" t="b">
        <f t="shared" si="82"/>
        <v>1</v>
      </c>
      <c r="W101" s="46">
        <f t="shared" si="83"/>
        <v>571.13</v>
      </c>
      <c r="X101" t="b">
        <f t="shared" si="84"/>
        <v>1</v>
      </c>
    </row>
    <row r="102" spans="1:24" ht="26.1" customHeight="1" x14ac:dyDescent="0.2">
      <c r="A102" s="7" t="s">
        <v>439</v>
      </c>
      <c r="B102" s="9" t="s">
        <v>185</v>
      </c>
      <c r="C102" s="7" t="s">
        <v>20</v>
      </c>
      <c r="D102" s="7" t="s">
        <v>186</v>
      </c>
      <c r="E102" s="8" t="s">
        <v>26</v>
      </c>
      <c r="F102" s="78">
        <v>160</v>
      </c>
      <c r="G102" s="10">
        <v>152.1</v>
      </c>
      <c r="H102" s="53">
        <v>0.25</v>
      </c>
      <c r="I102" s="10">
        <v>44.15</v>
      </c>
      <c r="J102" s="10">
        <v>145.97</v>
      </c>
      <c r="K102" s="10">
        <v>190.12</v>
      </c>
      <c r="L102" s="10">
        <v>7064</v>
      </c>
      <c r="M102" s="10">
        <v>23355.200000000001</v>
      </c>
      <c r="N102" s="10">
        <v>30419.200000000001</v>
      </c>
      <c r="O102" s="6">
        <f t="shared" si="86"/>
        <v>1.7465967879507901E-3</v>
      </c>
      <c r="Q102" s="23">
        <f t="shared" si="78"/>
        <v>30419.200000000001</v>
      </c>
      <c r="R102" t="b">
        <f t="shared" si="79"/>
        <v>1</v>
      </c>
      <c r="S102">
        <f t="shared" si="85"/>
        <v>190.12</v>
      </c>
      <c r="T102" t="b">
        <f t="shared" si="80"/>
        <v>1</v>
      </c>
      <c r="U102" s="46">
        <f t="shared" si="81"/>
        <v>30419.200000000001</v>
      </c>
      <c r="V102" t="b">
        <f t="shared" si="82"/>
        <v>1</v>
      </c>
      <c r="W102" s="46">
        <f t="shared" si="83"/>
        <v>190.12</v>
      </c>
      <c r="X102" t="b">
        <f t="shared" si="84"/>
        <v>1</v>
      </c>
    </row>
    <row r="103" spans="1:24" ht="26.1" customHeight="1" x14ac:dyDescent="0.2">
      <c r="A103" s="7" t="s">
        <v>440</v>
      </c>
      <c r="B103" s="9" t="s">
        <v>187</v>
      </c>
      <c r="C103" s="7" t="s">
        <v>20</v>
      </c>
      <c r="D103" s="7" t="s">
        <v>188</v>
      </c>
      <c r="E103" s="8" t="s">
        <v>38</v>
      </c>
      <c r="F103" s="78">
        <v>150</v>
      </c>
      <c r="G103" s="10">
        <v>169.84</v>
      </c>
      <c r="H103" s="53">
        <v>0.25</v>
      </c>
      <c r="I103" s="10">
        <v>42.75</v>
      </c>
      <c r="J103" s="10">
        <v>169.55</v>
      </c>
      <c r="K103" s="10">
        <v>212.3</v>
      </c>
      <c r="L103" s="10">
        <v>6412.5</v>
      </c>
      <c r="M103" s="10">
        <v>25432.5</v>
      </c>
      <c r="N103" s="10">
        <v>31845</v>
      </c>
      <c r="O103" s="6">
        <f t="shared" si="86"/>
        <v>1.8284627706281859E-3</v>
      </c>
      <c r="Q103" s="23">
        <f t="shared" si="78"/>
        <v>31845</v>
      </c>
      <c r="R103" t="b">
        <f t="shared" si="79"/>
        <v>1</v>
      </c>
      <c r="S103">
        <f t="shared" si="85"/>
        <v>212.3</v>
      </c>
      <c r="T103" t="b">
        <f t="shared" si="80"/>
        <v>1</v>
      </c>
      <c r="U103" s="46">
        <f t="shared" si="81"/>
        <v>31845</v>
      </c>
      <c r="V103" t="b">
        <f t="shared" si="82"/>
        <v>1</v>
      </c>
      <c r="W103" s="46">
        <f t="shared" si="83"/>
        <v>212.3</v>
      </c>
      <c r="X103" t="b">
        <f t="shared" si="84"/>
        <v>1</v>
      </c>
    </row>
    <row r="104" spans="1:24" ht="24" customHeight="1" x14ac:dyDescent="0.2">
      <c r="A104" s="3" t="s">
        <v>441</v>
      </c>
      <c r="B104" s="3"/>
      <c r="C104" s="3"/>
      <c r="D104" s="3" t="s">
        <v>189</v>
      </c>
      <c r="E104" s="3"/>
      <c r="F104" s="77"/>
      <c r="G104" s="4"/>
      <c r="H104" s="52"/>
      <c r="I104" s="3"/>
      <c r="J104" s="3"/>
      <c r="K104" s="3"/>
      <c r="L104" s="3"/>
      <c r="M104" s="3"/>
      <c r="N104" s="5">
        <f>SUM(N105:N107)</f>
        <v>224015.78</v>
      </c>
      <c r="O104" s="6">
        <f t="shared" si="86"/>
        <v>1.2862443515881117E-2</v>
      </c>
      <c r="W104" s="46">
        <f t="shared" ref="W104:W167" si="87">I104+J104</f>
        <v>0</v>
      </c>
      <c r="X104" t="b">
        <f t="shared" ref="X104:X167" si="88">W104=K104</f>
        <v>1</v>
      </c>
    </row>
    <row r="105" spans="1:24" ht="51.95" customHeight="1" x14ac:dyDescent="0.2">
      <c r="A105" s="7" t="s">
        <v>442</v>
      </c>
      <c r="B105" s="9" t="s">
        <v>190</v>
      </c>
      <c r="C105" s="7" t="s">
        <v>20</v>
      </c>
      <c r="D105" s="7" t="s">
        <v>191</v>
      </c>
      <c r="E105" s="8" t="s">
        <v>26</v>
      </c>
      <c r="F105" s="78">
        <v>2048.8000000000002</v>
      </c>
      <c r="G105" s="10">
        <v>8.42</v>
      </c>
      <c r="H105" s="53">
        <v>0.25</v>
      </c>
      <c r="I105" s="10">
        <v>6.34</v>
      </c>
      <c r="J105" s="10">
        <v>4.18</v>
      </c>
      <c r="K105" s="10">
        <v>10.52</v>
      </c>
      <c r="L105" s="10">
        <v>12989.392</v>
      </c>
      <c r="M105" s="10">
        <v>8563.9779999999992</v>
      </c>
      <c r="N105" s="10">
        <v>21553.37</v>
      </c>
      <c r="O105" s="6">
        <f t="shared" si="86"/>
        <v>1.2375423026087116E-3</v>
      </c>
      <c r="Q105" s="23">
        <f t="shared" ref="Q105:Q107" si="89">TRUNC(K105*F105,2)</f>
        <v>21553.37</v>
      </c>
      <c r="R105" t="b">
        <f t="shared" ref="R105:R107" si="90">Q105=N105</f>
        <v>1</v>
      </c>
      <c r="S105">
        <f t="shared" ref="S105:S107" si="91">TRUNC(G105*1.25,2)</f>
        <v>10.52</v>
      </c>
      <c r="T105" t="b">
        <f t="shared" ref="T105:T107" si="92">S105=K105</f>
        <v>1</v>
      </c>
      <c r="U105" s="46">
        <f t="shared" ref="U105:U107" si="93">L105+M105</f>
        <v>21553.37</v>
      </c>
      <c r="V105" t="b">
        <f t="shared" ref="V105:V107" si="94">U105=N105</f>
        <v>1</v>
      </c>
      <c r="W105" s="46">
        <f t="shared" si="87"/>
        <v>10.52</v>
      </c>
      <c r="X105" t="b">
        <f t="shared" si="88"/>
        <v>1</v>
      </c>
    </row>
    <row r="106" spans="1:24" ht="51.95" customHeight="1" x14ac:dyDescent="0.2">
      <c r="A106" s="7" t="s">
        <v>443</v>
      </c>
      <c r="B106" s="9" t="s">
        <v>192</v>
      </c>
      <c r="C106" s="7" t="s">
        <v>20</v>
      </c>
      <c r="D106" s="7" t="s">
        <v>193</v>
      </c>
      <c r="E106" s="8" t="s">
        <v>26</v>
      </c>
      <c r="F106" s="78">
        <v>2048.8000000000002</v>
      </c>
      <c r="G106" s="10">
        <v>59.92</v>
      </c>
      <c r="H106" s="53">
        <v>0.25</v>
      </c>
      <c r="I106" s="10">
        <v>39.9</v>
      </c>
      <c r="J106" s="10">
        <v>35</v>
      </c>
      <c r="K106" s="10">
        <v>74.900000000000006</v>
      </c>
      <c r="L106" s="10">
        <v>81747.12</v>
      </c>
      <c r="M106" s="10">
        <v>71708</v>
      </c>
      <c r="N106" s="10">
        <v>153455.12</v>
      </c>
      <c r="O106" s="6">
        <f t="shared" si="86"/>
        <v>8.8110213183319429E-3</v>
      </c>
      <c r="Q106" s="23">
        <f t="shared" si="89"/>
        <v>153455.12</v>
      </c>
      <c r="R106" t="b">
        <f t="shared" si="90"/>
        <v>1</v>
      </c>
      <c r="S106">
        <f t="shared" si="91"/>
        <v>74.900000000000006</v>
      </c>
      <c r="T106" t="b">
        <f t="shared" si="92"/>
        <v>1</v>
      </c>
      <c r="U106" s="46">
        <f t="shared" si="93"/>
        <v>153455.12</v>
      </c>
      <c r="V106" t="b">
        <f t="shared" si="94"/>
        <v>1</v>
      </c>
      <c r="W106" s="46">
        <f t="shared" si="87"/>
        <v>74.900000000000006</v>
      </c>
      <c r="X106" t="b">
        <f t="shared" si="88"/>
        <v>1</v>
      </c>
    </row>
    <row r="107" spans="1:24" ht="39" customHeight="1" x14ac:dyDescent="0.2">
      <c r="A107" s="7" t="s">
        <v>444</v>
      </c>
      <c r="B107" s="9" t="s">
        <v>194</v>
      </c>
      <c r="C107" s="7" t="s">
        <v>20</v>
      </c>
      <c r="D107" s="7" t="s">
        <v>195</v>
      </c>
      <c r="E107" s="8" t="s">
        <v>26</v>
      </c>
      <c r="F107" s="78">
        <v>2048.8000000000002</v>
      </c>
      <c r="G107" s="10">
        <v>19.14</v>
      </c>
      <c r="H107" s="53">
        <v>0.25</v>
      </c>
      <c r="I107" s="10">
        <v>11.54</v>
      </c>
      <c r="J107" s="10">
        <v>12.38</v>
      </c>
      <c r="K107" s="10">
        <v>23.92</v>
      </c>
      <c r="L107" s="10">
        <v>23643.151999999998</v>
      </c>
      <c r="M107" s="10">
        <v>25364.137999999999</v>
      </c>
      <c r="N107" s="10">
        <v>49007.29</v>
      </c>
      <c r="O107" s="6">
        <f t="shared" si="86"/>
        <v>2.8138798949404612E-3</v>
      </c>
      <c r="Q107" s="23">
        <f t="shared" si="89"/>
        <v>49007.29</v>
      </c>
      <c r="R107" t="b">
        <f t="shared" si="90"/>
        <v>1</v>
      </c>
      <c r="S107">
        <f t="shared" si="91"/>
        <v>23.92</v>
      </c>
      <c r="T107" t="b">
        <f t="shared" si="92"/>
        <v>1</v>
      </c>
      <c r="U107" s="46">
        <f t="shared" si="93"/>
        <v>49007.289999999994</v>
      </c>
      <c r="V107" t="b">
        <f t="shared" si="94"/>
        <v>1</v>
      </c>
      <c r="W107" s="46">
        <f t="shared" si="87"/>
        <v>23.92</v>
      </c>
      <c r="X107" t="b">
        <f t="shared" si="88"/>
        <v>1</v>
      </c>
    </row>
    <row r="108" spans="1:24" ht="24" customHeight="1" x14ac:dyDescent="0.2">
      <c r="A108" s="3" t="s">
        <v>445</v>
      </c>
      <c r="B108" s="3"/>
      <c r="C108" s="3"/>
      <c r="D108" s="3" t="s">
        <v>196</v>
      </c>
      <c r="E108" s="3"/>
      <c r="F108" s="77"/>
      <c r="G108" s="4"/>
      <c r="H108" s="52"/>
      <c r="I108" s="3"/>
      <c r="J108" s="3"/>
      <c r="K108" s="3"/>
      <c r="L108" s="3"/>
      <c r="M108" s="3"/>
      <c r="N108" s="5">
        <f>SUM(N109:N113)</f>
        <v>1257728.01</v>
      </c>
      <c r="O108" s="6">
        <f t="shared" si="86"/>
        <v>7.221569608608179E-2</v>
      </c>
      <c r="W108" s="46">
        <f t="shared" si="87"/>
        <v>0</v>
      </c>
      <c r="X108" t="b">
        <f t="shared" si="88"/>
        <v>1</v>
      </c>
    </row>
    <row r="109" spans="1:24" ht="51.95" customHeight="1" x14ac:dyDescent="0.2">
      <c r="A109" s="7" t="s">
        <v>446</v>
      </c>
      <c r="B109" s="9" t="s">
        <v>190</v>
      </c>
      <c r="C109" s="7" t="s">
        <v>20</v>
      </c>
      <c r="D109" s="7" t="s">
        <v>191</v>
      </c>
      <c r="E109" s="8" t="s">
        <v>26</v>
      </c>
      <c r="F109" s="78">
        <v>7289.9</v>
      </c>
      <c r="G109" s="10">
        <v>8.42</v>
      </c>
      <c r="H109" s="53">
        <v>0.25</v>
      </c>
      <c r="I109" s="10">
        <v>6.34</v>
      </c>
      <c r="J109" s="10">
        <v>4.18</v>
      </c>
      <c r="K109" s="10">
        <v>10.52</v>
      </c>
      <c r="L109" s="10">
        <v>46217.966</v>
      </c>
      <c r="M109" s="10">
        <v>30471.774000000001</v>
      </c>
      <c r="N109" s="10">
        <v>76689.740000000005</v>
      </c>
      <c r="O109" s="6">
        <f t="shared" si="86"/>
        <v>4.4033391263669404E-3</v>
      </c>
      <c r="Q109" s="23">
        <f t="shared" ref="Q109:Q113" si="95">TRUNC(K109*F109,2)</f>
        <v>76689.740000000005</v>
      </c>
      <c r="R109" t="b">
        <f t="shared" ref="R109:R113" si="96">Q109=N109</f>
        <v>1</v>
      </c>
      <c r="S109">
        <f t="shared" ref="S109:S112" si="97">TRUNC(G109*1.25,2)</f>
        <v>10.52</v>
      </c>
      <c r="T109" t="b">
        <f t="shared" ref="T109:T113" si="98">S109=K109</f>
        <v>1</v>
      </c>
      <c r="U109" s="46">
        <f t="shared" ref="U109:U113" si="99">L109+M109</f>
        <v>76689.740000000005</v>
      </c>
      <c r="V109" t="b">
        <f t="shared" ref="V109:V113" si="100">U109=N109</f>
        <v>1</v>
      </c>
      <c r="W109" s="46">
        <f t="shared" si="87"/>
        <v>10.52</v>
      </c>
      <c r="X109" t="b">
        <f t="shared" si="88"/>
        <v>1</v>
      </c>
    </row>
    <row r="110" spans="1:24" ht="51.95" customHeight="1" x14ac:dyDescent="0.2">
      <c r="A110" s="7" t="s">
        <v>447</v>
      </c>
      <c r="B110" s="9" t="s">
        <v>192</v>
      </c>
      <c r="C110" s="7" t="s">
        <v>20</v>
      </c>
      <c r="D110" s="7" t="s">
        <v>193</v>
      </c>
      <c r="E110" s="8" t="s">
        <v>26</v>
      </c>
      <c r="F110" s="78">
        <v>7289.9</v>
      </c>
      <c r="G110" s="10">
        <v>59.92</v>
      </c>
      <c r="H110" s="53">
        <v>0.25</v>
      </c>
      <c r="I110" s="10">
        <v>39.9</v>
      </c>
      <c r="J110" s="10">
        <v>35</v>
      </c>
      <c r="K110" s="10">
        <v>74.900000000000006</v>
      </c>
      <c r="L110" s="10">
        <v>290867.01</v>
      </c>
      <c r="M110" s="10">
        <v>255146.5</v>
      </c>
      <c r="N110" s="10">
        <v>546013.51</v>
      </c>
      <c r="O110" s="6">
        <f t="shared" si="86"/>
        <v>3.1350773286073816E-2</v>
      </c>
      <c r="Q110" s="23">
        <f t="shared" si="95"/>
        <v>546013.51</v>
      </c>
      <c r="R110" t="b">
        <f t="shared" si="96"/>
        <v>1</v>
      </c>
      <c r="S110">
        <f t="shared" si="97"/>
        <v>74.900000000000006</v>
      </c>
      <c r="T110" t="b">
        <f t="shared" si="98"/>
        <v>1</v>
      </c>
      <c r="U110" s="46">
        <f t="shared" si="99"/>
        <v>546013.51</v>
      </c>
      <c r="V110" t="b">
        <f t="shared" si="100"/>
        <v>1</v>
      </c>
      <c r="W110" s="46">
        <f t="shared" si="87"/>
        <v>74.900000000000006</v>
      </c>
      <c r="X110" t="b">
        <f t="shared" si="88"/>
        <v>1</v>
      </c>
    </row>
    <row r="111" spans="1:24" ht="51.95" customHeight="1" x14ac:dyDescent="0.2">
      <c r="A111" s="7" t="s">
        <v>448</v>
      </c>
      <c r="B111" s="9" t="s">
        <v>197</v>
      </c>
      <c r="C111" s="7" t="s">
        <v>20</v>
      </c>
      <c r="D111" s="7" t="s">
        <v>198</v>
      </c>
      <c r="E111" s="8" t="s">
        <v>26</v>
      </c>
      <c r="F111" s="78">
        <v>6081.82</v>
      </c>
      <c r="G111" s="10">
        <v>63.51</v>
      </c>
      <c r="H111" s="53">
        <v>0.25</v>
      </c>
      <c r="I111" s="10">
        <v>14.2</v>
      </c>
      <c r="J111" s="10">
        <v>65.180000000000007</v>
      </c>
      <c r="K111" s="10">
        <v>79.38</v>
      </c>
      <c r="L111" s="10">
        <v>86361.843999999997</v>
      </c>
      <c r="M111" s="10">
        <v>396413.02600000001</v>
      </c>
      <c r="N111" s="10">
        <v>482774.87</v>
      </c>
      <c r="O111" s="6">
        <f t="shared" si="86"/>
        <v>2.7719763742812445E-2</v>
      </c>
      <c r="Q111" s="23">
        <f t="shared" si="95"/>
        <v>482774.87</v>
      </c>
      <c r="R111" t="b">
        <f t="shared" si="96"/>
        <v>1</v>
      </c>
      <c r="S111">
        <f t="shared" si="97"/>
        <v>79.38</v>
      </c>
      <c r="T111" t="b">
        <f t="shared" si="98"/>
        <v>1</v>
      </c>
      <c r="U111" s="46">
        <f t="shared" si="99"/>
        <v>482774.87</v>
      </c>
      <c r="V111" t="b">
        <f t="shared" si="100"/>
        <v>1</v>
      </c>
      <c r="W111" s="46">
        <f t="shared" si="87"/>
        <v>79.38000000000001</v>
      </c>
      <c r="X111" t="b">
        <f t="shared" si="88"/>
        <v>1</v>
      </c>
    </row>
    <row r="112" spans="1:24" ht="39" customHeight="1" x14ac:dyDescent="0.2">
      <c r="A112" s="7" t="s">
        <v>449</v>
      </c>
      <c r="B112" s="9" t="s">
        <v>199</v>
      </c>
      <c r="C112" s="7" t="s">
        <v>20</v>
      </c>
      <c r="D112" s="7" t="s">
        <v>200</v>
      </c>
      <c r="E112" s="8" t="s">
        <v>26</v>
      </c>
      <c r="F112" s="78">
        <v>1208.08</v>
      </c>
      <c r="G112" s="10">
        <v>95.52</v>
      </c>
      <c r="H112" s="53">
        <v>0.25</v>
      </c>
      <c r="I112" s="10">
        <v>26.63</v>
      </c>
      <c r="J112" s="10">
        <v>92.77</v>
      </c>
      <c r="K112" s="10">
        <v>119.4</v>
      </c>
      <c r="L112" s="10">
        <v>32171.170399999999</v>
      </c>
      <c r="M112" s="10">
        <v>112073.5796</v>
      </c>
      <c r="N112" s="10">
        <v>144244.75</v>
      </c>
      <c r="O112" s="6">
        <f t="shared" si="86"/>
        <v>8.2821841806742045E-3</v>
      </c>
      <c r="Q112" s="23">
        <f t="shared" si="95"/>
        <v>144244.75</v>
      </c>
      <c r="R112" t="b">
        <f t="shared" si="96"/>
        <v>1</v>
      </c>
      <c r="S112">
        <f t="shared" si="97"/>
        <v>119.4</v>
      </c>
      <c r="T112" t="b">
        <f t="shared" si="98"/>
        <v>1</v>
      </c>
      <c r="U112" s="46">
        <f t="shared" si="99"/>
        <v>144244.75</v>
      </c>
      <c r="V112" t="b">
        <f t="shared" si="100"/>
        <v>1</v>
      </c>
      <c r="W112" s="46">
        <f t="shared" si="87"/>
        <v>119.39999999999999</v>
      </c>
      <c r="X112" t="b">
        <f t="shared" si="88"/>
        <v>1</v>
      </c>
    </row>
    <row r="113" spans="1:24" ht="39" customHeight="1" x14ac:dyDescent="0.2">
      <c r="A113" s="7" t="s">
        <v>450</v>
      </c>
      <c r="B113" s="13" t="s">
        <v>201</v>
      </c>
      <c r="C113" s="11" t="s">
        <v>20</v>
      </c>
      <c r="D113" s="11" t="s">
        <v>320</v>
      </c>
      <c r="E113" s="12" t="s">
        <v>26</v>
      </c>
      <c r="F113" s="76">
        <v>14.19</v>
      </c>
      <c r="G113" s="14">
        <v>490.56</v>
      </c>
      <c r="H113" s="54">
        <v>0.15</v>
      </c>
      <c r="I113" s="14">
        <v>0</v>
      </c>
      <c r="J113" s="14">
        <f>K113</f>
        <v>564.14</v>
      </c>
      <c r="K113" s="14">
        <f>TRUNC(G113*1.15,2)</f>
        <v>564.14</v>
      </c>
      <c r="L113" s="14">
        <v>0</v>
      </c>
      <c r="M113" s="14">
        <f>N113</f>
        <v>8005.14</v>
      </c>
      <c r="N113" s="14">
        <f>TRUNC(K113*F113,2)</f>
        <v>8005.14</v>
      </c>
      <c r="O113" s="6">
        <f t="shared" si="86"/>
        <v>4.5963575015438898E-4</v>
      </c>
      <c r="Q113" s="23">
        <f t="shared" si="95"/>
        <v>8005.14</v>
      </c>
      <c r="R113" t="b">
        <f t="shared" si="96"/>
        <v>1</v>
      </c>
      <c r="S113">
        <f>TRUNC(G113*1.15,2)</f>
        <v>564.14</v>
      </c>
      <c r="T113" t="b">
        <f t="shared" si="98"/>
        <v>1</v>
      </c>
      <c r="U113" s="46">
        <f t="shared" si="99"/>
        <v>8005.14</v>
      </c>
      <c r="V113" t="b">
        <f t="shared" si="100"/>
        <v>1</v>
      </c>
      <c r="W113" s="46">
        <f t="shared" si="87"/>
        <v>564.14</v>
      </c>
      <c r="X113" t="b">
        <f t="shared" si="88"/>
        <v>1</v>
      </c>
    </row>
    <row r="114" spans="1:24" ht="24" customHeight="1" x14ac:dyDescent="0.2">
      <c r="A114" s="3" t="s">
        <v>451</v>
      </c>
      <c r="B114" s="3"/>
      <c r="C114" s="3"/>
      <c r="D114" s="3" t="s">
        <v>202</v>
      </c>
      <c r="E114" s="3"/>
      <c r="F114" s="77"/>
      <c r="G114" s="4"/>
      <c r="H114" s="52"/>
      <c r="I114" s="3"/>
      <c r="J114" s="3"/>
      <c r="K114" s="3"/>
      <c r="L114" s="3"/>
      <c r="M114" s="3"/>
      <c r="N114" s="5">
        <f>SUM(N115:N120)</f>
        <v>208301.01</v>
      </c>
      <c r="O114" s="6">
        <f t="shared" si="86"/>
        <v>1.1960139484039864E-2</v>
      </c>
      <c r="W114" s="46">
        <f t="shared" si="87"/>
        <v>0</v>
      </c>
      <c r="X114" t="b">
        <f t="shared" si="88"/>
        <v>1</v>
      </c>
    </row>
    <row r="115" spans="1:24" ht="26.1" customHeight="1" x14ac:dyDescent="0.2">
      <c r="A115" s="7" t="s">
        <v>452</v>
      </c>
      <c r="B115" s="9" t="s">
        <v>203</v>
      </c>
      <c r="C115" s="7" t="s">
        <v>20</v>
      </c>
      <c r="D115" s="7" t="s">
        <v>204</v>
      </c>
      <c r="E115" s="8" t="s">
        <v>26</v>
      </c>
      <c r="F115" s="78">
        <v>293.83999999999997</v>
      </c>
      <c r="G115" s="10">
        <v>13.78</v>
      </c>
      <c r="H115" s="53">
        <v>0.25</v>
      </c>
      <c r="I115" s="10">
        <v>8.66</v>
      </c>
      <c r="J115" s="10">
        <v>8.56</v>
      </c>
      <c r="K115" s="10">
        <v>17.22</v>
      </c>
      <c r="L115" s="10">
        <v>2544.6543999999999</v>
      </c>
      <c r="M115" s="10">
        <v>2515.2656000000002</v>
      </c>
      <c r="N115" s="10">
        <v>5059.92</v>
      </c>
      <c r="O115" s="6">
        <f t="shared" si="86"/>
        <v>2.905283511495359E-4</v>
      </c>
      <c r="Q115" s="23">
        <f t="shared" ref="Q115:Q120" si="101">TRUNC(K115*F115,2)</f>
        <v>5059.92</v>
      </c>
      <c r="R115" t="b">
        <f t="shared" ref="R115:R120" si="102">Q115=N115</f>
        <v>1</v>
      </c>
      <c r="S115">
        <f t="shared" ref="S115:S120" si="103">TRUNC(G115*1.25,2)</f>
        <v>17.22</v>
      </c>
      <c r="T115" t="b">
        <f t="shared" ref="T115:T120" si="104">S115=K115</f>
        <v>1</v>
      </c>
      <c r="U115" s="46">
        <f t="shared" ref="U115:U120" si="105">L115+M115</f>
        <v>5059.92</v>
      </c>
      <c r="V115" t="b">
        <f t="shared" ref="V115:V120" si="106">U115=N115</f>
        <v>1</v>
      </c>
      <c r="W115" s="46">
        <f t="shared" si="87"/>
        <v>17.22</v>
      </c>
      <c r="X115" t="b">
        <f t="shared" si="88"/>
        <v>1</v>
      </c>
    </row>
    <row r="116" spans="1:24" ht="26.1" customHeight="1" x14ac:dyDescent="0.2">
      <c r="A116" s="7" t="s">
        <v>453</v>
      </c>
      <c r="B116" s="9" t="s">
        <v>205</v>
      </c>
      <c r="C116" s="7" t="s">
        <v>20</v>
      </c>
      <c r="D116" s="7" t="s">
        <v>206</v>
      </c>
      <c r="E116" s="8" t="s">
        <v>26</v>
      </c>
      <c r="F116" s="78">
        <v>8130.62</v>
      </c>
      <c r="G116" s="10">
        <v>11.29</v>
      </c>
      <c r="H116" s="53">
        <v>0.25</v>
      </c>
      <c r="I116" s="10">
        <v>5.47</v>
      </c>
      <c r="J116" s="10">
        <v>8.64</v>
      </c>
      <c r="K116" s="10">
        <v>14.11</v>
      </c>
      <c r="L116" s="10">
        <v>44474.491399999999</v>
      </c>
      <c r="M116" s="10">
        <v>70248.548599999995</v>
      </c>
      <c r="N116" s="10">
        <v>114723.04</v>
      </c>
      <c r="O116" s="6">
        <f t="shared" si="86"/>
        <v>6.587119094780599E-3</v>
      </c>
      <c r="Q116" s="23">
        <f t="shared" si="101"/>
        <v>114723.04</v>
      </c>
      <c r="R116" t="b">
        <f t="shared" si="102"/>
        <v>1</v>
      </c>
      <c r="S116">
        <f t="shared" si="103"/>
        <v>14.11</v>
      </c>
      <c r="T116" t="b">
        <f t="shared" si="104"/>
        <v>1</v>
      </c>
      <c r="U116" s="46">
        <f t="shared" si="105"/>
        <v>114723.04</v>
      </c>
      <c r="V116" t="b">
        <f t="shared" si="106"/>
        <v>1</v>
      </c>
      <c r="W116" s="46">
        <f t="shared" si="87"/>
        <v>14.11</v>
      </c>
      <c r="X116" t="b">
        <f t="shared" si="88"/>
        <v>1</v>
      </c>
    </row>
    <row r="117" spans="1:24" ht="26.1" customHeight="1" x14ac:dyDescent="0.2">
      <c r="A117" s="7" t="s">
        <v>454</v>
      </c>
      <c r="B117" s="9" t="s">
        <v>207</v>
      </c>
      <c r="C117" s="7" t="s">
        <v>20</v>
      </c>
      <c r="D117" s="7" t="s">
        <v>208</v>
      </c>
      <c r="E117" s="8" t="s">
        <v>26</v>
      </c>
      <c r="F117" s="78">
        <v>939</v>
      </c>
      <c r="G117" s="10">
        <v>24.46</v>
      </c>
      <c r="H117" s="53">
        <v>0.25</v>
      </c>
      <c r="I117" s="10">
        <v>12.08</v>
      </c>
      <c r="J117" s="10">
        <v>18.489999999999998</v>
      </c>
      <c r="K117" s="10">
        <v>30.57</v>
      </c>
      <c r="L117" s="10">
        <v>11343.12</v>
      </c>
      <c r="M117" s="10">
        <v>17362.11</v>
      </c>
      <c r="N117" s="10">
        <v>28705.23</v>
      </c>
      <c r="O117" s="6">
        <f t="shared" si="86"/>
        <v>1.6481847818282092E-3</v>
      </c>
      <c r="Q117" s="23">
        <f t="shared" si="101"/>
        <v>28705.23</v>
      </c>
      <c r="R117" t="b">
        <f t="shared" si="102"/>
        <v>1</v>
      </c>
      <c r="S117">
        <f t="shared" si="103"/>
        <v>30.57</v>
      </c>
      <c r="T117" t="b">
        <f t="shared" si="104"/>
        <v>1</v>
      </c>
      <c r="U117" s="46">
        <f t="shared" si="105"/>
        <v>28705.230000000003</v>
      </c>
      <c r="V117" t="b">
        <f t="shared" si="106"/>
        <v>1</v>
      </c>
      <c r="W117" s="46">
        <f t="shared" si="87"/>
        <v>30.57</v>
      </c>
      <c r="X117" t="b">
        <f t="shared" si="88"/>
        <v>1</v>
      </c>
    </row>
    <row r="118" spans="1:24" ht="26.1" customHeight="1" x14ac:dyDescent="0.2">
      <c r="A118" s="7" t="s">
        <v>455</v>
      </c>
      <c r="B118" s="9" t="s">
        <v>209</v>
      </c>
      <c r="C118" s="7" t="s">
        <v>20</v>
      </c>
      <c r="D118" s="7" t="s">
        <v>210</v>
      </c>
      <c r="E118" s="8" t="s">
        <v>26</v>
      </c>
      <c r="F118" s="78">
        <v>8130.62</v>
      </c>
      <c r="G118" s="10">
        <v>3.87</v>
      </c>
      <c r="H118" s="53">
        <v>0.25</v>
      </c>
      <c r="I118" s="10">
        <v>2.23</v>
      </c>
      <c r="J118" s="10">
        <v>2.6</v>
      </c>
      <c r="K118" s="10">
        <v>4.83</v>
      </c>
      <c r="L118" s="10">
        <v>18131.282599999999</v>
      </c>
      <c r="M118" s="10">
        <v>21139.607400000001</v>
      </c>
      <c r="N118" s="10">
        <v>39270.89</v>
      </c>
      <c r="O118" s="6">
        <f t="shared" si="86"/>
        <v>2.2548393887402958E-3</v>
      </c>
      <c r="Q118" s="23">
        <f t="shared" si="101"/>
        <v>39270.89</v>
      </c>
      <c r="R118" t="b">
        <f t="shared" si="102"/>
        <v>1</v>
      </c>
      <c r="S118">
        <f t="shared" si="103"/>
        <v>4.83</v>
      </c>
      <c r="T118" t="b">
        <f t="shared" si="104"/>
        <v>1</v>
      </c>
      <c r="U118" s="46">
        <f t="shared" si="105"/>
        <v>39270.89</v>
      </c>
      <c r="V118" t="b">
        <f t="shared" si="106"/>
        <v>1</v>
      </c>
      <c r="W118" s="46">
        <f t="shared" si="87"/>
        <v>4.83</v>
      </c>
      <c r="X118" t="b">
        <f t="shared" si="88"/>
        <v>1</v>
      </c>
    </row>
    <row r="119" spans="1:24" ht="26.1" customHeight="1" x14ac:dyDescent="0.2">
      <c r="A119" s="7" t="s">
        <v>456</v>
      </c>
      <c r="B119" s="9" t="s">
        <v>211</v>
      </c>
      <c r="C119" s="7" t="s">
        <v>20</v>
      </c>
      <c r="D119" s="7" t="s">
        <v>212</v>
      </c>
      <c r="E119" s="8" t="s">
        <v>26</v>
      </c>
      <c r="F119" s="78">
        <v>796.64</v>
      </c>
      <c r="G119" s="10">
        <v>16.149999999999999</v>
      </c>
      <c r="H119" s="53">
        <v>0.25</v>
      </c>
      <c r="I119" s="10">
        <v>7.63</v>
      </c>
      <c r="J119" s="10">
        <v>12.55</v>
      </c>
      <c r="K119" s="10">
        <v>20.18</v>
      </c>
      <c r="L119" s="10">
        <v>6078.3631999999998</v>
      </c>
      <c r="M119" s="10">
        <v>9997.8268000000007</v>
      </c>
      <c r="N119" s="10">
        <v>16076.19</v>
      </c>
      <c r="O119" s="6">
        <f t="shared" si="86"/>
        <v>9.2305589287313978E-4</v>
      </c>
      <c r="Q119" s="23">
        <f t="shared" si="101"/>
        <v>16076.19</v>
      </c>
      <c r="R119" t="b">
        <f t="shared" si="102"/>
        <v>1</v>
      </c>
      <c r="S119">
        <f t="shared" si="103"/>
        <v>20.18</v>
      </c>
      <c r="T119" t="b">
        <f t="shared" si="104"/>
        <v>1</v>
      </c>
      <c r="U119" s="46">
        <f t="shared" si="105"/>
        <v>16076.19</v>
      </c>
      <c r="V119" t="b">
        <f t="shared" si="106"/>
        <v>1</v>
      </c>
      <c r="W119" s="46">
        <f t="shared" si="87"/>
        <v>20.18</v>
      </c>
      <c r="X119" t="b">
        <f t="shared" si="88"/>
        <v>1</v>
      </c>
    </row>
    <row r="120" spans="1:24" ht="26.1" customHeight="1" x14ac:dyDescent="0.2">
      <c r="A120" s="7" t="s">
        <v>457</v>
      </c>
      <c r="B120" s="9" t="s">
        <v>213</v>
      </c>
      <c r="C120" s="7" t="s">
        <v>20</v>
      </c>
      <c r="D120" s="7" t="s">
        <v>214</v>
      </c>
      <c r="E120" s="8" t="s">
        <v>26</v>
      </c>
      <c r="F120" s="78">
        <v>105.2</v>
      </c>
      <c r="G120" s="10">
        <v>33.96</v>
      </c>
      <c r="H120" s="53">
        <v>0.25</v>
      </c>
      <c r="I120" s="10">
        <v>25.01</v>
      </c>
      <c r="J120" s="10">
        <v>17.440000000000001</v>
      </c>
      <c r="K120" s="10">
        <v>42.45</v>
      </c>
      <c r="L120" s="10">
        <v>2631.0520000000001</v>
      </c>
      <c r="M120" s="10">
        <v>1834.6880000000001</v>
      </c>
      <c r="N120" s="10">
        <v>4465.74</v>
      </c>
      <c r="O120" s="6">
        <f t="shared" si="86"/>
        <v>2.5641197466808334E-4</v>
      </c>
      <c r="Q120" s="23">
        <f t="shared" si="101"/>
        <v>4465.74</v>
      </c>
      <c r="R120" t="b">
        <f t="shared" si="102"/>
        <v>1</v>
      </c>
      <c r="S120">
        <f t="shared" si="103"/>
        <v>42.45</v>
      </c>
      <c r="T120" t="b">
        <f t="shared" si="104"/>
        <v>1</v>
      </c>
      <c r="U120" s="46">
        <f t="shared" si="105"/>
        <v>4465.74</v>
      </c>
      <c r="V120" t="b">
        <f t="shared" si="106"/>
        <v>1</v>
      </c>
      <c r="W120" s="46">
        <f t="shared" si="87"/>
        <v>42.45</v>
      </c>
      <c r="X120" t="b">
        <f t="shared" si="88"/>
        <v>1</v>
      </c>
    </row>
    <row r="121" spans="1:24" ht="24" customHeight="1" x14ac:dyDescent="0.2">
      <c r="A121" s="3" t="s">
        <v>458</v>
      </c>
      <c r="B121" s="3"/>
      <c r="C121" s="3"/>
      <c r="D121" s="3" t="s">
        <v>215</v>
      </c>
      <c r="E121" s="3"/>
      <c r="F121" s="77"/>
      <c r="G121" s="4"/>
      <c r="H121" s="52"/>
      <c r="I121" s="3"/>
      <c r="J121" s="3"/>
      <c r="K121" s="3"/>
      <c r="L121" s="3"/>
      <c r="M121" s="3"/>
      <c r="N121" s="5">
        <f>SUM(N122:N134)</f>
        <v>1832155.1</v>
      </c>
      <c r="O121" s="6">
        <f t="shared" si="86"/>
        <v>0.10519790831736728</v>
      </c>
      <c r="W121" s="46">
        <f t="shared" si="87"/>
        <v>0</v>
      </c>
      <c r="X121" t="b">
        <f t="shared" si="88"/>
        <v>1</v>
      </c>
    </row>
    <row r="122" spans="1:24" ht="39" customHeight="1" x14ac:dyDescent="0.2">
      <c r="A122" s="7" t="s">
        <v>459</v>
      </c>
      <c r="B122" s="9" t="s">
        <v>216</v>
      </c>
      <c r="C122" s="7" t="s">
        <v>20</v>
      </c>
      <c r="D122" s="7" t="s">
        <v>217</v>
      </c>
      <c r="E122" s="8" t="s">
        <v>21</v>
      </c>
      <c r="F122" s="78">
        <v>34</v>
      </c>
      <c r="G122" s="10">
        <v>641.75</v>
      </c>
      <c r="H122" s="53">
        <v>0.25</v>
      </c>
      <c r="I122" s="10">
        <v>297.70999999999998</v>
      </c>
      <c r="J122" s="10">
        <v>504.47</v>
      </c>
      <c r="K122" s="10">
        <v>802.18</v>
      </c>
      <c r="L122" s="10">
        <v>10122.14</v>
      </c>
      <c r="M122" s="10">
        <v>17151.98</v>
      </c>
      <c r="N122" s="10">
        <v>27274.12</v>
      </c>
      <c r="O122" s="6">
        <f t="shared" si="86"/>
        <v>1.5660139118117637E-3</v>
      </c>
      <c r="Q122" s="23">
        <f t="shared" ref="Q122:Q134" si="107">TRUNC(K122*F122,2)</f>
        <v>27274.12</v>
      </c>
      <c r="R122" t="b">
        <f t="shared" ref="R122:R134" si="108">Q122=N122</f>
        <v>1</v>
      </c>
      <c r="S122">
        <f t="shared" ref="S122:S134" si="109">TRUNC(G122*1.25,2)</f>
        <v>802.18</v>
      </c>
      <c r="T122" t="b">
        <f t="shared" ref="T122:T134" si="110">S122=K122</f>
        <v>1</v>
      </c>
      <c r="U122" s="46">
        <f t="shared" ref="U122:U134" si="111">L122+M122</f>
        <v>27274.12</v>
      </c>
      <c r="V122" t="b">
        <f t="shared" ref="V122:V134" si="112">U122=N122</f>
        <v>1</v>
      </c>
      <c r="W122" s="46">
        <f t="shared" si="87"/>
        <v>802.18000000000006</v>
      </c>
      <c r="X122" t="b">
        <f t="shared" si="88"/>
        <v>1</v>
      </c>
    </row>
    <row r="123" spans="1:24" ht="26.1" customHeight="1" x14ac:dyDescent="0.2">
      <c r="A123" s="7" t="s">
        <v>460</v>
      </c>
      <c r="B123" s="9" t="s">
        <v>218</v>
      </c>
      <c r="C123" s="7" t="s">
        <v>20</v>
      </c>
      <c r="D123" s="7" t="s">
        <v>219</v>
      </c>
      <c r="E123" s="8" t="s">
        <v>21</v>
      </c>
      <c r="F123" s="78">
        <v>12</v>
      </c>
      <c r="G123" s="10">
        <v>1566.35</v>
      </c>
      <c r="H123" s="53">
        <v>0.25</v>
      </c>
      <c r="I123" s="10">
        <v>147.25</v>
      </c>
      <c r="J123" s="10">
        <v>1810.68</v>
      </c>
      <c r="K123" s="10">
        <v>1957.93</v>
      </c>
      <c r="L123" s="10">
        <v>1767</v>
      </c>
      <c r="M123" s="10">
        <v>21728.16</v>
      </c>
      <c r="N123" s="10">
        <v>23495.16</v>
      </c>
      <c r="O123" s="6">
        <f t="shared" si="86"/>
        <v>1.3490351813456596E-3</v>
      </c>
      <c r="Q123" s="23">
        <f t="shared" si="107"/>
        <v>23495.16</v>
      </c>
      <c r="R123" t="b">
        <f t="shared" si="108"/>
        <v>1</v>
      </c>
      <c r="S123">
        <f t="shared" si="109"/>
        <v>1957.93</v>
      </c>
      <c r="T123" t="b">
        <f t="shared" si="110"/>
        <v>1</v>
      </c>
      <c r="U123" s="46">
        <f t="shared" si="111"/>
        <v>23495.16</v>
      </c>
      <c r="V123" t="b">
        <f t="shared" si="112"/>
        <v>1</v>
      </c>
      <c r="W123" s="46">
        <f t="shared" si="87"/>
        <v>1957.93</v>
      </c>
      <c r="X123" t="b">
        <f t="shared" si="88"/>
        <v>1</v>
      </c>
    </row>
    <row r="124" spans="1:24" ht="26.1" customHeight="1" x14ac:dyDescent="0.2">
      <c r="A124" s="7" t="s">
        <v>461</v>
      </c>
      <c r="B124" s="13" t="s">
        <v>220</v>
      </c>
      <c r="C124" s="11" t="s">
        <v>20</v>
      </c>
      <c r="D124" s="11" t="s">
        <v>221</v>
      </c>
      <c r="E124" s="12" t="s">
        <v>222</v>
      </c>
      <c r="F124" s="76">
        <v>1</v>
      </c>
      <c r="G124" s="14">
        <v>1520.36</v>
      </c>
      <c r="H124" s="54">
        <v>0.15</v>
      </c>
      <c r="I124" s="14">
        <v>0</v>
      </c>
      <c r="J124" s="14">
        <f>K124</f>
        <v>1748.41</v>
      </c>
      <c r="K124" s="14">
        <f>TRUNC(G124*1.15,2)</f>
        <v>1748.41</v>
      </c>
      <c r="L124" s="14">
        <v>0</v>
      </c>
      <c r="M124" s="14">
        <f>N124</f>
        <v>1748.41</v>
      </c>
      <c r="N124" s="14">
        <f t="shared" ref="N124:N125" si="113">TRUNC(K124*F124,2)</f>
        <v>1748.41</v>
      </c>
      <c r="O124" s="6">
        <f t="shared" si="86"/>
        <v>1.0038946750805548E-4</v>
      </c>
      <c r="Q124" s="23">
        <f t="shared" si="107"/>
        <v>1748.41</v>
      </c>
      <c r="R124" t="b">
        <f t="shared" si="108"/>
        <v>1</v>
      </c>
      <c r="S124">
        <f>TRUNC(G124*1.15,2)</f>
        <v>1748.41</v>
      </c>
      <c r="T124" t="b">
        <f t="shared" si="110"/>
        <v>1</v>
      </c>
      <c r="U124" s="46">
        <f t="shared" si="111"/>
        <v>1748.41</v>
      </c>
      <c r="V124" t="b">
        <f t="shared" si="112"/>
        <v>1</v>
      </c>
      <c r="W124" s="46">
        <f t="shared" si="87"/>
        <v>1748.41</v>
      </c>
      <c r="X124" t="b">
        <f t="shared" si="88"/>
        <v>1</v>
      </c>
    </row>
    <row r="125" spans="1:24" ht="26.1" customHeight="1" x14ac:dyDescent="0.2">
      <c r="A125" s="7" t="s">
        <v>462</v>
      </c>
      <c r="B125" s="13" t="s">
        <v>223</v>
      </c>
      <c r="C125" s="11" t="s">
        <v>20</v>
      </c>
      <c r="D125" s="11" t="s">
        <v>224</v>
      </c>
      <c r="E125" s="12" t="s">
        <v>21</v>
      </c>
      <c r="F125" s="76">
        <v>5</v>
      </c>
      <c r="G125" s="14">
        <v>1035.05</v>
      </c>
      <c r="H125" s="54">
        <v>0.15</v>
      </c>
      <c r="I125" s="14">
        <v>0</v>
      </c>
      <c r="J125" s="14">
        <f>K125</f>
        <v>1190.3</v>
      </c>
      <c r="K125" s="14">
        <f>TRUNC(G125*1.15,2)</f>
        <v>1190.3</v>
      </c>
      <c r="L125" s="14">
        <v>0</v>
      </c>
      <c r="M125" s="14">
        <f>N125</f>
        <v>5951.5</v>
      </c>
      <c r="N125" s="14">
        <f t="shared" si="113"/>
        <v>5951.5</v>
      </c>
      <c r="O125" s="6">
        <f t="shared" si="86"/>
        <v>3.4172071532088705E-4</v>
      </c>
      <c r="Q125" s="23">
        <f t="shared" si="107"/>
        <v>5951.5</v>
      </c>
      <c r="R125" t="b">
        <f t="shared" si="108"/>
        <v>1</v>
      </c>
      <c r="S125">
        <f>TRUNC(G125*1.15,2)</f>
        <v>1190.3</v>
      </c>
      <c r="T125" t="b">
        <f t="shared" si="110"/>
        <v>1</v>
      </c>
      <c r="U125" s="46">
        <f t="shared" si="111"/>
        <v>5951.5</v>
      </c>
      <c r="V125" t="b">
        <f t="shared" si="112"/>
        <v>1</v>
      </c>
      <c r="W125" s="46">
        <f t="shared" si="87"/>
        <v>1190.3</v>
      </c>
      <c r="X125" t="b">
        <f t="shared" si="88"/>
        <v>1</v>
      </c>
    </row>
    <row r="126" spans="1:24" ht="39" customHeight="1" x14ac:dyDescent="0.2">
      <c r="A126" s="7" t="s">
        <v>463</v>
      </c>
      <c r="B126" s="9" t="s">
        <v>225</v>
      </c>
      <c r="C126" s="7" t="s">
        <v>20</v>
      </c>
      <c r="D126" s="7" t="s">
        <v>226</v>
      </c>
      <c r="E126" s="8" t="s">
        <v>26</v>
      </c>
      <c r="F126" s="78">
        <v>149.75</v>
      </c>
      <c r="G126" s="10">
        <v>1260.57</v>
      </c>
      <c r="H126" s="53">
        <v>0.25</v>
      </c>
      <c r="I126" s="10">
        <v>13.31</v>
      </c>
      <c r="J126" s="10">
        <v>1562.4</v>
      </c>
      <c r="K126" s="10">
        <v>1575.71</v>
      </c>
      <c r="L126" s="10">
        <v>1993.1724999999999</v>
      </c>
      <c r="M126" s="10">
        <v>233969.39749999999</v>
      </c>
      <c r="N126" s="10">
        <v>235962.57</v>
      </c>
      <c r="O126" s="6">
        <f t="shared" si="86"/>
        <v>1.3548399262262437E-2</v>
      </c>
      <c r="Q126" s="23">
        <f t="shared" si="107"/>
        <v>235962.57</v>
      </c>
      <c r="R126" t="b">
        <f t="shared" si="108"/>
        <v>1</v>
      </c>
      <c r="S126">
        <f t="shared" si="109"/>
        <v>1575.71</v>
      </c>
      <c r="T126" t="b">
        <f t="shared" si="110"/>
        <v>1</v>
      </c>
      <c r="U126" s="46">
        <f t="shared" si="111"/>
        <v>235962.56999999998</v>
      </c>
      <c r="V126" t="b">
        <f t="shared" si="112"/>
        <v>1</v>
      </c>
      <c r="W126" s="46">
        <f t="shared" si="87"/>
        <v>1575.71</v>
      </c>
      <c r="X126" t="b">
        <f t="shared" si="88"/>
        <v>1</v>
      </c>
    </row>
    <row r="127" spans="1:24" ht="78" customHeight="1" x14ac:dyDescent="0.2">
      <c r="A127" s="7" t="s">
        <v>464</v>
      </c>
      <c r="B127" s="9" t="s">
        <v>227</v>
      </c>
      <c r="C127" s="7" t="s">
        <v>20</v>
      </c>
      <c r="D127" s="7" t="s">
        <v>228</v>
      </c>
      <c r="E127" s="8" t="s">
        <v>26</v>
      </c>
      <c r="F127" s="78">
        <v>521.65</v>
      </c>
      <c r="G127" s="10">
        <v>822.68</v>
      </c>
      <c r="H127" s="53">
        <v>0.25</v>
      </c>
      <c r="I127" s="10">
        <v>37.79</v>
      </c>
      <c r="J127" s="10">
        <v>990.56</v>
      </c>
      <c r="K127" s="10">
        <v>1028.3499999999999</v>
      </c>
      <c r="L127" s="10">
        <v>19713.1535</v>
      </c>
      <c r="M127" s="10">
        <v>516725.6165</v>
      </c>
      <c r="N127" s="10">
        <v>536438.77</v>
      </c>
      <c r="O127" s="6">
        <f t="shared" ref="O127:O158" si="114">N127/$N$176</f>
        <v>3.0801014905529164E-2</v>
      </c>
      <c r="Q127" s="23">
        <f t="shared" si="107"/>
        <v>536438.77</v>
      </c>
      <c r="R127" t="b">
        <f t="shared" si="108"/>
        <v>1</v>
      </c>
      <c r="S127">
        <f t="shared" si="109"/>
        <v>1028.3499999999999</v>
      </c>
      <c r="T127" t="b">
        <f t="shared" si="110"/>
        <v>1</v>
      </c>
      <c r="U127" s="46">
        <f t="shared" si="111"/>
        <v>536438.77</v>
      </c>
      <c r="V127" t="b">
        <f t="shared" si="112"/>
        <v>1</v>
      </c>
      <c r="W127" s="46">
        <f t="shared" si="87"/>
        <v>1028.3499999999999</v>
      </c>
      <c r="X127" t="b">
        <f t="shared" si="88"/>
        <v>1</v>
      </c>
    </row>
    <row r="128" spans="1:24" ht="78" customHeight="1" x14ac:dyDescent="0.2">
      <c r="A128" s="7" t="s">
        <v>465</v>
      </c>
      <c r="B128" s="9" t="s">
        <v>229</v>
      </c>
      <c r="C128" s="7" t="s">
        <v>20</v>
      </c>
      <c r="D128" s="7" t="s">
        <v>230</v>
      </c>
      <c r="E128" s="8" t="s">
        <v>38</v>
      </c>
      <c r="F128" s="78">
        <v>247</v>
      </c>
      <c r="G128" s="10">
        <v>847.39</v>
      </c>
      <c r="H128" s="53">
        <v>0.25</v>
      </c>
      <c r="I128" s="10">
        <v>481.17</v>
      </c>
      <c r="J128" s="10">
        <v>578.05999999999995</v>
      </c>
      <c r="K128" s="10">
        <v>1059.23</v>
      </c>
      <c r="L128" s="10">
        <v>118848.99</v>
      </c>
      <c r="M128" s="10">
        <v>142780.82</v>
      </c>
      <c r="N128" s="10">
        <v>261629.81</v>
      </c>
      <c r="O128" s="6">
        <f t="shared" si="114"/>
        <v>1.5022150016377009E-2</v>
      </c>
      <c r="Q128" s="23">
        <f t="shared" si="107"/>
        <v>261629.81</v>
      </c>
      <c r="R128" t="b">
        <f t="shared" si="108"/>
        <v>1</v>
      </c>
      <c r="S128">
        <f t="shared" si="109"/>
        <v>1059.23</v>
      </c>
      <c r="T128" t="b">
        <f t="shared" si="110"/>
        <v>1</v>
      </c>
      <c r="U128" s="46">
        <f t="shared" si="111"/>
        <v>261629.81</v>
      </c>
      <c r="V128" t="b">
        <f t="shared" si="112"/>
        <v>1</v>
      </c>
      <c r="W128" s="46">
        <f t="shared" si="87"/>
        <v>1059.23</v>
      </c>
      <c r="X128" t="b">
        <f t="shared" si="88"/>
        <v>1</v>
      </c>
    </row>
    <row r="129" spans="1:24" ht="26.1" customHeight="1" x14ac:dyDescent="0.2">
      <c r="A129" s="7" t="s">
        <v>466</v>
      </c>
      <c r="B129" s="9" t="s">
        <v>231</v>
      </c>
      <c r="C129" s="7" t="s">
        <v>20</v>
      </c>
      <c r="D129" s="7" t="s">
        <v>232</v>
      </c>
      <c r="E129" s="8" t="s">
        <v>38</v>
      </c>
      <c r="F129" s="78">
        <v>168</v>
      </c>
      <c r="G129" s="10">
        <v>168.31</v>
      </c>
      <c r="H129" s="53">
        <v>0.25</v>
      </c>
      <c r="I129" s="10">
        <v>44.38</v>
      </c>
      <c r="J129" s="10">
        <v>166</v>
      </c>
      <c r="K129" s="10">
        <v>210.38</v>
      </c>
      <c r="L129" s="10">
        <v>7455.84</v>
      </c>
      <c r="M129" s="10">
        <v>27888</v>
      </c>
      <c r="N129" s="10">
        <v>35343.839999999997</v>
      </c>
      <c r="O129" s="6">
        <f t="shared" si="114"/>
        <v>2.0293576891518071E-3</v>
      </c>
      <c r="Q129" s="23">
        <f t="shared" si="107"/>
        <v>35343.839999999997</v>
      </c>
      <c r="R129" t="b">
        <f t="shared" si="108"/>
        <v>1</v>
      </c>
      <c r="S129">
        <f t="shared" si="109"/>
        <v>210.38</v>
      </c>
      <c r="T129" t="b">
        <f t="shared" si="110"/>
        <v>1</v>
      </c>
      <c r="U129" s="46">
        <f t="shared" si="111"/>
        <v>35343.839999999997</v>
      </c>
      <c r="V129" t="b">
        <f t="shared" si="112"/>
        <v>1</v>
      </c>
      <c r="W129" s="46">
        <f t="shared" si="87"/>
        <v>210.38</v>
      </c>
      <c r="X129" t="b">
        <f t="shared" si="88"/>
        <v>1</v>
      </c>
    </row>
    <row r="130" spans="1:24" ht="26.1" customHeight="1" x14ac:dyDescent="0.2">
      <c r="A130" s="7" t="s">
        <v>467</v>
      </c>
      <c r="B130" s="9" t="s">
        <v>233</v>
      </c>
      <c r="C130" s="7" t="s">
        <v>20</v>
      </c>
      <c r="D130" s="7" t="s">
        <v>234</v>
      </c>
      <c r="E130" s="8" t="s">
        <v>26</v>
      </c>
      <c r="F130" s="78">
        <v>35</v>
      </c>
      <c r="G130" s="10">
        <v>640.26</v>
      </c>
      <c r="H130" s="53">
        <v>0.25</v>
      </c>
      <c r="I130" s="10">
        <v>43.89</v>
      </c>
      <c r="J130" s="10">
        <v>756.43</v>
      </c>
      <c r="K130" s="10">
        <v>800.32</v>
      </c>
      <c r="L130" s="10">
        <v>1536.15</v>
      </c>
      <c r="M130" s="10">
        <v>26475.05</v>
      </c>
      <c r="N130" s="10">
        <v>28011.200000000001</v>
      </c>
      <c r="O130" s="6">
        <f t="shared" si="114"/>
        <v>1.608335260185908E-3</v>
      </c>
      <c r="Q130" s="23">
        <f t="shared" si="107"/>
        <v>28011.200000000001</v>
      </c>
      <c r="R130" t="b">
        <f t="shared" si="108"/>
        <v>1</v>
      </c>
      <c r="S130">
        <f t="shared" si="109"/>
        <v>800.32</v>
      </c>
      <c r="T130" t="b">
        <f t="shared" si="110"/>
        <v>1</v>
      </c>
      <c r="U130" s="46">
        <f t="shared" si="111"/>
        <v>28011.200000000001</v>
      </c>
      <c r="V130" t="b">
        <f t="shared" si="112"/>
        <v>1</v>
      </c>
      <c r="W130" s="46">
        <f t="shared" si="87"/>
        <v>800.31999999999994</v>
      </c>
      <c r="X130" t="b">
        <f t="shared" si="88"/>
        <v>1</v>
      </c>
    </row>
    <row r="131" spans="1:24" ht="26.1" customHeight="1" x14ac:dyDescent="0.2">
      <c r="A131" s="7" t="s">
        <v>468</v>
      </c>
      <c r="B131" s="9" t="s">
        <v>235</v>
      </c>
      <c r="C131" s="7" t="s">
        <v>20</v>
      </c>
      <c r="D131" s="7" t="s">
        <v>236</v>
      </c>
      <c r="E131" s="8" t="s">
        <v>26</v>
      </c>
      <c r="F131" s="78">
        <v>521.65</v>
      </c>
      <c r="G131" s="10">
        <v>709.44</v>
      </c>
      <c r="H131" s="53">
        <v>0.25</v>
      </c>
      <c r="I131" s="10">
        <v>73.209999999999994</v>
      </c>
      <c r="J131" s="10">
        <v>813.59</v>
      </c>
      <c r="K131" s="10">
        <v>886.8</v>
      </c>
      <c r="L131" s="10">
        <v>38189.996500000001</v>
      </c>
      <c r="M131" s="10">
        <v>424409.22350000002</v>
      </c>
      <c r="N131" s="10">
        <v>462599.22</v>
      </c>
      <c r="O131" s="6">
        <f t="shared" si="114"/>
        <v>2.6561326785732066E-2</v>
      </c>
      <c r="Q131" s="23">
        <f t="shared" si="107"/>
        <v>462599.22</v>
      </c>
      <c r="R131" t="b">
        <f t="shared" si="108"/>
        <v>1</v>
      </c>
      <c r="S131">
        <f t="shared" si="109"/>
        <v>886.8</v>
      </c>
      <c r="T131" t="b">
        <f t="shared" si="110"/>
        <v>1</v>
      </c>
      <c r="U131" s="46">
        <f t="shared" si="111"/>
        <v>462599.22000000003</v>
      </c>
      <c r="V131" t="b">
        <f t="shared" si="112"/>
        <v>1</v>
      </c>
      <c r="W131" s="46">
        <f t="shared" si="87"/>
        <v>886.80000000000007</v>
      </c>
      <c r="X131" t="b">
        <f t="shared" si="88"/>
        <v>1</v>
      </c>
    </row>
    <row r="132" spans="1:24" ht="39" customHeight="1" x14ac:dyDescent="0.2">
      <c r="A132" s="7" t="s">
        <v>469</v>
      </c>
      <c r="B132" s="9" t="s">
        <v>237</v>
      </c>
      <c r="C132" s="7" t="s">
        <v>20</v>
      </c>
      <c r="D132" s="7" t="s">
        <v>238</v>
      </c>
      <c r="E132" s="8" t="s">
        <v>26</v>
      </c>
      <c r="F132" s="78">
        <v>22.8</v>
      </c>
      <c r="G132" s="10">
        <v>719.12</v>
      </c>
      <c r="H132" s="53">
        <v>0.25</v>
      </c>
      <c r="I132" s="10">
        <v>13.41</v>
      </c>
      <c r="J132" s="10">
        <v>885.49</v>
      </c>
      <c r="K132" s="10">
        <v>898.9</v>
      </c>
      <c r="L132" s="10">
        <v>305.74799999999999</v>
      </c>
      <c r="M132" s="10">
        <v>20189.171999999999</v>
      </c>
      <c r="N132" s="10">
        <v>20494.919999999998</v>
      </c>
      <c r="O132" s="6">
        <f t="shared" si="114"/>
        <v>1.1767686672005972E-3</v>
      </c>
      <c r="Q132" s="23">
        <f t="shared" si="107"/>
        <v>20494.919999999998</v>
      </c>
      <c r="R132" t="b">
        <f t="shared" si="108"/>
        <v>1</v>
      </c>
      <c r="S132">
        <f t="shared" si="109"/>
        <v>898.9</v>
      </c>
      <c r="T132" t="b">
        <f t="shared" si="110"/>
        <v>1</v>
      </c>
      <c r="U132" s="46">
        <f t="shared" si="111"/>
        <v>20494.919999999998</v>
      </c>
      <c r="V132" t="b">
        <f t="shared" si="112"/>
        <v>1</v>
      </c>
      <c r="W132" s="46">
        <f t="shared" si="87"/>
        <v>898.9</v>
      </c>
      <c r="X132" t="b">
        <f t="shared" si="88"/>
        <v>1</v>
      </c>
    </row>
    <row r="133" spans="1:24" ht="39" customHeight="1" x14ac:dyDescent="0.2">
      <c r="A133" s="7" t="s">
        <v>470</v>
      </c>
      <c r="B133" s="9" t="s">
        <v>239</v>
      </c>
      <c r="C133" s="7" t="s">
        <v>20</v>
      </c>
      <c r="D133" s="7" t="s">
        <v>240</v>
      </c>
      <c r="E133" s="8" t="s">
        <v>26</v>
      </c>
      <c r="F133" s="78">
        <v>9.6</v>
      </c>
      <c r="G133" s="10">
        <v>969.44</v>
      </c>
      <c r="H133" s="53">
        <v>0.25</v>
      </c>
      <c r="I133" s="10">
        <v>18.2</v>
      </c>
      <c r="J133" s="10">
        <v>1193.5999999999999</v>
      </c>
      <c r="K133" s="10">
        <v>1211.8</v>
      </c>
      <c r="L133" s="10">
        <v>174.72</v>
      </c>
      <c r="M133" s="10">
        <v>11458.56</v>
      </c>
      <c r="N133" s="10">
        <v>11633.28</v>
      </c>
      <c r="O133" s="6">
        <f t="shared" si="114"/>
        <v>6.6795476151023595E-4</v>
      </c>
      <c r="Q133" s="23">
        <f t="shared" si="107"/>
        <v>11633.28</v>
      </c>
      <c r="R133" t="b">
        <f t="shared" si="108"/>
        <v>1</v>
      </c>
      <c r="S133">
        <f t="shared" si="109"/>
        <v>1211.8</v>
      </c>
      <c r="T133" t="b">
        <f t="shared" si="110"/>
        <v>1</v>
      </c>
      <c r="U133" s="46">
        <f t="shared" si="111"/>
        <v>11633.279999999999</v>
      </c>
      <c r="V133" t="b">
        <f t="shared" si="112"/>
        <v>1</v>
      </c>
      <c r="W133" s="46">
        <f t="shared" si="87"/>
        <v>1211.8</v>
      </c>
      <c r="X133" t="b">
        <f t="shared" si="88"/>
        <v>1</v>
      </c>
    </row>
    <row r="134" spans="1:24" ht="26.1" customHeight="1" x14ac:dyDescent="0.2">
      <c r="A134" s="7" t="s">
        <v>471</v>
      </c>
      <c r="B134" s="9" t="s">
        <v>241</v>
      </c>
      <c r="C134" s="7" t="s">
        <v>20</v>
      </c>
      <c r="D134" s="7" t="s">
        <v>242</v>
      </c>
      <c r="E134" s="8" t="s">
        <v>26</v>
      </c>
      <c r="F134" s="78">
        <v>94.5</v>
      </c>
      <c r="G134" s="10">
        <v>1537.12</v>
      </c>
      <c r="H134" s="53">
        <v>0.25</v>
      </c>
      <c r="I134" s="10">
        <v>60.98</v>
      </c>
      <c r="J134" s="10">
        <v>1860.42</v>
      </c>
      <c r="K134" s="10">
        <v>1921.4</v>
      </c>
      <c r="L134" s="10">
        <v>5762.61</v>
      </c>
      <c r="M134" s="10">
        <v>175809.69</v>
      </c>
      <c r="N134" s="10">
        <v>181572.3</v>
      </c>
      <c r="O134" s="6">
        <f t="shared" si="114"/>
        <v>1.0425441693431689E-2</v>
      </c>
      <c r="Q134" s="23">
        <f t="shared" si="107"/>
        <v>181572.3</v>
      </c>
      <c r="R134" t="b">
        <f t="shared" si="108"/>
        <v>1</v>
      </c>
      <c r="S134">
        <f t="shared" si="109"/>
        <v>1921.4</v>
      </c>
      <c r="T134" t="b">
        <f t="shared" si="110"/>
        <v>1</v>
      </c>
      <c r="U134" s="46">
        <f t="shared" si="111"/>
        <v>181572.3</v>
      </c>
      <c r="V134" t="b">
        <f t="shared" si="112"/>
        <v>1</v>
      </c>
      <c r="W134" s="46">
        <f t="shared" si="87"/>
        <v>1921.4</v>
      </c>
      <c r="X134" t="b">
        <f t="shared" si="88"/>
        <v>1</v>
      </c>
    </row>
    <row r="135" spans="1:24" ht="24" customHeight="1" x14ac:dyDescent="0.2">
      <c r="A135" s="3" t="s">
        <v>472</v>
      </c>
      <c r="B135" s="3"/>
      <c r="C135" s="3"/>
      <c r="D135" s="3" t="s">
        <v>321</v>
      </c>
      <c r="E135" s="3"/>
      <c r="F135" s="77"/>
      <c r="G135" s="4"/>
      <c r="H135" s="52"/>
      <c r="I135" s="3"/>
      <c r="J135" s="3"/>
      <c r="K135" s="3"/>
      <c r="L135" s="3"/>
      <c r="M135" s="3"/>
      <c r="N135" s="5">
        <f>N136</f>
        <v>41812.26</v>
      </c>
      <c r="O135" s="6">
        <f t="shared" si="114"/>
        <v>2.4007586988797638E-3</v>
      </c>
      <c r="W135" s="46">
        <f t="shared" si="87"/>
        <v>0</v>
      </c>
      <c r="X135" t="b">
        <f t="shared" si="88"/>
        <v>1</v>
      </c>
    </row>
    <row r="136" spans="1:24" ht="39" customHeight="1" x14ac:dyDescent="0.2">
      <c r="A136" s="7" t="s">
        <v>473</v>
      </c>
      <c r="B136" s="9" t="s">
        <v>243</v>
      </c>
      <c r="C136" s="7" t="s">
        <v>20</v>
      </c>
      <c r="D136" s="7" t="s">
        <v>244</v>
      </c>
      <c r="E136" s="8" t="s">
        <v>21</v>
      </c>
      <c r="F136" s="78">
        <v>6</v>
      </c>
      <c r="G136" s="10">
        <v>5574.97</v>
      </c>
      <c r="H136" s="53">
        <v>0.25</v>
      </c>
      <c r="I136" s="10">
        <v>210.7</v>
      </c>
      <c r="J136" s="10">
        <v>6758.01</v>
      </c>
      <c r="K136" s="10">
        <v>6968.71</v>
      </c>
      <c r="L136" s="10">
        <v>1264.2</v>
      </c>
      <c r="M136" s="10">
        <v>40548.06</v>
      </c>
      <c r="N136" s="10">
        <v>41812.26</v>
      </c>
      <c r="O136" s="6">
        <f t="shared" si="114"/>
        <v>2.4007586988797638E-3</v>
      </c>
      <c r="Q136" s="23">
        <f t="shared" ref="Q136" si="115">TRUNC(K136*F136,2)</f>
        <v>41812.26</v>
      </c>
      <c r="R136" t="b">
        <f t="shared" ref="R136" si="116">Q136=N136</f>
        <v>1</v>
      </c>
      <c r="S136">
        <f>TRUNC(G136*1.25,2)</f>
        <v>6968.71</v>
      </c>
      <c r="T136" t="b">
        <f>S136=K136</f>
        <v>1</v>
      </c>
      <c r="U136" s="46">
        <f>L136+M136</f>
        <v>41812.259999999995</v>
      </c>
      <c r="V136" t="b">
        <f>U136=N136</f>
        <v>1</v>
      </c>
      <c r="W136" s="46">
        <f t="shared" si="87"/>
        <v>6968.71</v>
      </c>
      <c r="X136" t="b">
        <f t="shared" si="88"/>
        <v>1</v>
      </c>
    </row>
    <row r="137" spans="1:24" ht="24" customHeight="1" x14ac:dyDescent="0.2">
      <c r="A137" s="3" t="s">
        <v>474</v>
      </c>
      <c r="B137" s="3"/>
      <c r="C137" s="3"/>
      <c r="D137" s="3" t="s">
        <v>245</v>
      </c>
      <c r="E137" s="3"/>
      <c r="F137" s="77"/>
      <c r="G137" s="4"/>
      <c r="H137" s="52"/>
      <c r="I137" s="3"/>
      <c r="J137" s="3"/>
      <c r="K137" s="3"/>
      <c r="L137" s="3"/>
      <c r="M137" s="3"/>
      <c r="N137" s="5">
        <f>SUM(N138:N152)</f>
        <v>261466.01000000004</v>
      </c>
      <c r="O137" s="6">
        <f t="shared" si="114"/>
        <v>1.5012745017104633E-2</v>
      </c>
      <c r="W137" s="46">
        <f t="shared" si="87"/>
        <v>0</v>
      </c>
      <c r="X137" t="b">
        <f t="shared" si="88"/>
        <v>1</v>
      </c>
    </row>
    <row r="138" spans="1:24" ht="51.95" customHeight="1" x14ac:dyDescent="0.2">
      <c r="A138" s="7" t="s">
        <v>475</v>
      </c>
      <c r="B138" s="9" t="s">
        <v>246</v>
      </c>
      <c r="C138" s="7" t="s">
        <v>20</v>
      </c>
      <c r="D138" s="7" t="s">
        <v>247</v>
      </c>
      <c r="E138" s="8" t="s">
        <v>21</v>
      </c>
      <c r="F138" s="78">
        <v>8</v>
      </c>
      <c r="G138" s="10">
        <v>942.56</v>
      </c>
      <c r="H138" s="53">
        <v>0.25</v>
      </c>
      <c r="I138" s="10">
        <v>57.1</v>
      </c>
      <c r="J138" s="10">
        <v>1121.0999999999999</v>
      </c>
      <c r="K138" s="10">
        <v>1178.2</v>
      </c>
      <c r="L138" s="10">
        <v>456.8</v>
      </c>
      <c r="M138" s="10">
        <v>8968.7999999999993</v>
      </c>
      <c r="N138" s="10">
        <v>9425.6</v>
      </c>
      <c r="O138" s="6">
        <f t="shared" si="114"/>
        <v>5.4119512296539585E-4</v>
      </c>
      <c r="Q138" s="23">
        <f t="shared" ref="Q138:Q152" si="117">TRUNC(K138*F138,2)</f>
        <v>9425.6</v>
      </c>
      <c r="R138" t="b">
        <f t="shared" ref="R138:R160" si="118">Q138=N138</f>
        <v>1</v>
      </c>
      <c r="S138">
        <f t="shared" ref="S138:S152" si="119">TRUNC(G138*1.25,2)</f>
        <v>1178.2</v>
      </c>
      <c r="T138" t="b">
        <f t="shared" ref="T138:T152" si="120">S138=K138</f>
        <v>1</v>
      </c>
      <c r="U138" s="46">
        <f t="shared" ref="U138:U152" si="121">L138+M138</f>
        <v>9425.5999999999985</v>
      </c>
      <c r="V138" t="b">
        <f t="shared" ref="V138:V152" si="122">U138=N138</f>
        <v>1</v>
      </c>
      <c r="W138" s="46">
        <f t="shared" si="87"/>
        <v>1178.1999999999998</v>
      </c>
      <c r="X138" t="b">
        <f t="shared" si="88"/>
        <v>1</v>
      </c>
    </row>
    <row r="139" spans="1:24" ht="51.95" customHeight="1" x14ac:dyDescent="0.2">
      <c r="A139" s="7" t="s">
        <v>476</v>
      </c>
      <c r="B139" s="9" t="s">
        <v>248</v>
      </c>
      <c r="C139" s="7" t="s">
        <v>20</v>
      </c>
      <c r="D139" s="7" t="s">
        <v>249</v>
      </c>
      <c r="E139" s="8" t="s">
        <v>21</v>
      </c>
      <c r="F139" s="78">
        <v>32</v>
      </c>
      <c r="G139" s="10">
        <v>370.5</v>
      </c>
      <c r="H139" s="53">
        <v>0.25</v>
      </c>
      <c r="I139" s="10">
        <v>32.270000000000003</v>
      </c>
      <c r="J139" s="10">
        <v>430.85</v>
      </c>
      <c r="K139" s="10">
        <v>463.12</v>
      </c>
      <c r="L139" s="10">
        <v>1032.6400000000001</v>
      </c>
      <c r="M139" s="10">
        <v>13787.2</v>
      </c>
      <c r="N139" s="10">
        <v>14819.84</v>
      </c>
      <c r="O139" s="6">
        <f t="shared" si="114"/>
        <v>8.5091931878368391E-4</v>
      </c>
      <c r="Q139" s="23">
        <f t="shared" si="117"/>
        <v>14819.84</v>
      </c>
      <c r="R139" t="b">
        <f t="shared" si="118"/>
        <v>1</v>
      </c>
      <c r="S139">
        <f t="shared" si="119"/>
        <v>463.12</v>
      </c>
      <c r="T139" t="b">
        <f t="shared" si="120"/>
        <v>1</v>
      </c>
      <c r="U139" s="46">
        <f t="shared" si="121"/>
        <v>14819.84</v>
      </c>
      <c r="V139" t="b">
        <f t="shared" si="122"/>
        <v>1</v>
      </c>
      <c r="W139" s="46">
        <f t="shared" si="87"/>
        <v>463.12</v>
      </c>
      <c r="X139" t="b">
        <f t="shared" si="88"/>
        <v>1</v>
      </c>
    </row>
    <row r="140" spans="1:24" ht="39" customHeight="1" x14ac:dyDescent="0.2">
      <c r="A140" s="7" t="s">
        <v>477</v>
      </c>
      <c r="B140" s="9" t="s">
        <v>250</v>
      </c>
      <c r="C140" s="7" t="s">
        <v>20</v>
      </c>
      <c r="D140" s="7" t="s">
        <v>251</v>
      </c>
      <c r="E140" s="8" t="s">
        <v>21</v>
      </c>
      <c r="F140" s="78">
        <v>40</v>
      </c>
      <c r="G140" s="10">
        <v>439.32</v>
      </c>
      <c r="H140" s="53">
        <v>0.25</v>
      </c>
      <c r="I140" s="10">
        <v>45.82</v>
      </c>
      <c r="J140" s="10">
        <v>503.33</v>
      </c>
      <c r="K140" s="10">
        <v>549.15</v>
      </c>
      <c r="L140" s="10">
        <v>1832.8</v>
      </c>
      <c r="M140" s="10">
        <v>20133.2</v>
      </c>
      <c r="N140" s="10">
        <v>21966</v>
      </c>
      <c r="O140" s="6">
        <f t="shared" si="114"/>
        <v>1.2612345178087214E-3</v>
      </c>
      <c r="Q140" s="23">
        <f t="shared" si="117"/>
        <v>21966</v>
      </c>
      <c r="R140" t="b">
        <f t="shared" si="118"/>
        <v>1</v>
      </c>
      <c r="S140">
        <f t="shared" si="119"/>
        <v>549.15</v>
      </c>
      <c r="T140" t="b">
        <f t="shared" si="120"/>
        <v>1</v>
      </c>
      <c r="U140" s="46">
        <f t="shared" si="121"/>
        <v>21966</v>
      </c>
      <c r="V140" t="b">
        <f t="shared" si="122"/>
        <v>1</v>
      </c>
      <c r="W140" s="46">
        <f t="shared" si="87"/>
        <v>549.15</v>
      </c>
      <c r="X140" t="b">
        <f t="shared" si="88"/>
        <v>1</v>
      </c>
    </row>
    <row r="141" spans="1:24" ht="26.1" customHeight="1" x14ac:dyDescent="0.2">
      <c r="A141" s="7" t="s">
        <v>478</v>
      </c>
      <c r="B141" s="9" t="s">
        <v>252</v>
      </c>
      <c r="C141" s="7" t="s">
        <v>20</v>
      </c>
      <c r="D141" s="7" t="s">
        <v>253</v>
      </c>
      <c r="E141" s="8" t="s">
        <v>21</v>
      </c>
      <c r="F141" s="78">
        <v>40</v>
      </c>
      <c r="G141" s="10">
        <v>37.15</v>
      </c>
      <c r="H141" s="53">
        <v>0.25</v>
      </c>
      <c r="I141" s="10">
        <v>3.97</v>
      </c>
      <c r="J141" s="10">
        <v>42.46</v>
      </c>
      <c r="K141" s="10">
        <v>46.43</v>
      </c>
      <c r="L141" s="10">
        <v>158.80000000000001</v>
      </c>
      <c r="M141" s="10">
        <v>1698.4</v>
      </c>
      <c r="N141" s="10">
        <v>1857.2</v>
      </c>
      <c r="O141" s="6">
        <f t="shared" si="114"/>
        <v>1.0663592581600461E-4</v>
      </c>
      <c r="Q141" s="23">
        <f t="shared" si="117"/>
        <v>1857.2</v>
      </c>
      <c r="R141" t="b">
        <f t="shared" si="118"/>
        <v>1</v>
      </c>
      <c r="S141">
        <f t="shared" si="119"/>
        <v>46.43</v>
      </c>
      <c r="T141" t="b">
        <f t="shared" si="120"/>
        <v>1</v>
      </c>
      <c r="U141" s="46">
        <f t="shared" si="121"/>
        <v>1857.2</v>
      </c>
      <c r="V141" t="b">
        <f t="shared" si="122"/>
        <v>1</v>
      </c>
      <c r="W141" s="46">
        <f t="shared" si="87"/>
        <v>46.43</v>
      </c>
      <c r="X141" t="b">
        <f t="shared" si="88"/>
        <v>1</v>
      </c>
    </row>
    <row r="142" spans="1:24" ht="26.1" customHeight="1" x14ac:dyDescent="0.2">
      <c r="A142" s="7" t="s">
        <v>479</v>
      </c>
      <c r="B142" s="9" t="s">
        <v>254</v>
      </c>
      <c r="C142" s="7" t="s">
        <v>20</v>
      </c>
      <c r="D142" s="7" t="s">
        <v>255</v>
      </c>
      <c r="E142" s="8" t="s">
        <v>21</v>
      </c>
      <c r="F142" s="78">
        <v>8</v>
      </c>
      <c r="G142" s="10">
        <v>304.85000000000002</v>
      </c>
      <c r="H142" s="53">
        <v>0.25</v>
      </c>
      <c r="I142" s="10">
        <v>79.02</v>
      </c>
      <c r="J142" s="10">
        <v>302.04000000000002</v>
      </c>
      <c r="K142" s="10">
        <v>381.06</v>
      </c>
      <c r="L142" s="10">
        <v>632.16</v>
      </c>
      <c r="M142" s="10">
        <v>2416.3200000000002</v>
      </c>
      <c r="N142" s="10">
        <v>3048.48</v>
      </c>
      <c r="O142" s="6">
        <f t="shared" si="114"/>
        <v>1.7503633810659797E-4</v>
      </c>
      <c r="Q142" s="23">
        <f t="shared" si="117"/>
        <v>3048.48</v>
      </c>
      <c r="R142" t="b">
        <f t="shared" si="118"/>
        <v>1</v>
      </c>
      <c r="S142">
        <f t="shared" si="119"/>
        <v>381.06</v>
      </c>
      <c r="T142" t="b">
        <f t="shared" si="120"/>
        <v>1</v>
      </c>
      <c r="U142" s="46">
        <f t="shared" si="121"/>
        <v>3048.48</v>
      </c>
      <c r="V142" t="b">
        <f t="shared" si="122"/>
        <v>1</v>
      </c>
      <c r="W142" s="46">
        <f t="shared" si="87"/>
        <v>381.06</v>
      </c>
      <c r="X142" t="b">
        <f t="shared" si="88"/>
        <v>1</v>
      </c>
    </row>
    <row r="143" spans="1:24" ht="39" customHeight="1" x14ac:dyDescent="0.2">
      <c r="A143" s="7" t="s">
        <v>480</v>
      </c>
      <c r="B143" s="9" t="s">
        <v>256</v>
      </c>
      <c r="C143" s="7" t="s">
        <v>20</v>
      </c>
      <c r="D143" s="7" t="s">
        <v>257</v>
      </c>
      <c r="E143" s="8" t="s">
        <v>21</v>
      </c>
      <c r="F143" s="78">
        <v>9</v>
      </c>
      <c r="G143" s="10">
        <v>1205.29</v>
      </c>
      <c r="H143" s="53">
        <v>0.25</v>
      </c>
      <c r="I143" s="10">
        <v>78.52</v>
      </c>
      <c r="J143" s="10">
        <v>1428.09</v>
      </c>
      <c r="K143" s="10">
        <v>1506.61</v>
      </c>
      <c r="L143" s="10">
        <v>706.68</v>
      </c>
      <c r="M143" s="10">
        <v>12852.81</v>
      </c>
      <c r="N143" s="10">
        <v>13559.49</v>
      </c>
      <c r="O143" s="6">
        <f t="shared" si="114"/>
        <v>7.7855307438232622E-4</v>
      </c>
      <c r="Q143" s="23">
        <f t="shared" si="117"/>
        <v>13559.49</v>
      </c>
      <c r="R143" t="b">
        <f t="shared" si="118"/>
        <v>1</v>
      </c>
      <c r="S143">
        <f t="shared" si="119"/>
        <v>1506.61</v>
      </c>
      <c r="T143" t="b">
        <f t="shared" si="120"/>
        <v>1</v>
      </c>
      <c r="U143" s="46">
        <f t="shared" si="121"/>
        <v>13559.49</v>
      </c>
      <c r="V143" t="b">
        <f t="shared" si="122"/>
        <v>1</v>
      </c>
      <c r="W143" s="46">
        <f t="shared" si="87"/>
        <v>1506.61</v>
      </c>
      <c r="X143" t="b">
        <f t="shared" si="88"/>
        <v>1</v>
      </c>
    </row>
    <row r="144" spans="1:24" ht="51.95" customHeight="1" x14ac:dyDescent="0.2">
      <c r="A144" s="7" t="s">
        <v>481</v>
      </c>
      <c r="B144" s="9" t="s">
        <v>258</v>
      </c>
      <c r="C144" s="7" t="s">
        <v>20</v>
      </c>
      <c r="D144" s="7" t="s">
        <v>259</v>
      </c>
      <c r="E144" s="8" t="s">
        <v>21</v>
      </c>
      <c r="F144" s="78">
        <v>6</v>
      </c>
      <c r="G144" s="10">
        <v>1206.3599999999999</v>
      </c>
      <c r="H144" s="53">
        <v>0.25</v>
      </c>
      <c r="I144" s="10">
        <v>54.05</v>
      </c>
      <c r="J144" s="10">
        <v>1453.9</v>
      </c>
      <c r="K144" s="10">
        <v>1507.95</v>
      </c>
      <c r="L144" s="10">
        <v>324.3</v>
      </c>
      <c r="M144" s="10">
        <v>8723.4</v>
      </c>
      <c r="N144" s="10">
        <v>9047.7000000000007</v>
      </c>
      <c r="O144" s="6">
        <f t="shared" si="114"/>
        <v>5.1949702024847353E-4</v>
      </c>
      <c r="Q144" s="23">
        <f t="shared" si="117"/>
        <v>9047.7000000000007</v>
      </c>
      <c r="R144" t="b">
        <f t="shared" si="118"/>
        <v>1</v>
      </c>
      <c r="S144">
        <f t="shared" si="119"/>
        <v>1507.95</v>
      </c>
      <c r="T144" t="b">
        <f t="shared" si="120"/>
        <v>1</v>
      </c>
      <c r="U144" s="46">
        <f t="shared" si="121"/>
        <v>9047.6999999999989</v>
      </c>
      <c r="V144" t="b">
        <f t="shared" si="122"/>
        <v>1</v>
      </c>
      <c r="W144" s="46">
        <f t="shared" si="87"/>
        <v>1507.95</v>
      </c>
      <c r="X144" t="b">
        <f t="shared" si="88"/>
        <v>1</v>
      </c>
    </row>
    <row r="145" spans="1:24" ht="78" customHeight="1" x14ac:dyDescent="0.2">
      <c r="A145" s="7" t="s">
        <v>482</v>
      </c>
      <c r="B145" s="9" t="s">
        <v>260</v>
      </c>
      <c r="C145" s="7" t="s">
        <v>20</v>
      </c>
      <c r="D145" s="7" t="s">
        <v>261</v>
      </c>
      <c r="E145" s="8" t="s">
        <v>21</v>
      </c>
      <c r="F145" s="78">
        <v>13</v>
      </c>
      <c r="G145" s="10">
        <v>1560.31</v>
      </c>
      <c r="H145" s="53">
        <v>0.25</v>
      </c>
      <c r="I145" s="10">
        <v>99.75</v>
      </c>
      <c r="J145" s="10">
        <v>1850.63</v>
      </c>
      <c r="K145" s="10">
        <v>1950.38</v>
      </c>
      <c r="L145" s="10">
        <v>1296.75</v>
      </c>
      <c r="M145" s="10">
        <v>24058.19</v>
      </c>
      <c r="N145" s="10">
        <v>25354.94</v>
      </c>
      <c r="O145" s="6">
        <f t="shared" si="114"/>
        <v>1.4558192445128407E-3</v>
      </c>
      <c r="Q145" s="23">
        <f t="shared" si="117"/>
        <v>25354.94</v>
      </c>
      <c r="R145" t="b">
        <f t="shared" si="118"/>
        <v>1</v>
      </c>
      <c r="S145">
        <f t="shared" si="119"/>
        <v>1950.38</v>
      </c>
      <c r="T145" t="b">
        <f t="shared" si="120"/>
        <v>1</v>
      </c>
      <c r="U145" s="46">
        <f t="shared" si="121"/>
        <v>25354.94</v>
      </c>
      <c r="V145" t="b">
        <f t="shared" si="122"/>
        <v>1</v>
      </c>
      <c r="W145" s="46">
        <f t="shared" si="87"/>
        <v>1950.38</v>
      </c>
      <c r="X145" t="b">
        <f t="shared" si="88"/>
        <v>1</v>
      </c>
    </row>
    <row r="146" spans="1:24" ht="39" customHeight="1" x14ac:dyDescent="0.2">
      <c r="A146" s="7" t="s">
        <v>483</v>
      </c>
      <c r="B146" s="9" t="s">
        <v>262</v>
      </c>
      <c r="C146" s="7" t="s">
        <v>20</v>
      </c>
      <c r="D146" s="7" t="s">
        <v>263</v>
      </c>
      <c r="E146" s="8" t="s">
        <v>21</v>
      </c>
      <c r="F146" s="78">
        <v>9</v>
      </c>
      <c r="G146" s="10">
        <v>830.34</v>
      </c>
      <c r="H146" s="53">
        <v>0.25</v>
      </c>
      <c r="I146" s="10">
        <v>67.75</v>
      </c>
      <c r="J146" s="10">
        <v>970.17</v>
      </c>
      <c r="K146" s="10">
        <v>1037.92</v>
      </c>
      <c r="L146" s="10">
        <v>609.75</v>
      </c>
      <c r="M146" s="10">
        <v>8731.5300000000007</v>
      </c>
      <c r="N146" s="10">
        <v>9341.2800000000007</v>
      </c>
      <c r="O146" s="6">
        <f t="shared" si="114"/>
        <v>5.3635367279050597E-4</v>
      </c>
      <c r="Q146" s="23">
        <f t="shared" si="117"/>
        <v>9341.2800000000007</v>
      </c>
      <c r="R146" t="b">
        <f t="shared" si="118"/>
        <v>1</v>
      </c>
      <c r="S146">
        <f t="shared" si="119"/>
        <v>1037.92</v>
      </c>
      <c r="T146" t="b">
        <f t="shared" si="120"/>
        <v>1</v>
      </c>
      <c r="U146" s="46">
        <f t="shared" si="121"/>
        <v>9341.2800000000007</v>
      </c>
      <c r="V146" t="b">
        <f t="shared" si="122"/>
        <v>1</v>
      </c>
      <c r="W146" s="46">
        <f t="shared" si="87"/>
        <v>1037.92</v>
      </c>
      <c r="X146" t="b">
        <f t="shared" si="88"/>
        <v>1</v>
      </c>
    </row>
    <row r="147" spans="1:24" ht="65.099999999999994" customHeight="1" x14ac:dyDescent="0.2">
      <c r="A147" s="7" t="s">
        <v>484</v>
      </c>
      <c r="B147" s="9" t="s">
        <v>264</v>
      </c>
      <c r="C147" s="7" t="s">
        <v>20</v>
      </c>
      <c r="D147" s="7" t="s">
        <v>265</v>
      </c>
      <c r="E147" s="8" t="s">
        <v>21</v>
      </c>
      <c r="F147" s="78">
        <v>8</v>
      </c>
      <c r="G147" s="10">
        <v>344.13</v>
      </c>
      <c r="H147" s="53">
        <v>0.25</v>
      </c>
      <c r="I147" s="10">
        <v>34.15</v>
      </c>
      <c r="J147" s="10">
        <v>396.01</v>
      </c>
      <c r="K147" s="10">
        <v>430.16</v>
      </c>
      <c r="L147" s="10">
        <v>273.2</v>
      </c>
      <c r="M147" s="10">
        <v>3168.08</v>
      </c>
      <c r="N147" s="10">
        <v>3441.28</v>
      </c>
      <c r="O147" s="6">
        <f t="shared" si="114"/>
        <v>1.9758996273535449E-4</v>
      </c>
      <c r="Q147" s="23">
        <f t="shared" si="117"/>
        <v>3441.28</v>
      </c>
      <c r="R147" t="b">
        <f t="shared" si="118"/>
        <v>1</v>
      </c>
      <c r="S147">
        <f t="shared" si="119"/>
        <v>430.16</v>
      </c>
      <c r="T147" t="b">
        <f t="shared" si="120"/>
        <v>1</v>
      </c>
      <c r="U147" s="46">
        <f t="shared" si="121"/>
        <v>3441.2799999999997</v>
      </c>
      <c r="V147" t="b">
        <f t="shared" si="122"/>
        <v>1</v>
      </c>
      <c r="W147" s="46">
        <f t="shared" si="87"/>
        <v>430.15999999999997</v>
      </c>
      <c r="X147" t="b">
        <f t="shared" si="88"/>
        <v>1</v>
      </c>
    </row>
    <row r="148" spans="1:24" ht="65.099999999999994" customHeight="1" x14ac:dyDescent="0.2">
      <c r="A148" s="7" t="s">
        <v>485</v>
      </c>
      <c r="B148" s="9" t="s">
        <v>266</v>
      </c>
      <c r="C148" s="7" t="s">
        <v>20</v>
      </c>
      <c r="D148" s="7" t="s">
        <v>267</v>
      </c>
      <c r="E148" s="8" t="s">
        <v>21</v>
      </c>
      <c r="F148" s="78">
        <v>38</v>
      </c>
      <c r="G148" s="10">
        <v>2205.13</v>
      </c>
      <c r="H148" s="53">
        <v>0.25</v>
      </c>
      <c r="I148" s="10">
        <v>119.91</v>
      </c>
      <c r="J148" s="10">
        <v>2636.5</v>
      </c>
      <c r="K148" s="10">
        <v>2756.41</v>
      </c>
      <c r="L148" s="10">
        <v>4556.58</v>
      </c>
      <c r="M148" s="10">
        <v>100187</v>
      </c>
      <c r="N148" s="10">
        <v>104743.58</v>
      </c>
      <c r="O148" s="6">
        <f t="shared" si="114"/>
        <v>6.0141226720777218E-3</v>
      </c>
      <c r="Q148" s="23">
        <f t="shared" si="117"/>
        <v>104743.58</v>
      </c>
      <c r="R148" t="b">
        <f t="shared" si="118"/>
        <v>1</v>
      </c>
      <c r="S148">
        <f t="shared" si="119"/>
        <v>2756.41</v>
      </c>
      <c r="T148" t="b">
        <f t="shared" si="120"/>
        <v>1</v>
      </c>
      <c r="U148" s="46">
        <f t="shared" si="121"/>
        <v>104743.58</v>
      </c>
      <c r="V148" t="b">
        <f t="shared" si="122"/>
        <v>1</v>
      </c>
      <c r="W148" s="46">
        <f t="shared" si="87"/>
        <v>2756.41</v>
      </c>
      <c r="X148" t="b">
        <f t="shared" si="88"/>
        <v>1</v>
      </c>
    </row>
    <row r="149" spans="1:24" ht="39" customHeight="1" x14ac:dyDescent="0.2">
      <c r="A149" s="7" t="s">
        <v>486</v>
      </c>
      <c r="B149" s="9" t="s">
        <v>268</v>
      </c>
      <c r="C149" s="7" t="s">
        <v>20</v>
      </c>
      <c r="D149" s="7" t="s">
        <v>269</v>
      </c>
      <c r="E149" s="8" t="s">
        <v>26</v>
      </c>
      <c r="F149" s="78">
        <v>24</v>
      </c>
      <c r="G149" s="10">
        <v>329.38</v>
      </c>
      <c r="H149" s="53">
        <v>0.25</v>
      </c>
      <c r="I149" s="10">
        <v>13.59</v>
      </c>
      <c r="J149" s="10">
        <v>398.13</v>
      </c>
      <c r="K149" s="10">
        <v>411.72</v>
      </c>
      <c r="L149" s="10">
        <v>326.16000000000003</v>
      </c>
      <c r="M149" s="10">
        <v>9555.1200000000008</v>
      </c>
      <c r="N149" s="10">
        <v>9881.2800000000007</v>
      </c>
      <c r="O149" s="6">
        <f t="shared" si="114"/>
        <v>5.6735916489724866E-4</v>
      </c>
      <c r="Q149" s="23">
        <f t="shared" si="117"/>
        <v>9881.2800000000007</v>
      </c>
      <c r="R149" t="b">
        <f t="shared" si="118"/>
        <v>1</v>
      </c>
      <c r="S149">
        <f t="shared" si="119"/>
        <v>411.72</v>
      </c>
      <c r="T149" t="b">
        <f t="shared" si="120"/>
        <v>1</v>
      </c>
      <c r="U149" s="46">
        <f t="shared" si="121"/>
        <v>9881.2800000000007</v>
      </c>
      <c r="V149" t="b">
        <f t="shared" si="122"/>
        <v>1</v>
      </c>
      <c r="W149" s="46">
        <f t="shared" si="87"/>
        <v>411.71999999999997</v>
      </c>
      <c r="X149" t="b">
        <f t="shared" si="88"/>
        <v>1</v>
      </c>
    </row>
    <row r="150" spans="1:24" ht="26.1" customHeight="1" x14ac:dyDescent="0.2">
      <c r="A150" s="7" t="s">
        <v>487</v>
      </c>
      <c r="B150" s="9" t="s">
        <v>270</v>
      </c>
      <c r="C150" s="7" t="s">
        <v>20</v>
      </c>
      <c r="D150" s="7" t="s">
        <v>271</v>
      </c>
      <c r="E150" s="8" t="s">
        <v>21</v>
      </c>
      <c r="F150" s="78">
        <v>49</v>
      </c>
      <c r="G150" s="10">
        <v>100.2</v>
      </c>
      <c r="H150" s="53">
        <v>0.25</v>
      </c>
      <c r="I150" s="10">
        <v>13.15</v>
      </c>
      <c r="J150" s="10">
        <v>112.1</v>
      </c>
      <c r="K150" s="10">
        <v>125.25</v>
      </c>
      <c r="L150" s="10">
        <v>644.35</v>
      </c>
      <c r="M150" s="10">
        <v>5492.9</v>
      </c>
      <c r="N150" s="10">
        <v>6137.25</v>
      </c>
      <c r="O150" s="6">
        <f t="shared" si="114"/>
        <v>3.5238603042982679E-4</v>
      </c>
      <c r="Q150" s="23">
        <f t="shared" si="117"/>
        <v>6137.25</v>
      </c>
      <c r="R150" t="b">
        <f t="shared" si="118"/>
        <v>1</v>
      </c>
      <c r="S150">
        <f t="shared" si="119"/>
        <v>125.25</v>
      </c>
      <c r="T150" t="b">
        <f t="shared" si="120"/>
        <v>1</v>
      </c>
      <c r="U150" s="46">
        <f t="shared" si="121"/>
        <v>6137.25</v>
      </c>
      <c r="V150" t="b">
        <f t="shared" si="122"/>
        <v>1</v>
      </c>
      <c r="W150" s="46">
        <f t="shared" si="87"/>
        <v>125.25</v>
      </c>
      <c r="X150" t="b">
        <f t="shared" si="88"/>
        <v>1</v>
      </c>
    </row>
    <row r="151" spans="1:24" ht="39" customHeight="1" x14ac:dyDescent="0.2">
      <c r="A151" s="7" t="s">
        <v>488</v>
      </c>
      <c r="B151" s="9" t="s">
        <v>272</v>
      </c>
      <c r="C151" s="7" t="s">
        <v>20</v>
      </c>
      <c r="D151" s="7" t="s">
        <v>273</v>
      </c>
      <c r="E151" s="8" t="s">
        <v>21</v>
      </c>
      <c r="F151" s="78">
        <v>49</v>
      </c>
      <c r="G151" s="10">
        <v>59.69</v>
      </c>
      <c r="H151" s="53">
        <v>0.25</v>
      </c>
      <c r="I151" s="10">
        <v>13.15</v>
      </c>
      <c r="J151" s="10">
        <v>61.46</v>
      </c>
      <c r="K151" s="10">
        <v>74.61</v>
      </c>
      <c r="L151" s="10">
        <v>644.35</v>
      </c>
      <c r="M151" s="10">
        <v>3011.54</v>
      </c>
      <c r="N151" s="10">
        <v>3655.89</v>
      </c>
      <c r="O151" s="6">
        <f t="shared" si="114"/>
        <v>2.0991234914466566E-4</v>
      </c>
      <c r="Q151" s="23">
        <f t="shared" si="117"/>
        <v>3655.89</v>
      </c>
      <c r="R151" t="b">
        <f t="shared" si="118"/>
        <v>1</v>
      </c>
      <c r="S151">
        <f t="shared" si="119"/>
        <v>74.61</v>
      </c>
      <c r="T151" t="b">
        <f t="shared" si="120"/>
        <v>1</v>
      </c>
      <c r="U151" s="46">
        <f t="shared" si="121"/>
        <v>3655.89</v>
      </c>
      <c r="V151" t="b">
        <f t="shared" si="122"/>
        <v>1</v>
      </c>
      <c r="W151" s="46">
        <f t="shared" si="87"/>
        <v>74.61</v>
      </c>
      <c r="X151" t="b">
        <f t="shared" si="88"/>
        <v>1</v>
      </c>
    </row>
    <row r="152" spans="1:24" ht="51.95" customHeight="1" x14ac:dyDescent="0.2">
      <c r="A152" s="7" t="s">
        <v>489</v>
      </c>
      <c r="B152" s="9" t="s">
        <v>274</v>
      </c>
      <c r="C152" s="7" t="s">
        <v>20</v>
      </c>
      <c r="D152" s="7" t="s">
        <v>275</v>
      </c>
      <c r="E152" s="8" t="s">
        <v>21</v>
      </c>
      <c r="F152" s="78">
        <v>15</v>
      </c>
      <c r="G152" s="10">
        <v>1343.27</v>
      </c>
      <c r="H152" s="53">
        <v>0.25</v>
      </c>
      <c r="I152" s="10">
        <v>89.22</v>
      </c>
      <c r="J152" s="10">
        <v>1589.86</v>
      </c>
      <c r="K152" s="10">
        <v>1679.08</v>
      </c>
      <c r="L152" s="10">
        <v>1338.3</v>
      </c>
      <c r="M152" s="10">
        <v>23847.9</v>
      </c>
      <c r="N152" s="10">
        <v>25186.2</v>
      </c>
      <c r="O152" s="6">
        <f t="shared" si="114"/>
        <v>1.4461306024052636E-3</v>
      </c>
      <c r="Q152" s="23">
        <f t="shared" si="117"/>
        <v>25186.2</v>
      </c>
      <c r="R152" t="b">
        <f t="shared" si="118"/>
        <v>1</v>
      </c>
      <c r="S152">
        <f t="shared" si="119"/>
        <v>1679.08</v>
      </c>
      <c r="T152" t="b">
        <f t="shared" si="120"/>
        <v>1</v>
      </c>
      <c r="U152" s="46">
        <f t="shared" si="121"/>
        <v>25186.2</v>
      </c>
      <c r="V152" t="b">
        <f t="shared" si="122"/>
        <v>1</v>
      </c>
      <c r="W152" s="46">
        <f t="shared" si="87"/>
        <v>1679.08</v>
      </c>
      <c r="X152" t="b">
        <f t="shared" si="88"/>
        <v>1</v>
      </c>
    </row>
    <row r="153" spans="1:24" ht="24" customHeight="1" x14ac:dyDescent="0.2">
      <c r="A153" s="3" t="s">
        <v>490</v>
      </c>
      <c r="B153" s="3"/>
      <c r="C153" s="3"/>
      <c r="D153" s="3" t="s">
        <v>276</v>
      </c>
      <c r="E153" s="3"/>
      <c r="F153" s="77"/>
      <c r="G153" s="4"/>
      <c r="H153" s="52"/>
      <c r="I153" s="3"/>
      <c r="J153" s="3"/>
      <c r="K153" s="3"/>
      <c r="L153" s="3"/>
      <c r="M153" s="3"/>
      <c r="N153" s="5">
        <f>SUM(N154:N155)</f>
        <v>426725.67</v>
      </c>
      <c r="O153" s="6">
        <f t="shared" si="114"/>
        <v>2.4501554431350884E-2</v>
      </c>
      <c r="Q153" s="23"/>
      <c r="W153" s="46">
        <f t="shared" si="87"/>
        <v>0</v>
      </c>
      <c r="X153" t="b">
        <f t="shared" si="88"/>
        <v>1</v>
      </c>
    </row>
    <row r="154" spans="1:24" ht="26.1" customHeight="1" x14ac:dyDescent="0.2">
      <c r="A154" s="7" t="s">
        <v>491</v>
      </c>
      <c r="B154" s="9" t="s">
        <v>277</v>
      </c>
      <c r="C154" s="7" t="s">
        <v>20</v>
      </c>
      <c r="D154" s="7" t="s">
        <v>278</v>
      </c>
      <c r="E154" s="8" t="s">
        <v>26</v>
      </c>
      <c r="F154" s="78">
        <v>3041.07</v>
      </c>
      <c r="G154" s="10">
        <v>106.93</v>
      </c>
      <c r="H154" s="53">
        <v>0.25</v>
      </c>
      <c r="I154" s="10">
        <v>21.37</v>
      </c>
      <c r="J154" s="10">
        <v>112.29</v>
      </c>
      <c r="K154" s="10">
        <v>133.66</v>
      </c>
      <c r="L154" s="10">
        <v>64987.6659</v>
      </c>
      <c r="M154" s="10">
        <v>341481.74410000001</v>
      </c>
      <c r="N154" s="10">
        <v>406469.41</v>
      </c>
      <c r="O154" s="6">
        <f t="shared" si="114"/>
        <v>2.3338489043309908E-2</v>
      </c>
      <c r="Q154" s="23">
        <f>TRUNC(K154*F154,2)</f>
        <v>406469.41</v>
      </c>
      <c r="R154" t="b">
        <f t="shared" si="118"/>
        <v>1</v>
      </c>
      <c r="S154">
        <f t="shared" ref="S154:S155" si="123">TRUNC(G154*1.25,2)</f>
        <v>133.66</v>
      </c>
      <c r="T154" t="b">
        <f t="shared" ref="T154:T155" si="124">S154=K154</f>
        <v>1</v>
      </c>
      <c r="U154" s="46">
        <f t="shared" ref="U154:U155" si="125">L154+M154</f>
        <v>406469.41000000003</v>
      </c>
      <c r="V154" t="b">
        <f t="shared" ref="V154:V155" si="126">U154=N154</f>
        <v>1</v>
      </c>
      <c r="W154" s="46">
        <f t="shared" si="87"/>
        <v>133.66</v>
      </c>
      <c r="X154" t="b">
        <f t="shared" si="88"/>
        <v>1</v>
      </c>
    </row>
    <row r="155" spans="1:24" ht="26.1" customHeight="1" x14ac:dyDescent="0.2">
      <c r="A155" s="7" t="s">
        <v>492</v>
      </c>
      <c r="B155" s="9" t="s">
        <v>279</v>
      </c>
      <c r="C155" s="7" t="s">
        <v>20</v>
      </c>
      <c r="D155" s="7" t="s">
        <v>322</v>
      </c>
      <c r="E155" s="8" t="s">
        <v>38</v>
      </c>
      <c r="F155" s="78">
        <v>526</v>
      </c>
      <c r="G155" s="10">
        <v>30.81</v>
      </c>
      <c r="H155" s="53">
        <v>0.25</v>
      </c>
      <c r="I155" s="10">
        <v>11.03</v>
      </c>
      <c r="J155" s="10">
        <v>27.48</v>
      </c>
      <c r="K155" s="10">
        <v>38.51</v>
      </c>
      <c r="L155" s="10">
        <v>5801.78</v>
      </c>
      <c r="M155" s="10">
        <v>14454.48</v>
      </c>
      <c r="N155" s="10">
        <v>20256.259999999998</v>
      </c>
      <c r="O155" s="6">
        <f t="shared" si="114"/>
        <v>1.1630653880409763E-3</v>
      </c>
      <c r="Q155" s="23">
        <f>TRUNC(K155*F155,2)</f>
        <v>20256.259999999998</v>
      </c>
      <c r="R155" t="b">
        <f t="shared" si="118"/>
        <v>1</v>
      </c>
      <c r="S155">
        <f t="shared" si="123"/>
        <v>38.51</v>
      </c>
      <c r="T155" t="b">
        <f t="shared" si="124"/>
        <v>1</v>
      </c>
      <c r="U155" s="46">
        <f t="shared" si="125"/>
        <v>20256.259999999998</v>
      </c>
      <c r="V155" t="b">
        <f t="shared" si="126"/>
        <v>1</v>
      </c>
      <c r="W155" s="46">
        <f t="shared" si="87"/>
        <v>38.51</v>
      </c>
      <c r="X155" t="b">
        <f t="shared" si="88"/>
        <v>1</v>
      </c>
    </row>
    <row r="156" spans="1:24" ht="24" customHeight="1" x14ac:dyDescent="0.2">
      <c r="A156" s="3" t="s">
        <v>493</v>
      </c>
      <c r="B156" s="3"/>
      <c r="C156" s="3"/>
      <c r="D156" s="3" t="s">
        <v>280</v>
      </c>
      <c r="E156" s="3"/>
      <c r="F156" s="77"/>
      <c r="G156" s="4"/>
      <c r="H156" s="52"/>
      <c r="I156" s="3"/>
      <c r="J156" s="3"/>
      <c r="K156" s="3"/>
      <c r="L156" s="3"/>
      <c r="M156" s="3"/>
      <c r="N156" s="5">
        <f>SUM(N157:N160)</f>
        <v>515241.35</v>
      </c>
      <c r="O156" s="6">
        <f t="shared" si="114"/>
        <v>2.9583910389800811E-2</v>
      </c>
      <c r="Q156" s="23"/>
      <c r="W156" s="46">
        <f t="shared" si="87"/>
        <v>0</v>
      </c>
      <c r="X156" t="b">
        <f t="shared" si="88"/>
        <v>1</v>
      </c>
    </row>
    <row r="157" spans="1:24" ht="39" customHeight="1" x14ac:dyDescent="0.2">
      <c r="A157" s="7" t="s">
        <v>494</v>
      </c>
      <c r="B157" s="9" t="s">
        <v>281</v>
      </c>
      <c r="C157" s="7" t="s">
        <v>20</v>
      </c>
      <c r="D157" s="7" t="s">
        <v>282</v>
      </c>
      <c r="E157" s="8" t="s">
        <v>38</v>
      </c>
      <c r="F157" s="78">
        <v>3.5</v>
      </c>
      <c r="G157" s="10">
        <v>133.87</v>
      </c>
      <c r="H157" s="53">
        <v>0.25</v>
      </c>
      <c r="I157" s="10">
        <v>46.08</v>
      </c>
      <c r="J157" s="10">
        <v>121.25</v>
      </c>
      <c r="K157" s="10">
        <v>167.33</v>
      </c>
      <c r="L157" s="10">
        <v>161.28</v>
      </c>
      <c r="M157" s="10">
        <v>424.37</v>
      </c>
      <c r="N157" s="10">
        <v>585.65</v>
      </c>
      <c r="O157" s="6">
        <f t="shared" si="114"/>
        <v>3.3626604541321936E-5</v>
      </c>
      <c r="Q157" s="23">
        <f>TRUNC(K157*F157,2)</f>
        <v>585.65</v>
      </c>
      <c r="R157" t="b">
        <f t="shared" si="118"/>
        <v>1</v>
      </c>
      <c r="S157">
        <f t="shared" ref="S157:S160" si="127">TRUNC(G157*1.25,2)</f>
        <v>167.33</v>
      </c>
      <c r="T157" t="b">
        <f t="shared" ref="T157:T160" si="128">S157=K157</f>
        <v>1</v>
      </c>
      <c r="U157" s="46">
        <f t="shared" ref="U157:U160" si="129">L157+M157</f>
        <v>585.65</v>
      </c>
      <c r="V157" t="b">
        <f t="shared" ref="V157:V160" si="130">U157=N157</f>
        <v>1</v>
      </c>
      <c r="W157" s="46">
        <f t="shared" si="87"/>
        <v>167.32999999999998</v>
      </c>
      <c r="X157" t="b">
        <f t="shared" si="88"/>
        <v>1</v>
      </c>
    </row>
    <row r="158" spans="1:24" ht="26.1" customHeight="1" x14ac:dyDescent="0.2">
      <c r="A158" s="7" t="s">
        <v>495</v>
      </c>
      <c r="B158" s="20" t="s">
        <v>345</v>
      </c>
      <c r="C158" s="20" t="s">
        <v>527</v>
      </c>
      <c r="D158" s="21" t="s">
        <v>323</v>
      </c>
      <c r="E158" s="22" t="s">
        <v>21</v>
      </c>
      <c r="F158" s="20">
        <v>1</v>
      </c>
      <c r="G158" s="20">
        <v>170444.56</v>
      </c>
      <c r="H158" s="53">
        <v>0.25</v>
      </c>
      <c r="I158" s="20">
        <f>K158-J158</f>
        <v>42611.140000000014</v>
      </c>
      <c r="J158" s="20">
        <f>TRUNC(K158*0.8,2)</f>
        <v>170444.56</v>
      </c>
      <c r="K158" s="20">
        <f>TRUNC(G158*1.25,2)</f>
        <v>213055.7</v>
      </c>
      <c r="L158" s="20">
        <f>N158-M158</f>
        <v>42611.140000000014</v>
      </c>
      <c r="M158" s="20">
        <f>TRUNC(J158*F158,2)</f>
        <v>170444.56</v>
      </c>
      <c r="N158" s="20">
        <f>TRUNC(K158*F158,2)</f>
        <v>213055.7</v>
      </c>
      <c r="O158" s="6">
        <f t="shared" si="114"/>
        <v>1.2233142267863954E-2</v>
      </c>
      <c r="Q158" s="23">
        <f>TRUNC(K158*F158,2)</f>
        <v>213055.7</v>
      </c>
      <c r="R158" t="b">
        <f t="shared" si="118"/>
        <v>1</v>
      </c>
      <c r="S158">
        <f t="shared" si="127"/>
        <v>213055.7</v>
      </c>
      <c r="T158" t="b">
        <f t="shared" si="128"/>
        <v>1</v>
      </c>
      <c r="U158" s="46">
        <f t="shared" si="129"/>
        <v>213055.7</v>
      </c>
      <c r="V158" t="b">
        <f t="shared" si="130"/>
        <v>1</v>
      </c>
      <c r="W158" s="46">
        <f t="shared" si="87"/>
        <v>213055.7</v>
      </c>
      <c r="X158" t="b">
        <f t="shared" si="88"/>
        <v>1</v>
      </c>
    </row>
    <row r="159" spans="1:24" ht="26.1" customHeight="1" x14ac:dyDescent="0.2">
      <c r="A159" s="7" t="s">
        <v>496</v>
      </c>
      <c r="B159" s="20" t="s">
        <v>346</v>
      </c>
      <c r="C159" s="20" t="s">
        <v>527</v>
      </c>
      <c r="D159" s="21" t="s">
        <v>324</v>
      </c>
      <c r="E159" s="22" t="s">
        <v>21</v>
      </c>
      <c r="F159" s="20">
        <v>4</v>
      </c>
      <c r="G159" s="20">
        <v>57200</v>
      </c>
      <c r="H159" s="53">
        <v>0.25</v>
      </c>
      <c r="I159" s="20">
        <f>K159-J159</f>
        <v>21450</v>
      </c>
      <c r="J159" s="20">
        <f>TRUNC(K159*0.7,2)</f>
        <v>50050</v>
      </c>
      <c r="K159" s="20">
        <f>TRUNC(G159*1.25,2)</f>
        <v>71500</v>
      </c>
      <c r="L159" s="20">
        <f>N159-M159</f>
        <v>85800</v>
      </c>
      <c r="M159" s="20">
        <f>TRUNC(J159*F159,2)</f>
        <v>200200</v>
      </c>
      <c r="N159" s="20">
        <f>TRUNC(K159*F159,2)</f>
        <v>286000</v>
      </c>
      <c r="O159" s="6">
        <f t="shared" ref="O159:O174" si="131">N159/$N$176</f>
        <v>1.6421427300978526E-2</v>
      </c>
      <c r="Q159" s="23">
        <f>TRUNC(K159*F159,2)</f>
        <v>286000</v>
      </c>
      <c r="R159" t="b">
        <f t="shared" si="118"/>
        <v>1</v>
      </c>
      <c r="S159">
        <f t="shared" si="127"/>
        <v>71500</v>
      </c>
      <c r="T159" t="b">
        <f t="shared" si="128"/>
        <v>1</v>
      </c>
      <c r="U159" s="46">
        <f t="shared" si="129"/>
        <v>286000</v>
      </c>
      <c r="V159" t="b">
        <f t="shared" si="130"/>
        <v>1</v>
      </c>
      <c r="W159" s="46">
        <f t="shared" si="87"/>
        <v>71500</v>
      </c>
      <c r="X159" t="b">
        <f t="shared" si="88"/>
        <v>1</v>
      </c>
    </row>
    <row r="160" spans="1:24" ht="26.1" customHeight="1" x14ac:dyDescent="0.2">
      <c r="A160" s="7" t="s">
        <v>497</v>
      </c>
      <c r="B160" s="20" t="s">
        <v>347</v>
      </c>
      <c r="C160" s="20" t="s">
        <v>527</v>
      </c>
      <c r="D160" s="21" t="s">
        <v>325</v>
      </c>
      <c r="E160" s="22" t="s">
        <v>21</v>
      </c>
      <c r="F160" s="20">
        <v>1</v>
      </c>
      <c r="G160" s="20">
        <v>12480</v>
      </c>
      <c r="H160" s="53">
        <v>0.25</v>
      </c>
      <c r="I160" s="20">
        <f>K160-J160</f>
        <v>4680</v>
      </c>
      <c r="J160" s="20">
        <f>TRUNC(K160*0.7,2)</f>
        <v>10920</v>
      </c>
      <c r="K160" s="20">
        <f>TRUNC(G160*1.25,2)</f>
        <v>15600</v>
      </c>
      <c r="L160" s="20">
        <f>N160-M160</f>
        <v>4680</v>
      </c>
      <c r="M160" s="20">
        <f>TRUNC(J160*F160,2)</f>
        <v>10920</v>
      </c>
      <c r="N160" s="20">
        <f>TRUNC(K160*F160,2)</f>
        <v>15600</v>
      </c>
      <c r="O160" s="6">
        <f t="shared" si="131"/>
        <v>8.9571421641701054E-4</v>
      </c>
      <c r="Q160" s="23">
        <f>TRUNC(K160*F160,2)</f>
        <v>15600</v>
      </c>
      <c r="R160" t="b">
        <f t="shared" si="118"/>
        <v>1</v>
      </c>
      <c r="S160">
        <f t="shared" si="127"/>
        <v>15600</v>
      </c>
      <c r="T160" t="b">
        <f t="shared" si="128"/>
        <v>1</v>
      </c>
      <c r="U160" s="46">
        <f t="shared" si="129"/>
        <v>15600</v>
      </c>
      <c r="V160" t="b">
        <f t="shared" si="130"/>
        <v>1</v>
      </c>
      <c r="W160" s="46">
        <f t="shared" si="87"/>
        <v>15600</v>
      </c>
      <c r="X160" t="b">
        <f t="shared" si="88"/>
        <v>1</v>
      </c>
    </row>
    <row r="161" spans="1:24" ht="24" customHeight="1" x14ac:dyDescent="0.2">
      <c r="A161" s="3" t="s">
        <v>498</v>
      </c>
      <c r="B161" s="3"/>
      <c r="C161" s="3"/>
      <c r="D161" s="3" t="s">
        <v>283</v>
      </c>
      <c r="E161" s="3"/>
      <c r="F161" s="77"/>
      <c r="G161" s="4"/>
      <c r="H161" s="52"/>
      <c r="I161" s="3"/>
      <c r="J161" s="3"/>
      <c r="K161" s="3"/>
      <c r="L161" s="3"/>
      <c r="M161" s="3"/>
      <c r="N161" s="5">
        <f>N162</f>
        <v>1478670.92</v>
      </c>
      <c r="O161" s="6">
        <f t="shared" si="131"/>
        <v>8.4901702849129485E-2</v>
      </c>
      <c r="W161" s="46">
        <f t="shared" si="87"/>
        <v>0</v>
      </c>
      <c r="X161" t="b">
        <f t="shared" si="88"/>
        <v>1</v>
      </c>
    </row>
    <row r="162" spans="1:24" ht="39" customHeight="1" x14ac:dyDescent="0.2">
      <c r="A162" s="7" t="s">
        <v>499</v>
      </c>
      <c r="B162" s="20" t="s">
        <v>294</v>
      </c>
      <c r="C162" s="21"/>
      <c r="D162" s="21" t="s">
        <v>283</v>
      </c>
      <c r="E162" s="22" t="s">
        <v>295</v>
      </c>
      <c r="F162" s="20">
        <v>1</v>
      </c>
      <c r="G162" s="20">
        <v>1182936.74</v>
      </c>
      <c r="H162" s="53">
        <v>0.25</v>
      </c>
      <c r="I162" s="20">
        <f>K162-J162</f>
        <v>443601.27999999991</v>
      </c>
      <c r="J162" s="20">
        <f>TRUNC(K162*0.7,2)</f>
        <v>1035069.64</v>
      </c>
      <c r="K162" s="20">
        <f>TRUNC(G162*1.25,2)</f>
        <v>1478670.92</v>
      </c>
      <c r="L162" s="20">
        <f>N162-M162</f>
        <v>443601.27999999991</v>
      </c>
      <c r="M162" s="20">
        <f>TRUNC(J162*F162,2)</f>
        <v>1035069.64</v>
      </c>
      <c r="N162" s="20">
        <f>TRUNC(K162*F162,2)</f>
        <v>1478670.92</v>
      </c>
      <c r="O162" s="6">
        <f t="shared" si="131"/>
        <v>8.4901702849129485E-2</v>
      </c>
      <c r="Q162" s="23">
        <f t="shared" ref="Q162" si="132">TRUNC(K162*F162,2)</f>
        <v>1478670.92</v>
      </c>
      <c r="R162" t="b">
        <f t="shared" ref="R162" si="133">Q162=N162</f>
        <v>1</v>
      </c>
      <c r="S162">
        <f>TRUNC(G162*1.25,2)</f>
        <v>1478670.92</v>
      </c>
      <c r="T162" t="b">
        <f>S162=K162</f>
        <v>1</v>
      </c>
      <c r="U162" s="46">
        <f>L162+M162</f>
        <v>1478670.92</v>
      </c>
      <c r="V162" t="b">
        <f>U162=N162</f>
        <v>1</v>
      </c>
      <c r="W162" s="46">
        <f t="shared" si="87"/>
        <v>1478670.92</v>
      </c>
      <c r="X162" t="b">
        <f t="shared" si="88"/>
        <v>1</v>
      </c>
    </row>
    <row r="163" spans="1:24" ht="24" customHeight="1" x14ac:dyDescent="0.2">
      <c r="A163" s="3" t="s">
        <v>500</v>
      </c>
      <c r="B163" s="3"/>
      <c r="C163" s="3"/>
      <c r="D163" s="3" t="s">
        <v>284</v>
      </c>
      <c r="E163" s="3"/>
      <c r="F163" s="77"/>
      <c r="G163" s="4"/>
      <c r="H163" s="52"/>
      <c r="I163" s="3"/>
      <c r="J163" s="3"/>
      <c r="K163" s="3"/>
      <c r="L163" s="3"/>
      <c r="M163" s="3"/>
      <c r="N163" s="5">
        <f>N164</f>
        <v>2578896.27</v>
      </c>
      <c r="O163" s="6">
        <f t="shared" si="131"/>
        <v>0.14807397767332059</v>
      </c>
      <c r="W163" s="46">
        <f t="shared" si="87"/>
        <v>0</v>
      </c>
      <c r="X163" t="b">
        <f t="shared" si="88"/>
        <v>1</v>
      </c>
    </row>
    <row r="164" spans="1:24" ht="26.1" customHeight="1" x14ac:dyDescent="0.2">
      <c r="A164" s="7" t="s">
        <v>501</v>
      </c>
      <c r="B164" s="20" t="s">
        <v>296</v>
      </c>
      <c r="C164" s="21"/>
      <c r="D164" s="21" t="s">
        <v>284</v>
      </c>
      <c r="E164" s="22" t="s">
        <v>295</v>
      </c>
      <c r="F164" s="20">
        <v>1</v>
      </c>
      <c r="G164" s="20">
        <v>2063117.02</v>
      </c>
      <c r="H164" s="53">
        <v>0.25</v>
      </c>
      <c r="I164" s="20">
        <f>K164-J164</f>
        <v>773668.89000000013</v>
      </c>
      <c r="J164" s="20">
        <f>TRUNC(K164*0.7,2)</f>
        <v>1805227.38</v>
      </c>
      <c r="K164" s="20">
        <f>TRUNC(G164*1.25,2)</f>
        <v>2578896.27</v>
      </c>
      <c r="L164" s="20">
        <f>N164-M164</f>
        <v>773668.89000000013</v>
      </c>
      <c r="M164" s="20">
        <f>TRUNC(J164*F164,2)</f>
        <v>1805227.38</v>
      </c>
      <c r="N164" s="20">
        <f>TRUNC(K164*F164,2)</f>
        <v>2578896.27</v>
      </c>
      <c r="O164" s="6">
        <f t="shared" si="131"/>
        <v>0.14807397767332059</v>
      </c>
      <c r="Q164" s="23">
        <f t="shared" ref="Q164" si="134">TRUNC(K164*F164,2)</f>
        <v>2578896.27</v>
      </c>
      <c r="R164" t="b">
        <f t="shared" ref="R164" si="135">Q164=N164</f>
        <v>1</v>
      </c>
      <c r="S164">
        <f>TRUNC(G164*1.25,2)</f>
        <v>2578896.27</v>
      </c>
      <c r="T164" t="b">
        <f>S164=K164</f>
        <v>1</v>
      </c>
      <c r="U164" s="46">
        <f>L164+M164</f>
        <v>2578896.27</v>
      </c>
      <c r="V164" t="b">
        <f>U164=N164</f>
        <v>1</v>
      </c>
      <c r="W164" s="46">
        <f t="shared" si="87"/>
        <v>2578896.27</v>
      </c>
      <c r="X164" t="b">
        <f t="shared" si="88"/>
        <v>1</v>
      </c>
    </row>
    <row r="165" spans="1:24" ht="24" customHeight="1" x14ac:dyDescent="0.2">
      <c r="A165" s="3" t="s">
        <v>502</v>
      </c>
      <c r="B165" s="3"/>
      <c r="C165" s="3"/>
      <c r="D165" s="3" t="s">
        <v>298</v>
      </c>
      <c r="E165" s="3"/>
      <c r="F165" s="77"/>
      <c r="G165" s="4"/>
      <c r="H165" s="52"/>
      <c r="I165" s="3"/>
      <c r="J165" s="3"/>
      <c r="K165" s="3"/>
      <c r="L165" s="3"/>
      <c r="M165" s="3"/>
      <c r="N165" s="5">
        <f>N166</f>
        <v>316642.3</v>
      </c>
      <c r="O165" s="6">
        <f t="shared" si="131"/>
        <v>1.8180833950575639E-2</v>
      </c>
      <c r="W165" s="46">
        <f t="shared" si="87"/>
        <v>0</v>
      </c>
      <c r="X165" t="b">
        <f t="shared" si="88"/>
        <v>1</v>
      </c>
    </row>
    <row r="166" spans="1:24" ht="26.1" customHeight="1" x14ac:dyDescent="0.2">
      <c r="A166" s="7" t="s">
        <v>503</v>
      </c>
      <c r="B166" s="20" t="s">
        <v>297</v>
      </c>
      <c r="C166" s="21"/>
      <c r="D166" s="21" t="s">
        <v>298</v>
      </c>
      <c r="E166" s="22" t="s">
        <v>295</v>
      </c>
      <c r="F166" s="20">
        <v>1</v>
      </c>
      <c r="G166" s="20">
        <v>253313.84</v>
      </c>
      <c r="H166" s="53">
        <v>0.25</v>
      </c>
      <c r="I166" s="20">
        <f>K166-J166</f>
        <v>94992.69</v>
      </c>
      <c r="J166" s="20">
        <f>TRUNC(K166*0.7,2)</f>
        <v>221649.61</v>
      </c>
      <c r="K166" s="20">
        <f>TRUNC(G166*1.25,2)</f>
        <v>316642.3</v>
      </c>
      <c r="L166" s="20">
        <f>N166-M166</f>
        <v>94992.69</v>
      </c>
      <c r="M166" s="20">
        <f>TRUNC(J166*F166,2)</f>
        <v>221649.61</v>
      </c>
      <c r="N166" s="20">
        <f>TRUNC(K166*F166,2)</f>
        <v>316642.3</v>
      </c>
      <c r="O166" s="6">
        <f t="shared" si="131"/>
        <v>1.8180833950575639E-2</v>
      </c>
      <c r="Q166" s="23">
        <f t="shared" ref="Q166" si="136">TRUNC(K166*F166,2)</f>
        <v>316642.3</v>
      </c>
      <c r="R166" t="b">
        <f t="shared" ref="R166" si="137">Q166=N166</f>
        <v>1</v>
      </c>
      <c r="S166">
        <f>TRUNC(G166*1.25,2)</f>
        <v>316642.3</v>
      </c>
      <c r="T166" t="b">
        <f>S166=K166</f>
        <v>1</v>
      </c>
      <c r="U166" s="46">
        <f>L166+M166</f>
        <v>316642.3</v>
      </c>
      <c r="V166" t="b">
        <f>U166=N166</f>
        <v>1</v>
      </c>
      <c r="W166" s="46">
        <f t="shared" si="87"/>
        <v>316642.3</v>
      </c>
      <c r="X166" t="b">
        <f t="shared" si="88"/>
        <v>1</v>
      </c>
    </row>
    <row r="167" spans="1:24" ht="24" customHeight="1" x14ac:dyDescent="0.2">
      <c r="A167" s="3" t="s">
        <v>504</v>
      </c>
      <c r="B167" s="3"/>
      <c r="C167" s="3"/>
      <c r="D167" s="3" t="s">
        <v>285</v>
      </c>
      <c r="E167" s="3"/>
      <c r="F167" s="77"/>
      <c r="G167" s="4"/>
      <c r="H167" s="52"/>
      <c r="I167" s="3"/>
      <c r="J167" s="3"/>
      <c r="K167" s="3"/>
      <c r="L167" s="3"/>
      <c r="M167" s="3"/>
      <c r="N167" s="5">
        <f>N168</f>
        <v>363385.22</v>
      </c>
      <c r="O167" s="6">
        <f t="shared" si="131"/>
        <v>2.0864699204475829E-2</v>
      </c>
      <c r="W167" s="46">
        <f t="shared" si="87"/>
        <v>0</v>
      </c>
      <c r="X167" t="b">
        <f t="shared" si="88"/>
        <v>1</v>
      </c>
    </row>
    <row r="168" spans="1:24" ht="26.1" customHeight="1" x14ac:dyDescent="0.2">
      <c r="A168" s="7" t="s">
        <v>505</v>
      </c>
      <c r="B168" s="20" t="s">
        <v>301</v>
      </c>
      <c r="C168" s="21"/>
      <c r="D168" s="21" t="s">
        <v>285</v>
      </c>
      <c r="E168" s="22" t="s">
        <v>295</v>
      </c>
      <c r="F168" s="20">
        <v>1</v>
      </c>
      <c r="G168" s="20">
        <v>290708.18</v>
      </c>
      <c r="H168" s="53">
        <v>0.25</v>
      </c>
      <c r="I168" s="20">
        <f>K168-J168</f>
        <v>109015.56999999998</v>
      </c>
      <c r="J168" s="20">
        <f>TRUNC(K168*0.7,2)</f>
        <v>254369.65</v>
      </c>
      <c r="K168" s="20">
        <f>TRUNC(G168*1.25,2)</f>
        <v>363385.22</v>
      </c>
      <c r="L168" s="20">
        <f>N168-M168</f>
        <v>109015.56999999998</v>
      </c>
      <c r="M168" s="20">
        <f>TRUNC(J168*F168,2)</f>
        <v>254369.65</v>
      </c>
      <c r="N168" s="20">
        <f>TRUNC(K168*F168,2)</f>
        <v>363385.22</v>
      </c>
      <c r="O168" s="6">
        <f t="shared" si="131"/>
        <v>2.0864699204475829E-2</v>
      </c>
      <c r="Q168" s="23">
        <f t="shared" ref="Q168" si="138">TRUNC(K168*F168,2)</f>
        <v>363385.22</v>
      </c>
      <c r="R168" t="b">
        <f t="shared" ref="R168" si="139">Q168=N168</f>
        <v>1</v>
      </c>
      <c r="S168">
        <f>TRUNC(G168*1.25,2)</f>
        <v>363385.22</v>
      </c>
      <c r="T168" t="b">
        <f>S168=K168</f>
        <v>1</v>
      </c>
      <c r="U168" s="46">
        <f>L168+M168</f>
        <v>363385.22</v>
      </c>
      <c r="V168" t="b">
        <f>U168=N168</f>
        <v>1</v>
      </c>
      <c r="W168" s="46">
        <f t="shared" ref="W168:W175" si="140">I168+J168</f>
        <v>363385.22</v>
      </c>
      <c r="X168" t="b">
        <f t="shared" ref="X168:X175" si="141">W168=K168</f>
        <v>1</v>
      </c>
    </row>
    <row r="169" spans="1:24" ht="24" customHeight="1" x14ac:dyDescent="0.2">
      <c r="A169" s="3" t="s">
        <v>506</v>
      </c>
      <c r="B169" s="3"/>
      <c r="C169" s="3"/>
      <c r="D169" s="3" t="s">
        <v>286</v>
      </c>
      <c r="E169" s="3"/>
      <c r="F169" s="77"/>
      <c r="G169" s="4"/>
      <c r="H169" s="52"/>
      <c r="I169" s="3"/>
      <c r="J169" s="3"/>
      <c r="K169" s="3"/>
      <c r="L169" s="3"/>
      <c r="M169" s="3"/>
      <c r="N169" s="5">
        <f>N170</f>
        <v>828631.08</v>
      </c>
      <c r="O169" s="6">
        <f t="shared" si="131"/>
        <v>4.7577989648780843E-2</v>
      </c>
      <c r="W169" s="46">
        <f t="shared" si="140"/>
        <v>0</v>
      </c>
      <c r="X169" t="b">
        <f t="shared" si="141"/>
        <v>1</v>
      </c>
    </row>
    <row r="170" spans="1:24" ht="26.1" customHeight="1" x14ac:dyDescent="0.2">
      <c r="A170" s="7" t="s">
        <v>507</v>
      </c>
      <c r="B170" s="20" t="s">
        <v>302</v>
      </c>
      <c r="C170" s="21"/>
      <c r="D170" s="21" t="s">
        <v>303</v>
      </c>
      <c r="E170" s="22" t="s">
        <v>295</v>
      </c>
      <c r="F170" s="20">
        <v>1</v>
      </c>
      <c r="G170" s="20">
        <v>662904.87</v>
      </c>
      <c r="H170" s="53">
        <v>0.25</v>
      </c>
      <c r="I170" s="20">
        <f>K170-J170</f>
        <v>248589.32999999996</v>
      </c>
      <c r="J170" s="20">
        <f>TRUNC(K170*0.7,2)</f>
        <v>580041.75</v>
      </c>
      <c r="K170" s="20">
        <f>TRUNC(G170*1.25,2)</f>
        <v>828631.08</v>
      </c>
      <c r="L170" s="20">
        <f>N170-M170</f>
        <v>248589.32999999996</v>
      </c>
      <c r="M170" s="20">
        <f>TRUNC(J170*F170,2)</f>
        <v>580041.75</v>
      </c>
      <c r="N170" s="20">
        <f>TRUNC(K170*F170,2)</f>
        <v>828631.08</v>
      </c>
      <c r="O170" s="6">
        <f t="shared" si="131"/>
        <v>4.7577989648780843E-2</v>
      </c>
      <c r="Q170" s="23">
        <f t="shared" ref="Q170" si="142">TRUNC(K170*F170,2)</f>
        <v>828631.08</v>
      </c>
      <c r="R170" t="b">
        <f t="shared" ref="R170" si="143">Q170=N170</f>
        <v>1</v>
      </c>
      <c r="S170">
        <f>TRUNC(G170*1.25,2)</f>
        <v>828631.08</v>
      </c>
      <c r="T170" t="b">
        <f>S170=K170</f>
        <v>1</v>
      </c>
      <c r="U170" s="46">
        <f>L170+M170</f>
        <v>828631.08</v>
      </c>
      <c r="V170" t="b">
        <f>U170=N170</f>
        <v>1</v>
      </c>
      <c r="W170" s="46">
        <f t="shared" si="140"/>
        <v>828631.08</v>
      </c>
      <c r="X170" t="b">
        <f t="shared" si="141"/>
        <v>1</v>
      </c>
    </row>
    <row r="171" spans="1:24" ht="24" customHeight="1" x14ac:dyDescent="0.2">
      <c r="A171" s="3" t="s">
        <v>508</v>
      </c>
      <c r="B171" s="3"/>
      <c r="C171" s="3"/>
      <c r="D171" s="3" t="s">
        <v>287</v>
      </c>
      <c r="E171" s="3"/>
      <c r="F171" s="77"/>
      <c r="G171" s="4"/>
      <c r="H171" s="52"/>
      <c r="I171" s="3"/>
      <c r="J171" s="3"/>
      <c r="K171" s="3"/>
      <c r="L171" s="3"/>
      <c r="M171" s="3"/>
      <c r="N171" s="5">
        <f>N172</f>
        <v>49264.01</v>
      </c>
      <c r="O171" s="6">
        <f t="shared" si="131"/>
        <v>2.8286201355583189E-3</v>
      </c>
      <c r="W171" s="46">
        <f t="shared" si="140"/>
        <v>0</v>
      </c>
      <c r="X171" t="b">
        <f t="shared" si="141"/>
        <v>1</v>
      </c>
    </row>
    <row r="172" spans="1:24" ht="26.1" customHeight="1" x14ac:dyDescent="0.2">
      <c r="A172" s="7" t="s">
        <v>509</v>
      </c>
      <c r="B172" s="20" t="s">
        <v>304</v>
      </c>
      <c r="C172" s="21"/>
      <c r="D172" s="21" t="s">
        <v>287</v>
      </c>
      <c r="E172" s="22" t="s">
        <v>295</v>
      </c>
      <c r="F172" s="20">
        <v>1</v>
      </c>
      <c r="G172" s="20">
        <v>39411.21</v>
      </c>
      <c r="H172" s="53">
        <v>0.25</v>
      </c>
      <c r="I172" s="20">
        <f>K172-J172</f>
        <v>14779.21</v>
      </c>
      <c r="J172" s="20">
        <f>TRUNC(K172*0.7,2)</f>
        <v>34484.800000000003</v>
      </c>
      <c r="K172" s="20">
        <f>TRUNC(G172*1.25,2)</f>
        <v>49264.01</v>
      </c>
      <c r="L172" s="20">
        <f>N172-M172</f>
        <v>14779.21</v>
      </c>
      <c r="M172" s="20">
        <f>TRUNC(J172*F172,2)</f>
        <v>34484.800000000003</v>
      </c>
      <c r="N172" s="20">
        <f>TRUNC(K172*F172,2)</f>
        <v>49264.01</v>
      </c>
      <c r="O172" s="6">
        <f t="shared" si="131"/>
        <v>2.8286201355583189E-3</v>
      </c>
      <c r="Q172" s="23">
        <f t="shared" ref="Q172" si="144">TRUNC(K172*F172,2)</f>
        <v>49264.01</v>
      </c>
      <c r="R172" t="b">
        <f t="shared" ref="R172" si="145">Q172=N172</f>
        <v>1</v>
      </c>
      <c r="S172">
        <f>TRUNC(G172*1.25,2)</f>
        <v>49264.01</v>
      </c>
      <c r="T172" t="b">
        <f>S172=K172</f>
        <v>1</v>
      </c>
      <c r="U172" s="46">
        <f>L172+M172</f>
        <v>49264.01</v>
      </c>
      <c r="V172" t="b">
        <f>U172=N172</f>
        <v>1</v>
      </c>
      <c r="W172" s="46">
        <f t="shared" si="140"/>
        <v>49264.01</v>
      </c>
      <c r="X172" t="b">
        <f t="shared" si="141"/>
        <v>1</v>
      </c>
    </row>
    <row r="173" spans="1:24" ht="24" customHeight="1" x14ac:dyDescent="0.2">
      <c r="A173" s="3" t="s">
        <v>510</v>
      </c>
      <c r="B173" s="3"/>
      <c r="C173" s="3"/>
      <c r="D173" s="3" t="s">
        <v>288</v>
      </c>
      <c r="E173" s="3"/>
      <c r="F173" s="77"/>
      <c r="G173" s="4"/>
      <c r="H173" s="52"/>
      <c r="I173" s="3"/>
      <c r="J173" s="3"/>
      <c r="K173" s="3"/>
      <c r="L173" s="3"/>
      <c r="M173" s="3"/>
      <c r="N173" s="5">
        <f>SUM(N174:N175)</f>
        <v>687770.04</v>
      </c>
      <c r="O173" s="6">
        <f t="shared" si="131"/>
        <v>3.9490089900877948E-2</v>
      </c>
      <c r="W173" s="46">
        <f t="shared" si="140"/>
        <v>0</v>
      </c>
      <c r="X173" t="b">
        <f t="shared" si="141"/>
        <v>1</v>
      </c>
    </row>
    <row r="174" spans="1:24" ht="26.1" customHeight="1" x14ac:dyDescent="0.2">
      <c r="A174" s="7" t="s">
        <v>511</v>
      </c>
      <c r="B174" s="20" t="s">
        <v>305</v>
      </c>
      <c r="C174" s="21"/>
      <c r="D174" s="21" t="s">
        <v>306</v>
      </c>
      <c r="E174" s="22" t="s">
        <v>295</v>
      </c>
      <c r="F174" s="20">
        <v>1</v>
      </c>
      <c r="G174" s="20">
        <v>38874.434999999998</v>
      </c>
      <c r="H174" s="53">
        <v>0.25</v>
      </c>
      <c r="I174" s="20">
        <f>TRUNC(K174*0.6,2)</f>
        <v>29155.82</v>
      </c>
      <c r="J174" s="20">
        <f>K174-I174</f>
        <v>19437.22</v>
      </c>
      <c r="K174" s="20">
        <f>TRUNC(G174*1.25,2)</f>
        <v>48593.04</v>
      </c>
      <c r="L174" s="20">
        <f>N174-M174</f>
        <v>29155.82</v>
      </c>
      <c r="M174" s="20">
        <f>TRUNC(J174*F174,2)</f>
        <v>19437.22</v>
      </c>
      <c r="N174" s="20">
        <f>TRUNC(K174*F174,2)</f>
        <v>48593.04</v>
      </c>
      <c r="O174" s="6">
        <f t="shared" si="131"/>
        <v>2.7900946632641315E-3</v>
      </c>
      <c r="Q174" s="23">
        <f>TRUNC(K174*F174,2)</f>
        <v>48593.04</v>
      </c>
      <c r="R174" t="b">
        <f t="shared" ref="R174" si="146">Q174=N174</f>
        <v>1</v>
      </c>
      <c r="S174">
        <f>TRUNC(G174*1.25,2)</f>
        <v>48593.04</v>
      </c>
      <c r="T174" t="b">
        <f>S174=K174</f>
        <v>1</v>
      </c>
      <c r="U174" s="46">
        <f>L174+M174</f>
        <v>48593.04</v>
      </c>
      <c r="V174" t="b">
        <f>U174=N174</f>
        <v>1</v>
      </c>
      <c r="W174" s="46">
        <f t="shared" si="140"/>
        <v>48593.04</v>
      </c>
      <c r="X174" t="b">
        <f t="shared" si="141"/>
        <v>1</v>
      </c>
    </row>
    <row r="175" spans="1:24" ht="26.1" customHeight="1" x14ac:dyDescent="0.2">
      <c r="A175" s="7" t="s">
        <v>512</v>
      </c>
      <c r="B175" s="20" t="s">
        <v>307</v>
      </c>
      <c r="C175" s="21"/>
      <c r="D175" s="21" t="s">
        <v>524</v>
      </c>
      <c r="E175" s="22" t="s">
        <v>295</v>
      </c>
      <c r="F175" s="20"/>
      <c r="G175" s="20"/>
      <c r="H175" s="20"/>
      <c r="I175" s="20"/>
      <c r="J175" s="20"/>
      <c r="K175" s="20"/>
      <c r="L175" s="20"/>
      <c r="M175" s="20">
        <f>N175</f>
        <v>639177</v>
      </c>
      <c r="N175" s="20">
        <f>TRUNC(17416269.29*0.0367)</f>
        <v>639177</v>
      </c>
      <c r="O175" s="6">
        <f t="shared" ref="O175" si="147">N175/$N$176</f>
        <v>3.6699995237613817E-2</v>
      </c>
      <c r="Q175" s="23"/>
      <c r="U175" s="46">
        <f>L175+M175</f>
        <v>639177</v>
      </c>
      <c r="V175" t="b">
        <f>U175=N175</f>
        <v>1</v>
      </c>
      <c r="W175" s="46">
        <f t="shared" si="140"/>
        <v>0</v>
      </c>
      <c r="X175" t="b">
        <f t="shared" si="141"/>
        <v>1</v>
      </c>
    </row>
    <row r="176" spans="1:24" x14ac:dyDescent="0.2">
      <c r="A176" s="17"/>
      <c r="B176" s="17"/>
      <c r="C176" s="17"/>
      <c r="D176" s="17"/>
      <c r="E176" s="17"/>
      <c r="F176" s="26"/>
      <c r="G176" s="17"/>
      <c r="H176" s="17"/>
      <c r="I176" s="17"/>
      <c r="J176" s="17"/>
      <c r="K176" s="17" t="s">
        <v>289</v>
      </c>
      <c r="L176" s="26">
        <f>SUM(L6:L175)</f>
        <v>4924773.4886000017</v>
      </c>
      <c r="M176" s="26">
        <f>SUM(M6:M175)</f>
        <v>12491495.801400006</v>
      </c>
      <c r="N176" s="25">
        <f>L176+M176</f>
        <v>17416269.290000007</v>
      </c>
      <c r="O176" s="17"/>
      <c r="R176" s="23"/>
      <c r="U176" s="46">
        <f>L176+M176</f>
        <v>17416269.290000007</v>
      </c>
      <c r="V176" t="b">
        <f>U176=N176</f>
        <v>1</v>
      </c>
    </row>
    <row r="177" spans="1:21" x14ac:dyDescent="0.2">
      <c r="A177" s="19"/>
      <c r="B177" s="19"/>
      <c r="C177" s="19"/>
      <c r="D177" s="19"/>
      <c r="E177" s="19"/>
      <c r="F177" s="79"/>
      <c r="G177" s="19"/>
      <c r="H177" s="19"/>
      <c r="I177" s="19"/>
      <c r="J177" s="19"/>
      <c r="K177" s="19"/>
      <c r="L177" s="19"/>
      <c r="M177" s="19"/>
      <c r="N177" s="19"/>
      <c r="O177" s="19"/>
      <c r="Q177" s="23"/>
    </row>
    <row r="178" spans="1:21" x14ac:dyDescent="0.2">
      <c r="A178" s="92"/>
      <c r="B178" s="92"/>
      <c r="C178" s="92"/>
      <c r="D178" s="18" t="s">
        <v>290</v>
      </c>
      <c r="E178" s="17"/>
      <c r="F178" s="26"/>
      <c r="G178" s="17"/>
      <c r="H178" s="17"/>
      <c r="I178" s="17"/>
      <c r="J178" s="17"/>
      <c r="K178" s="83" t="s">
        <v>291</v>
      </c>
      <c r="L178" s="92"/>
      <c r="M178" s="96">
        <f>TRUNC(M180/1.25,2)</f>
        <v>13933015.43</v>
      </c>
      <c r="N178" s="96"/>
      <c r="O178" s="55"/>
    </row>
    <row r="179" spans="1:21" x14ac:dyDescent="0.2">
      <c r="A179" s="92"/>
      <c r="B179" s="92"/>
      <c r="C179" s="92"/>
      <c r="D179" s="18"/>
      <c r="E179" s="17"/>
      <c r="F179" s="26"/>
      <c r="G179" s="17"/>
      <c r="H179" s="17"/>
      <c r="I179" s="17"/>
      <c r="J179" s="17"/>
      <c r="K179" s="83" t="s">
        <v>292</v>
      </c>
      <c r="L179" s="92"/>
      <c r="M179" s="96">
        <f>M180-M178</f>
        <v>3483253.8600000069</v>
      </c>
      <c r="N179" s="96"/>
      <c r="O179" s="55"/>
      <c r="P179" s="56"/>
      <c r="U179" s="46" t="e">
        <f>#REF!+N6+N13+N22+N32+N56+N62+N73+N78+N82+N90+N104+N108+N114+N121+N135+N156+N161+N163+N165+N167+N169+N171+N173+N137+N153</f>
        <v>#REF!</v>
      </c>
    </row>
    <row r="180" spans="1:21" x14ac:dyDescent="0.2">
      <c r="A180" s="92"/>
      <c r="B180" s="92"/>
      <c r="C180" s="92"/>
      <c r="D180" s="18" t="s">
        <v>290</v>
      </c>
      <c r="E180" s="17"/>
      <c r="F180" s="26"/>
      <c r="G180" s="17"/>
      <c r="H180" s="17"/>
      <c r="I180" s="17"/>
      <c r="J180" s="17"/>
      <c r="K180" s="83" t="s">
        <v>293</v>
      </c>
      <c r="L180" s="92"/>
      <c r="M180" s="96">
        <f>N176</f>
        <v>17416269.290000007</v>
      </c>
      <c r="N180" s="96"/>
      <c r="O180" s="55"/>
      <c r="Q180" s="46" t="e">
        <f>#REF!+N12</f>
        <v>#REF!</v>
      </c>
    </row>
    <row r="181" spans="1:21" x14ac:dyDescent="0.2">
      <c r="A181" s="17"/>
      <c r="B181" s="17"/>
      <c r="C181" s="17"/>
      <c r="D181" s="18"/>
      <c r="E181" s="17"/>
      <c r="F181" s="26"/>
      <c r="G181" s="17"/>
      <c r="H181" s="17"/>
      <c r="I181" s="17"/>
      <c r="J181" s="17"/>
      <c r="K181" s="15"/>
      <c r="L181" s="17"/>
      <c r="M181" s="68"/>
      <c r="N181" s="68"/>
      <c r="O181" s="55"/>
      <c r="Q181" s="46"/>
    </row>
    <row r="182" spans="1:21" x14ac:dyDescent="0.2">
      <c r="A182" s="17"/>
      <c r="B182" s="17"/>
      <c r="C182" s="17"/>
      <c r="D182" s="18"/>
      <c r="E182" s="17"/>
      <c r="F182" s="26"/>
      <c r="G182" s="17"/>
      <c r="H182" s="17"/>
      <c r="I182" s="17"/>
      <c r="J182" s="17"/>
      <c r="K182" s="15"/>
      <c r="L182" s="17"/>
      <c r="M182" s="68"/>
      <c r="N182" s="72" t="s">
        <v>604</v>
      </c>
      <c r="O182" s="55"/>
      <c r="Q182" s="46"/>
    </row>
    <row r="183" spans="1:21" ht="60" customHeight="1" x14ac:dyDescent="0.2">
      <c r="A183" s="16"/>
      <c r="B183" s="16"/>
      <c r="C183" s="16"/>
      <c r="D183" s="16"/>
      <c r="E183" s="16"/>
      <c r="F183" s="80"/>
      <c r="G183" s="16"/>
      <c r="H183" s="16"/>
      <c r="I183" s="16"/>
      <c r="J183" s="16"/>
      <c r="K183" s="16"/>
      <c r="L183" s="16"/>
      <c r="M183" s="16"/>
      <c r="N183" s="16"/>
      <c r="O183" s="16"/>
    </row>
    <row r="184" spans="1:21" ht="69.95" customHeight="1" x14ac:dyDescent="0.2">
      <c r="A184" s="93"/>
      <c r="B184" s="93"/>
      <c r="C184" s="93"/>
      <c r="D184" s="93"/>
      <c r="E184" s="94" t="s">
        <v>348</v>
      </c>
      <c r="F184" s="95"/>
      <c r="G184" s="95"/>
      <c r="H184" s="95"/>
      <c r="I184" s="95"/>
      <c r="J184" s="95"/>
      <c r="K184" s="95"/>
      <c r="L184" s="94" t="s">
        <v>349</v>
      </c>
      <c r="M184" s="95"/>
      <c r="N184" s="95"/>
      <c r="O184" s="95"/>
      <c r="Q184" s="46"/>
    </row>
  </sheetData>
  <mergeCells count="33">
    <mergeCell ref="W6:X6"/>
    <mergeCell ref="A180:C180"/>
    <mergeCell ref="K180:L180"/>
    <mergeCell ref="A184:D184"/>
    <mergeCell ref="E184:K184"/>
    <mergeCell ref="L184:O184"/>
    <mergeCell ref="M180:N180"/>
    <mergeCell ref="A178:C178"/>
    <mergeCell ref="K178:L178"/>
    <mergeCell ref="A179:C179"/>
    <mergeCell ref="K179:L179"/>
    <mergeCell ref="M179:N179"/>
    <mergeCell ref="Q6:R6"/>
    <mergeCell ref="U6:V6"/>
    <mergeCell ref="M178:N178"/>
    <mergeCell ref="A3:O3"/>
    <mergeCell ref="A4:A5"/>
    <mergeCell ref="B4:B5"/>
    <mergeCell ref="C4:C5"/>
    <mergeCell ref="D4:D5"/>
    <mergeCell ref="E4:E5"/>
    <mergeCell ref="F4:F5"/>
    <mergeCell ref="G4:G5"/>
    <mergeCell ref="I4:K4"/>
    <mergeCell ref="L4:N4"/>
    <mergeCell ref="O4:O5"/>
    <mergeCell ref="H4:H5"/>
    <mergeCell ref="E1:G1"/>
    <mergeCell ref="I1:K1"/>
    <mergeCell ref="L1:O1"/>
    <mergeCell ref="E2:G2"/>
    <mergeCell ref="I2:K2"/>
    <mergeCell ref="L2:O2"/>
  </mergeCells>
  <phoneticPr fontId="32" type="noConversion"/>
  <pageMargins left="0.51181102362204722" right="0.51181102362204722" top="0.98425196850393704" bottom="0.98425196850393704" header="0.51181102362204722" footer="0.51181102362204722"/>
  <pageSetup paperSize="9" scale="51" fitToHeight="0" orientation="landscape" r:id="rId1"/>
  <headerFooter>
    <oddHeader xml:space="preserve">&amp;L </oddHeader>
    <oddFooter xml:space="preserve">&amp;L </oddFooter>
  </headerFooter>
  <rowBreaks count="3" manualBreakCount="3">
    <brk id="112" max="14" man="1"/>
    <brk id="138" max="14" man="1"/>
    <brk id="160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75306-8464-471C-B840-10DED0F90DA3}">
  <sheetPr>
    <pageSetUpPr fitToPage="1"/>
  </sheetPr>
  <dimension ref="A1:K70"/>
  <sheetViews>
    <sheetView view="pageBreakPreview" zoomScaleNormal="100" zoomScaleSheetLayoutView="100" workbookViewId="0">
      <pane xSplit="3" ySplit="5" topLeftCell="D32" activePane="bottomRight" state="frozen"/>
      <selection pane="topRight" activeCell="D1" sqref="D1"/>
      <selection pane="bottomLeft" activeCell="A2" sqref="A2"/>
      <selection pane="bottomRight" activeCell="B66" sqref="B66"/>
    </sheetView>
  </sheetViews>
  <sheetFormatPr defaultColWidth="9" defaultRowHeight="15" x14ac:dyDescent="0.25"/>
  <cols>
    <col min="1" max="1" width="4.875" style="38" bestFit="1" customWidth="1"/>
    <col min="2" max="2" width="61.625" style="30" bestFit="1" customWidth="1"/>
    <col min="3" max="3" width="14.75" style="30" bestFit="1" customWidth="1"/>
    <col min="4" max="4" width="12.875" style="30" bestFit="1" customWidth="1"/>
    <col min="5" max="10" width="13.25" style="30" bestFit="1" customWidth="1"/>
    <col min="11" max="11" width="12.875" style="30" bestFit="1" customWidth="1"/>
    <col min="12" max="16384" width="9" style="30"/>
  </cols>
  <sheetData>
    <row r="1" spans="1:11" x14ac:dyDescent="0.25">
      <c r="B1" s="1" t="s">
        <v>0</v>
      </c>
    </row>
    <row r="2" spans="1:11" x14ac:dyDescent="0.25">
      <c r="B2" s="15" t="s">
        <v>602</v>
      </c>
    </row>
    <row r="4" spans="1:11" x14ac:dyDescent="0.25">
      <c r="A4" s="97" t="s">
        <v>603</v>
      </c>
      <c r="B4" s="97"/>
      <c r="C4" s="97"/>
      <c r="D4" s="97"/>
      <c r="E4" s="97"/>
      <c r="F4" s="97"/>
      <c r="G4" s="97"/>
      <c r="H4" s="97"/>
      <c r="I4" s="97"/>
      <c r="J4" s="97"/>
      <c r="K4" s="97"/>
    </row>
    <row r="5" spans="1:11" x14ac:dyDescent="0.25">
      <c r="A5" s="27" t="s">
        <v>326</v>
      </c>
      <c r="B5" s="28" t="s">
        <v>327</v>
      </c>
      <c r="C5" s="28" t="s">
        <v>328</v>
      </c>
      <c r="D5" s="29" t="s">
        <v>329</v>
      </c>
      <c r="E5" s="29" t="s">
        <v>330</v>
      </c>
      <c r="F5" s="29" t="s">
        <v>331</v>
      </c>
      <c r="G5" s="29" t="s">
        <v>332</v>
      </c>
      <c r="H5" s="29" t="s">
        <v>333</v>
      </c>
      <c r="I5" s="29" t="s">
        <v>334</v>
      </c>
      <c r="J5" s="29" t="s">
        <v>335</v>
      </c>
      <c r="K5" s="29" t="s">
        <v>336</v>
      </c>
    </row>
    <row r="6" spans="1:11" x14ac:dyDescent="0.25">
      <c r="A6" s="102">
        <v>1</v>
      </c>
      <c r="B6" s="102" t="s">
        <v>19</v>
      </c>
      <c r="C6" s="103">
        <f>'Orçamento Sintético'!N6</f>
        <v>130592</v>
      </c>
      <c r="D6" s="75">
        <v>1</v>
      </c>
      <c r="E6" s="33"/>
      <c r="F6" s="33"/>
      <c r="G6" s="33"/>
      <c r="H6" s="33"/>
      <c r="I6" s="33"/>
      <c r="J6" s="33"/>
      <c r="K6" s="33">
        <f>SUM(D6:J6)</f>
        <v>1</v>
      </c>
    </row>
    <row r="7" spans="1:11" x14ac:dyDescent="0.25">
      <c r="A7" s="102"/>
      <c r="B7" s="102"/>
      <c r="C7" s="103"/>
      <c r="D7" s="34">
        <f t="shared" ref="D7" si="0">TRUNC($C$6*D6,2)</f>
        <v>130592</v>
      </c>
      <c r="E7" s="34">
        <f t="shared" ref="E7:J7" si="1">TRUNC($C$6*E6,2)</f>
        <v>0</v>
      </c>
      <c r="F7" s="34"/>
      <c r="G7" s="34"/>
      <c r="H7" s="34"/>
      <c r="I7" s="34">
        <f t="shared" si="1"/>
        <v>0</v>
      </c>
      <c r="J7" s="34">
        <f t="shared" si="1"/>
        <v>0</v>
      </c>
      <c r="K7" s="34">
        <f>SUM(D7:J7)</f>
        <v>130592</v>
      </c>
    </row>
    <row r="8" spans="1:11" x14ac:dyDescent="0.25">
      <c r="A8" s="111">
        <v>2</v>
      </c>
      <c r="B8" s="35" t="s">
        <v>22</v>
      </c>
      <c r="C8" s="36"/>
      <c r="D8" s="37"/>
      <c r="E8" s="37"/>
      <c r="F8" s="37"/>
      <c r="G8" s="37"/>
      <c r="H8" s="37"/>
      <c r="I8" s="37"/>
      <c r="J8" s="37"/>
      <c r="K8" s="37"/>
    </row>
    <row r="9" spans="1:11" x14ac:dyDescent="0.25">
      <c r="A9" s="98" t="s">
        <v>337</v>
      </c>
      <c r="B9" s="99" t="s">
        <v>23</v>
      </c>
      <c r="C9" s="100">
        <f>'Orçamento Sintético'!N13</f>
        <v>250656.9</v>
      </c>
      <c r="D9" s="31">
        <v>1</v>
      </c>
      <c r="E9" s="31"/>
      <c r="F9" s="31"/>
      <c r="G9" s="31"/>
      <c r="H9" s="31"/>
      <c r="I9" s="31"/>
      <c r="J9" s="31"/>
      <c r="K9" s="31">
        <f>SUM(D9:J9)</f>
        <v>1</v>
      </c>
    </row>
    <row r="10" spans="1:11" x14ac:dyDescent="0.25">
      <c r="A10" s="99"/>
      <c r="B10" s="99"/>
      <c r="C10" s="100"/>
      <c r="D10" s="32">
        <f t="shared" ref="D10:J10" si="2">TRUNC($C$9*D9,2)</f>
        <v>250656.9</v>
      </c>
      <c r="E10" s="32">
        <f t="shared" si="2"/>
        <v>0</v>
      </c>
      <c r="F10" s="32">
        <f t="shared" si="2"/>
        <v>0</v>
      </c>
      <c r="G10" s="32">
        <f t="shared" si="2"/>
        <v>0</v>
      </c>
      <c r="H10" s="32">
        <f t="shared" si="2"/>
        <v>0</v>
      </c>
      <c r="I10" s="32">
        <f t="shared" si="2"/>
        <v>0</v>
      </c>
      <c r="J10" s="32">
        <f t="shared" si="2"/>
        <v>0</v>
      </c>
      <c r="K10" s="32">
        <f>SUM(D10:J10)</f>
        <v>250656.9</v>
      </c>
    </row>
    <row r="11" spans="1:11" x14ac:dyDescent="0.25">
      <c r="A11" s="104" t="s">
        <v>360</v>
      </c>
      <c r="B11" s="102" t="s">
        <v>43</v>
      </c>
      <c r="C11" s="103">
        <f>'Orçamento Sintético'!N22</f>
        <v>1086597.3600000001</v>
      </c>
      <c r="D11" s="33">
        <v>0.14299999999999999</v>
      </c>
      <c r="E11" s="33">
        <v>0.14299999999999999</v>
      </c>
      <c r="F11" s="33">
        <v>0.14299999999999999</v>
      </c>
      <c r="G11" s="33">
        <v>0.14299999999999999</v>
      </c>
      <c r="H11" s="33">
        <v>0.14299999999999999</v>
      </c>
      <c r="I11" s="33">
        <v>0.14299999999999999</v>
      </c>
      <c r="J11" s="33">
        <v>0.14199999999999999</v>
      </c>
      <c r="K11" s="33">
        <f>SUM(D11:J11)</f>
        <v>1</v>
      </c>
    </row>
    <row r="12" spans="1:11" x14ac:dyDescent="0.25">
      <c r="A12" s="102"/>
      <c r="B12" s="102"/>
      <c r="C12" s="103"/>
      <c r="D12" s="34">
        <f t="shared" ref="D12:I12" si="3">TRUNC($C$11*D11,2)</f>
        <v>155383.42000000001</v>
      </c>
      <c r="E12" s="34">
        <f t="shared" si="3"/>
        <v>155383.42000000001</v>
      </c>
      <c r="F12" s="34">
        <f t="shared" si="3"/>
        <v>155383.42000000001</v>
      </c>
      <c r="G12" s="34">
        <f t="shared" si="3"/>
        <v>155383.42000000001</v>
      </c>
      <c r="H12" s="34">
        <f t="shared" si="3"/>
        <v>155383.42000000001</v>
      </c>
      <c r="I12" s="34">
        <f t="shared" si="3"/>
        <v>155383.42000000001</v>
      </c>
      <c r="J12" s="34">
        <f>TRUNC($C$11*J11,2)+0.02</f>
        <v>154296.84</v>
      </c>
      <c r="K12" s="34">
        <f>SUM(D12:J12)</f>
        <v>1086597.3600000001</v>
      </c>
    </row>
    <row r="13" spans="1:11" x14ac:dyDescent="0.25">
      <c r="A13" s="98" t="s">
        <v>369</v>
      </c>
      <c r="B13" s="99" t="s">
        <v>60</v>
      </c>
      <c r="C13" s="100">
        <f>'Orçamento Sintético'!N32</f>
        <v>443023.68</v>
      </c>
      <c r="D13" s="31">
        <v>1</v>
      </c>
      <c r="E13" s="31"/>
      <c r="F13" s="31"/>
      <c r="G13" s="31"/>
      <c r="H13" s="31"/>
      <c r="I13" s="31"/>
      <c r="J13" s="31"/>
      <c r="K13" s="31">
        <f>SUM(D13:J13)</f>
        <v>1</v>
      </c>
    </row>
    <row r="14" spans="1:11" x14ac:dyDescent="0.25">
      <c r="A14" s="99"/>
      <c r="B14" s="99"/>
      <c r="C14" s="100"/>
      <c r="D14" s="32">
        <f t="shared" ref="D14:J14" si="4">TRUNC($C$13*D13,2)</f>
        <v>443023.68</v>
      </c>
      <c r="E14" s="32">
        <f t="shared" si="4"/>
        <v>0</v>
      </c>
      <c r="F14" s="32">
        <f t="shared" si="4"/>
        <v>0</v>
      </c>
      <c r="G14" s="32">
        <f t="shared" si="4"/>
        <v>0</v>
      </c>
      <c r="H14" s="32">
        <f t="shared" si="4"/>
        <v>0</v>
      </c>
      <c r="I14" s="32">
        <f t="shared" si="4"/>
        <v>0</v>
      </c>
      <c r="J14" s="32">
        <f t="shared" si="4"/>
        <v>0</v>
      </c>
      <c r="K14" s="32">
        <f>SUM(D14:J14)</f>
        <v>443023.68</v>
      </c>
    </row>
    <row r="15" spans="1:11" x14ac:dyDescent="0.25">
      <c r="A15" s="104" t="s">
        <v>393</v>
      </c>
      <c r="B15" s="102" t="s">
        <v>104</v>
      </c>
      <c r="C15" s="103">
        <f>'Orçamento Sintético'!N56</f>
        <v>36527.39</v>
      </c>
      <c r="D15" s="33">
        <v>0.5</v>
      </c>
      <c r="E15" s="33">
        <v>0.5</v>
      </c>
      <c r="F15" s="33"/>
      <c r="G15" s="33"/>
      <c r="H15" s="33"/>
      <c r="I15" s="33"/>
      <c r="J15" s="33"/>
      <c r="K15" s="33">
        <f>SUM(D15:J15)</f>
        <v>1</v>
      </c>
    </row>
    <row r="16" spans="1:11" x14ac:dyDescent="0.25">
      <c r="A16" s="102"/>
      <c r="B16" s="102"/>
      <c r="C16" s="103"/>
      <c r="D16" s="34">
        <f>TRUNC($C$15*D15,2)+0.01</f>
        <v>18263.699999999997</v>
      </c>
      <c r="E16" s="34">
        <f t="shared" ref="E16:J16" si="5">TRUNC($C$15*E15,2)</f>
        <v>18263.689999999999</v>
      </c>
      <c r="F16" s="34">
        <f t="shared" si="5"/>
        <v>0</v>
      </c>
      <c r="G16" s="34">
        <f t="shared" si="5"/>
        <v>0</v>
      </c>
      <c r="H16" s="34">
        <f t="shared" si="5"/>
        <v>0</v>
      </c>
      <c r="I16" s="34">
        <f t="shared" si="5"/>
        <v>0</v>
      </c>
      <c r="J16" s="34">
        <f t="shared" si="5"/>
        <v>0</v>
      </c>
      <c r="K16" s="34">
        <f>SUM(D16:J16)</f>
        <v>36527.39</v>
      </c>
    </row>
    <row r="17" spans="1:11" x14ac:dyDescent="0.25">
      <c r="A17" s="98" t="s">
        <v>399</v>
      </c>
      <c r="B17" s="99" t="s">
        <v>116</v>
      </c>
      <c r="C17" s="100">
        <f>'Orçamento Sintético'!N62</f>
        <v>2301768.7100000004</v>
      </c>
      <c r="D17" s="31">
        <v>0.5</v>
      </c>
      <c r="E17" s="31">
        <v>0.5</v>
      </c>
      <c r="F17" s="31"/>
      <c r="G17" s="31"/>
      <c r="H17" s="31"/>
      <c r="I17" s="31"/>
      <c r="J17" s="31"/>
      <c r="K17" s="31">
        <f>SUM(D17:J17)</f>
        <v>1</v>
      </c>
    </row>
    <row r="18" spans="1:11" x14ac:dyDescent="0.25">
      <c r="A18" s="99"/>
      <c r="B18" s="99"/>
      <c r="C18" s="100"/>
      <c r="D18" s="32">
        <f t="shared" ref="D18:J18" si="6">TRUNC($C$17*D17,2)</f>
        <v>1150884.3500000001</v>
      </c>
      <c r="E18" s="32">
        <f>TRUNC($C$17*E17,2)+0.01</f>
        <v>1150884.3600000001</v>
      </c>
      <c r="F18" s="32">
        <f t="shared" si="6"/>
        <v>0</v>
      </c>
      <c r="G18" s="32">
        <f t="shared" si="6"/>
        <v>0</v>
      </c>
      <c r="H18" s="32">
        <f t="shared" si="6"/>
        <v>0</v>
      </c>
      <c r="I18" s="32">
        <f t="shared" si="6"/>
        <v>0</v>
      </c>
      <c r="J18" s="32">
        <f t="shared" si="6"/>
        <v>0</v>
      </c>
      <c r="K18" s="32">
        <f>SUM(D18:J18)</f>
        <v>2301768.71</v>
      </c>
    </row>
    <row r="19" spans="1:11" x14ac:dyDescent="0.25">
      <c r="A19" s="104" t="s">
        <v>410</v>
      </c>
      <c r="B19" s="102" t="s">
        <v>137</v>
      </c>
      <c r="C19" s="103">
        <f>'Orçamento Sintético'!N73</f>
        <v>510419.95000000007</v>
      </c>
      <c r="D19" s="33">
        <v>0.25</v>
      </c>
      <c r="E19" s="33">
        <v>0.25</v>
      </c>
      <c r="F19" s="33">
        <v>0.5</v>
      </c>
      <c r="G19" s="33"/>
      <c r="H19" s="33"/>
      <c r="I19" s="33"/>
      <c r="J19" s="33"/>
      <c r="K19" s="33">
        <f>SUM(D19:J19)</f>
        <v>1</v>
      </c>
    </row>
    <row r="20" spans="1:11" x14ac:dyDescent="0.25">
      <c r="A20" s="102"/>
      <c r="B20" s="102"/>
      <c r="C20" s="103"/>
      <c r="D20" s="34">
        <f t="shared" ref="D20:J20" si="7">TRUNC($C$19*D19,2)</f>
        <v>127604.98</v>
      </c>
      <c r="E20" s="34">
        <f>TRUNC($C$19*E19,2)+0.01</f>
        <v>127604.98999999999</v>
      </c>
      <c r="F20" s="34">
        <f>TRUNC($C$19*F19,2)+0.01</f>
        <v>255209.98</v>
      </c>
      <c r="G20" s="34">
        <f t="shared" si="7"/>
        <v>0</v>
      </c>
      <c r="H20" s="34">
        <f t="shared" si="7"/>
        <v>0</v>
      </c>
      <c r="I20" s="34">
        <f t="shared" si="7"/>
        <v>0</v>
      </c>
      <c r="J20" s="34">
        <f t="shared" si="7"/>
        <v>0</v>
      </c>
      <c r="K20" s="34">
        <f>SUM(D20:J20)</f>
        <v>510419.94999999995</v>
      </c>
    </row>
    <row r="21" spans="1:11" x14ac:dyDescent="0.25">
      <c r="A21" s="98" t="s">
        <v>415</v>
      </c>
      <c r="B21" s="99" t="s">
        <v>338</v>
      </c>
      <c r="C21" s="100">
        <f>'Orçamento Sintético'!N78</f>
        <v>95436.950000000012</v>
      </c>
      <c r="D21" s="31">
        <v>0.5</v>
      </c>
      <c r="E21" s="31">
        <v>0.5</v>
      </c>
      <c r="F21" s="31"/>
      <c r="G21" s="31"/>
      <c r="H21" s="31"/>
      <c r="I21" s="31"/>
      <c r="J21" s="31"/>
      <c r="K21" s="31">
        <f>SUM(D21:J21)</f>
        <v>1</v>
      </c>
    </row>
    <row r="22" spans="1:11" x14ac:dyDescent="0.25">
      <c r="A22" s="99"/>
      <c r="B22" s="99"/>
      <c r="C22" s="100"/>
      <c r="D22" s="32">
        <f t="shared" ref="D22:J22" si="8">TRUNC($C$21*D21,2)</f>
        <v>47718.47</v>
      </c>
      <c r="E22" s="32">
        <f>TRUNC($C$21*E21,2)+0.01</f>
        <v>47718.48</v>
      </c>
      <c r="F22" s="32">
        <f t="shared" si="8"/>
        <v>0</v>
      </c>
      <c r="G22" s="32">
        <f t="shared" si="8"/>
        <v>0</v>
      </c>
      <c r="H22" s="32">
        <f t="shared" si="8"/>
        <v>0</v>
      </c>
      <c r="I22" s="32">
        <f t="shared" si="8"/>
        <v>0</v>
      </c>
      <c r="J22" s="32">
        <f t="shared" si="8"/>
        <v>0</v>
      </c>
      <c r="K22" s="32">
        <f>SUM(D22:J22)</f>
        <v>95436.950000000012</v>
      </c>
    </row>
    <row r="23" spans="1:11" x14ac:dyDescent="0.25">
      <c r="A23" s="104" t="s">
        <v>419</v>
      </c>
      <c r="B23" s="102" t="s">
        <v>152</v>
      </c>
      <c r="C23" s="103">
        <f>'Orçamento Sintético'!N82</f>
        <v>451697.07999999996</v>
      </c>
      <c r="D23" s="33"/>
      <c r="E23" s="33">
        <v>0.5</v>
      </c>
      <c r="F23" s="33">
        <v>0.5</v>
      </c>
      <c r="G23" s="33"/>
      <c r="H23" s="33"/>
      <c r="I23" s="33"/>
      <c r="J23" s="33"/>
      <c r="K23" s="33">
        <f>SUM(D23:J23)</f>
        <v>1</v>
      </c>
    </row>
    <row r="24" spans="1:11" x14ac:dyDescent="0.25">
      <c r="A24" s="102"/>
      <c r="B24" s="102"/>
      <c r="C24" s="103"/>
      <c r="D24" s="34">
        <f t="shared" ref="D24:J24" si="9">TRUNC($C$23*D23,2)</f>
        <v>0</v>
      </c>
      <c r="E24" s="34">
        <f t="shared" si="9"/>
        <v>225848.54</v>
      </c>
      <c r="F24" s="34">
        <f t="shared" si="9"/>
        <v>225848.54</v>
      </c>
      <c r="G24" s="34">
        <f t="shared" si="9"/>
        <v>0</v>
      </c>
      <c r="H24" s="34">
        <f t="shared" si="9"/>
        <v>0</v>
      </c>
      <c r="I24" s="34">
        <f t="shared" si="9"/>
        <v>0</v>
      </c>
      <c r="J24" s="34">
        <f t="shared" si="9"/>
        <v>0</v>
      </c>
      <c r="K24" s="34">
        <f>SUM(D24:J24)</f>
        <v>451697.08</v>
      </c>
    </row>
    <row r="25" spans="1:11" x14ac:dyDescent="0.25">
      <c r="A25" s="98" t="s">
        <v>427</v>
      </c>
      <c r="B25" s="99" t="s">
        <v>167</v>
      </c>
      <c r="C25" s="100">
        <f>'Orçamento Sintético'!N90</f>
        <v>1038844.2399999999</v>
      </c>
      <c r="D25" s="31"/>
      <c r="E25" s="31"/>
      <c r="F25" s="31">
        <v>0.25</v>
      </c>
      <c r="G25" s="31">
        <v>0.5</v>
      </c>
      <c r="H25" s="31">
        <v>0.25</v>
      </c>
      <c r="I25" s="31"/>
      <c r="J25" s="31"/>
      <c r="K25" s="31">
        <f>SUM(D25:J25)</f>
        <v>1</v>
      </c>
    </row>
    <row r="26" spans="1:11" x14ac:dyDescent="0.25">
      <c r="A26" s="99"/>
      <c r="B26" s="99"/>
      <c r="C26" s="100"/>
      <c r="D26" s="32">
        <f t="shared" ref="D26:J26" si="10">TRUNC($C$25*D25,2)</f>
        <v>0</v>
      </c>
      <c r="E26" s="32">
        <f t="shared" si="10"/>
        <v>0</v>
      </c>
      <c r="F26" s="32">
        <f t="shared" si="10"/>
        <v>259711.06</v>
      </c>
      <c r="G26" s="32">
        <f t="shared" si="10"/>
        <v>519422.12</v>
      </c>
      <c r="H26" s="32">
        <f>TRUNC($C$25*H25,2)</f>
        <v>259711.06</v>
      </c>
      <c r="I26" s="32">
        <f t="shared" si="10"/>
        <v>0</v>
      </c>
      <c r="J26" s="32">
        <f t="shared" si="10"/>
        <v>0</v>
      </c>
      <c r="K26" s="32">
        <f>SUM(D26:J26)</f>
        <v>1038844.24</v>
      </c>
    </row>
    <row r="27" spans="1:11" x14ac:dyDescent="0.25">
      <c r="A27" s="104" t="s">
        <v>441</v>
      </c>
      <c r="B27" s="102" t="s">
        <v>189</v>
      </c>
      <c r="C27" s="103">
        <f>'Orçamento Sintético'!N104</f>
        <v>224015.78</v>
      </c>
      <c r="D27" s="33">
        <v>0.3</v>
      </c>
      <c r="E27" s="33">
        <v>0.3</v>
      </c>
      <c r="F27" s="33">
        <v>0.4</v>
      </c>
      <c r="G27" s="33"/>
      <c r="H27" s="33"/>
      <c r="I27" s="33"/>
      <c r="J27" s="33"/>
      <c r="K27" s="33">
        <f>SUM(D27:J27)</f>
        <v>1</v>
      </c>
    </row>
    <row r="28" spans="1:11" x14ac:dyDescent="0.25">
      <c r="A28" s="102"/>
      <c r="B28" s="102"/>
      <c r="C28" s="103"/>
      <c r="D28" s="34">
        <f t="shared" ref="D28:J28" si="11">TRUNC($C$27*D27,2)</f>
        <v>67204.73</v>
      </c>
      <c r="E28" s="34">
        <f t="shared" si="11"/>
        <v>67204.73</v>
      </c>
      <c r="F28" s="34">
        <f>TRUNC($C$27*F27,2)+0.01</f>
        <v>89606.319999999992</v>
      </c>
      <c r="G28" s="34">
        <f t="shared" si="11"/>
        <v>0</v>
      </c>
      <c r="H28" s="34">
        <f t="shared" si="11"/>
        <v>0</v>
      </c>
      <c r="I28" s="34">
        <f t="shared" si="11"/>
        <v>0</v>
      </c>
      <c r="J28" s="34">
        <f t="shared" si="11"/>
        <v>0</v>
      </c>
      <c r="K28" s="34">
        <f>SUM(D28:J28)</f>
        <v>224015.77999999997</v>
      </c>
    </row>
    <row r="29" spans="1:11" x14ac:dyDescent="0.25">
      <c r="A29" s="98" t="s">
        <v>445</v>
      </c>
      <c r="B29" s="99" t="s">
        <v>196</v>
      </c>
      <c r="C29" s="100">
        <f>'Orçamento Sintético'!N108</f>
        <v>1257728.01</v>
      </c>
      <c r="D29" s="31"/>
      <c r="E29" s="31">
        <v>0.3</v>
      </c>
      <c r="F29" s="31">
        <v>0.3</v>
      </c>
      <c r="G29" s="31">
        <v>0.3</v>
      </c>
      <c r="H29" s="31"/>
      <c r="I29" s="31">
        <v>0.1</v>
      </c>
      <c r="J29" s="31"/>
      <c r="K29" s="31">
        <f>SUM(D29:J29)</f>
        <v>0.99999999999999989</v>
      </c>
    </row>
    <row r="30" spans="1:11" x14ac:dyDescent="0.25">
      <c r="A30" s="99"/>
      <c r="B30" s="99"/>
      <c r="C30" s="100"/>
      <c r="D30" s="32">
        <f t="shared" ref="D30:J30" si="12">TRUNC($C$29*D29,2)</f>
        <v>0</v>
      </c>
      <c r="E30" s="32">
        <f t="shared" si="12"/>
        <v>377318.40000000002</v>
      </c>
      <c r="F30" s="32">
        <f t="shared" si="12"/>
        <v>377318.40000000002</v>
      </c>
      <c r="G30" s="32">
        <f t="shared" si="12"/>
        <v>377318.40000000002</v>
      </c>
      <c r="H30" s="32">
        <f t="shared" si="12"/>
        <v>0</v>
      </c>
      <c r="I30" s="32">
        <f>TRUNC($C$29*I29,2)+0.01</f>
        <v>125772.81</v>
      </c>
      <c r="J30" s="32">
        <f t="shared" si="12"/>
        <v>0</v>
      </c>
      <c r="K30" s="32">
        <f>SUM(D30:J30)</f>
        <v>1257728.0100000002</v>
      </c>
    </row>
    <row r="31" spans="1:11" x14ac:dyDescent="0.25">
      <c r="A31" s="104" t="s">
        <v>451</v>
      </c>
      <c r="B31" s="102" t="s">
        <v>202</v>
      </c>
      <c r="C31" s="103">
        <f>'Orçamento Sintético'!N114</f>
        <v>208301.01</v>
      </c>
      <c r="D31" s="33"/>
      <c r="E31" s="33"/>
      <c r="F31" s="33"/>
      <c r="G31" s="33">
        <v>0.3</v>
      </c>
      <c r="H31" s="33">
        <v>0.3</v>
      </c>
      <c r="I31" s="33">
        <v>0.3</v>
      </c>
      <c r="J31" s="33">
        <v>0.1</v>
      </c>
      <c r="K31" s="33">
        <f>SUM(D31:J31)</f>
        <v>0.99999999999999989</v>
      </c>
    </row>
    <row r="32" spans="1:11" x14ac:dyDescent="0.25">
      <c r="A32" s="102"/>
      <c r="B32" s="102"/>
      <c r="C32" s="103"/>
      <c r="D32" s="34">
        <f t="shared" ref="D32:I32" si="13">TRUNC($C$31*D31,2)</f>
        <v>0</v>
      </c>
      <c r="E32" s="34">
        <f t="shared" si="13"/>
        <v>0</v>
      </c>
      <c r="F32" s="34">
        <f t="shared" si="13"/>
        <v>0</v>
      </c>
      <c r="G32" s="34">
        <f t="shared" si="13"/>
        <v>62490.3</v>
      </c>
      <c r="H32" s="34">
        <f t="shared" si="13"/>
        <v>62490.3</v>
      </c>
      <c r="I32" s="34">
        <f t="shared" si="13"/>
        <v>62490.3</v>
      </c>
      <c r="J32" s="34">
        <f>TRUNC($C$31*J31,2)+0.01</f>
        <v>20830.109999999997</v>
      </c>
      <c r="K32" s="34">
        <f>SUM(D32:J32)</f>
        <v>208301.01</v>
      </c>
    </row>
    <row r="33" spans="1:11" x14ac:dyDescent="0.25">
      <c r="A33" s="98" t="s">
        <v>458</v>
      </c>
      <c r="B33" s="99" t="s">
        <v>215</v>
      </c>
      <c r="C33" s="100">
        <f>'Orçamento Sintético'!N121</f>
        <v>1832155.1</v>
      </c>
      <c r="D33" s="31"/>
      <c r="E33" s="31"/>
      <c r="F33" s="31"/>
      <c r="G33" s="31"/>
      <c r="H33" s="31">
        <v>0.25</v>
      </c>
      <c r="I33" s="31">
        <v>0.5</v>
      </c>
      <c r="J33" s="31">
        <v>0.25</v>
      </c>
      <c r="K33" s="31">
        <f>SUM(D33:J33)</f>
        <v>1</v>
      </c>
    </row>
    <row r="34" spans="1:11" x14ac:dyDescent="0.25">
      <c r="A34" s="99"/>
      <c r="B34" s="99"/>
      <c r="C34" s="100"/>
      <c r="D34" s="32">
        <f t="shared" ref="D34:I34" si="14">TRUNC($C$33*D33,2)</f>
        <v>0</v>
      </c>
      <c r="E34" s="32">
        <f t="shared" si="14"/>
        <v>0</v>
      </c>
      <c r="F34" s="32">
        <f t="shared" si="14"/>
        <v>0</v>
      </c>
      <c r="G34" s="32">
        <f t="shared" si="14"/>
        <v>0</v>
      </c>
      <c r="H34" s="32">
        <f t="shared" si="14"/>
        <v>458038.77</v>
      </c>
      <c r="I34" s="32">
        <f t="shared" si="14"/>
        <v>916077.55</v>
      </c>
      <c r="J34" s="32">
        <f>TRUNC($C$33*J33,2)+0.01</f>
        <v>458038.78</v>
      </c>
      <c r="K34" s="32">
        <f>SUM(D34:J34)</f>
        <v>1832155.1</v>
      </c>
    </row>
    <row r="35" spans="1:11" x14ac:dyDescent="0.25">
      <c r="A35" s="104" t="s">
        <v>472</v>
      </c>
      <c r="B35" s="102" t="s">
        <v>321</v>
      </c>
      <c r="C35" s="103">
        <f>'Orçamento Sintético'!N135</f>
        <v>41812.26</v>
      </c>
      <c r="D35" s="33"/>
      <c r="E35" s="33"/>
      <c r="F35" s="33"/>
      <c r="G35" s="33"/>
      <c r="H35" s="33"/>
      <c r="I35" s="33">
        <v>1</v>
      </c>
      <c r="J35" s="33"/>
      <c r="K35" s="33">
        <f>SUM(D35:J35)</f>
        <v>1</v>
      </c>
    </row>
    <row r="36" spans="1:11" x14ac:dyDescent="0.25">
      <c r="A36" s="102"/>
      <c r="B36" s="102"/>
      <c r="C36" s="103"/>
      <c r="D36" s="34">
        <f t="shared" ref="D36:J36" si="15">TRUNC($C$35*D35,2)</f>
        <v>0</v>
      </c>
      <c r="E36" s="34">
        <f t="shared" si="15"/>
        <v>0</v>
      </c>
      <c r="F36" s="34">
        <f t="shared" si="15"/>
        <v>0</v>
      </c>
      <c r="G36" s="34">
        <f t="shared" si="15"/>
        <v>0</v>
      </c>
      <c r="H36" s="34">
        <f t="shared" si="15"/>
        <v>0</v>
      </c>
      <c r="I36" s="34">
        <f t="shared" si="15"/>
        <v>41812.26</v>
      </c>
      <c r="J36" s="34">
        <f t="shared" si="15"/>
        <v>0</v>
      </c>
      <c r="K36" s="34">
        <f>SUM(D36:J36)</f>
        <v>41812.26</v>
      </c>
    </row>
    <row r="37" spans="1:11" x14ac:dyDescent="0.25">
      <c r="A37" s="98" t="s">
        <v>474</v>
      </c>
      <c r="B37" s="99" t="s">
        <v>245</v>
      </c>
      <c r="C37" s="100">
        <f>'Orçamento Sintético'!N137</f>
        <v>261466.01000000004</v>
      </c>
      <c r="D37" s="31"/>
      <c r="E37" s="31"/>
      <c r="F37" s="31"/>
      <c r="G37" s="31"/>
      <c r="H37" s="31"/>
      <c r="I37" s="31"/>
      <c r="J37" s="31">
        <v>1</v>
      </c>
      <c r="K37" s="31">
        <f>SUM(D37:J37)</f>
        <v>1</v>
      </c>
    </row>
    <row r="38" spans="1:11" x14ac:dyDescent="0.25">
      <c r="A38" s="99"/>
      <c r="B38" s="99"/>
      <c r="C38" s="100"/>
      <c r="D38" s="32">
        <f t="shared" ref="D38:J38" si="16">TRUNC($C$37*D37,2)</f>
        <v>0</v>
      </c>
      <c r="E38" s="32">
        <f t="shared" si="16"/>
        <v>0</v>
      </c>
      <c r="F38" s="32">
        <f t="shared" si="16"/>
        <v>0</v>
      </c>
      <c r="G38" s="32">
        <f t="shared" si="16"/>
        <v>0</v>
      </c>
      <c r="H38" s="32">
        <f t="shared" si="16"/>
        <v>0</v>
      </c>
      <c r="I38" s="32">
        <f t="shared" si="16"/>
        <v>0</v>
      </c>
      <c r="J38" s="32">
        <f t="shared" si="16"/>
        <v>261466.01</v>
      </c>
      <c r="K38" s="32">
        <f>SUM(D38:J38)</f>
        <v>261466.01</v>
      </c>
    </row>
    <row r="39" spans="1:11" x14ac:dyDescent="0.25">
      <c r="A39" s="104" t="s">
        <v>490</v>
      </c>
      <c r="B39" s="102" t="s">
        <v>276</v>
      </c>
      <c r="C39" s="103">
        <f>'Orçamento Sintético'!N153</f>
        <v>426725.67</v>
      </c>
      <c r="D39" s="33"/>
      <c r="E39" s="33"/>
      <c r="F39" s="33"/>
      <c r="G39" s="33"/>
      <c r="H39" s="33"/>
      <c r="I39" s="33">
        <v>0.5</v>
      </c>
      <c r="J39" s="33">
        <v>0.5</v>
      </c>
      <c r="K39" s="33">
        <f>SUM(D39:J39)</f>
        <v>1</v>
      </c>
    </row>
    <row r="40" spans="1:11" x14ac:dyDescent="0.25">
      <c r="A40" s="102"/>
      <c r="B40" s="102"/>
      <c r="C40" s="103"/>
      <c r="D40" s="34">
        <f t="shared" ref="D40:I40" si="17">TRUNC($C$39*D39,2)</f>
        <v>0</v>
      </c>
      <c r="E40" s="34">
        <f t="shared" si="17"/>
        <v>0</v>
      </c>
      <c r="F40" s="34">
        <f t="shared" si="17"/>
        <v>0</v>
      </c>
      <c r="G40" s="34">
        <f t="shared" si="17"/>
        <v>0</v>
      </c>
      <c r="H40" s="34">
        <f t="shared" si="17"/>
        <v>0</v>
      </c>
      <c r="I40" s="34">
        <f t="shared" si="17"/>
        <v>213362.83</v>
      </c>
      <c r="J40" s="34">
        <f>TRUNC($C$39*J39,2)+0.01</f>
        <v>213362.84</v>
      </c>
      <c r="K40" s="34">
        <f>SUM(D40:J40)</f>
        <v>426725.67</v>
      </c>
    </row>
    <row r="41" spans="1:11" x14ac:dyDescent="0.25">
      <c r="A41" s="98" t="s">
        <v>493</v>
      </c>
      <c r="B41" s="99" t="s">
        <v>280</v>
      </c>
      <c r="C41" s="100">
        <f>'Orçamento Sintético'!N156</f>
        <v>515241.35</v>
      </c>
      <c r="D41" s="31"/>
      <c r="E41" s="31"/>
      <c r="F41" s="31"/>
      <c r="G41" s="31"/>
      <c r="H41" s="31"/>
      <c r="I41" s="31"/>
      <c r="J41" s="31">
        <v>1</v>
      </c>
      <c r="K41" s="31">
        <f>SUM(D41:J41)</f>
        <v>1</v>
      </c>
    </row>
    <row r="42" spans="1:11" x14ac:dyDescent="0.25">
      <c r="A42" s="99"/>
      <c r="B42" s="99"/>
      <c r="C42" s="100"/>
      <c r="D42" s="32">
        <f t="shared" ref="D42:J42" si="18">TRUNC($C$41*D41,2)</f>
        <v>0</v>
      </c>
      <c r="E42" s="32">
        <f t="shared" si="18"/>
        <v>0</v>
      </c>
      <c r="F42" s="32">
        <f t="shared" si="18"/>
        <v>0</v>
      </c>
      <c r="G42" s="32">
        <f t="shared" si="18"/>
        <v>0</v>
      </c>
      <c r="H42" s="32">
        <f t="shared" si="18"/>
        <v>0</v>
      </c>
      <c r="I42" s="32">
        <f t="shared" si="18"/>
        <v>0</v>
      </c>
      <c r="J42" s="32">
        <f t="shared" si="18"/>
        <v>515241.35</v>
      </c>
      <c r="K42" s="32">
        <f>SUM(D42:J42)</f>
        <v>515241.35</v>
      </c>
    </row>
    <row r="43" spans="1:11" x14ac:dyDescent="0.25">
      <c r="A43" s="104" t="s">
        <v>498</v>
      </c>
      <c r="B43" s="102" t="s">
        <v>283</v>
      </c>
      <c r="C43" s="103">
        <f>'Orçamento Sintético'!N161</f>
        <v>1478670.92</v>
      </c>
      <c r="D43" s="33"/>
      <c r="E43" s="33"/>
      <c r="F43" s="33">
        <v>0.2</v>
      </c>
      <c r="G43" s="33">
        <v>0.4</v>
      </c>
      <c r="H43" s="33">
        <v>0.3</v>
      </c>
      <c r="I43" s="33">
        <v>0.1</v>
      </c>
      <c r="J43" s="33"/>
      <c r="K43" s="33">
        <f>SUM(D43:J43)</f>
        <v>1.0000000000000002</v>
      </c>
    </row>
    <row r="44" spans="1:11" x14ac:dyDescent="0.25">
      <c r="A44" s="102"/>
      <c r="B44" s="102"/>
      <c r="C44" s="103"/>
      <c r="D44" s="34">
        <f t="shared" ref="D44:J44" si="19">TRUNC($C$43*D43,2)</f>
        <v>0</v>
      </c>
      <c r="E44" s="34">
        <f t="shared" si="19"/>
        <v>0</v>
      </c>
      <c r="F44" s="34">
        <f t="shared" si="19"/>
        <v>295734.18</v>
      </c>
      <c r="G44" s="34">
        <f t="shared" si="19"/>
        <v>591468.36</v>
      </c>
      <c r="H44" s="34">
        <f>TRUNC($C$43*H43,2)+0.01</f>
        <v>443601.28</v>
      </c>
      <c r="I44" s="34">
        <f>TRUNC($C$43*I43,2)+0.01</f>
        <v>147867.1</v>
      </c>
      <c r="J44" s="34">
        <f t="shared" si="19"/>
        <v>0</v>
      </c>
      <c r="K44" s="34">
        <f>SUM(D44:J44)</f>
        <v>1478670.9200000002</v>
      </c>
    </row>
    <row r="45" spans="1:11" x14ac:dyDescent="0.25">
      <c r="A45" s="98" t="s">
        <v>500</v>
      </c>
      <c r="B45" s="99" t="s">
        <v>300</v>
      </c>
      <c r="C45" s="100">
        <f>'Orçamento Sintético'!N163</f>
        <v>2578896.27</v>
      </c>
      <c r="D45" s="31"/>
      <c r="E45" s="31"/>
      <c r="F45" s="31">
        <v>0.2</v>
      </c>
      <c r="G45" s="31">
        <v>0.2</v>
      </c>
      <c r="H45" s="31">
        <v>0.2</v>
      </c>
      <c r="I45" s="31">
        <v>0.2</v>
      </c>
      <c r="J45" s="31">
        <v>0.2</v>
      </c>
      <c r="K45" s="31">
        <f>SUM(D45:J45)</f>
        <v>1</v>
      </c>
    </row>
    <row r="46" spans="1:11" x14ac:dyDescent="0.25">
      <c r="A46" s="99"/>
      <c r="B46" s="99"/>
      <c r="C46" s="100"/>
      <c r="D46" s="32">
        <f t="shared" ref="D46:H46" si="20">TRUNC($C$45*D45,2)</f>
        <v>0</v>
      </c>
      <c r="E46" s="32">
        <f t="shared" si="20"/>
        <v>0</v>
      </c>
      <c r="F46" s="32">
        <f t="shared" si="20"/>
        <v>515779.25</v>
      </c>
      <c r="G46" s="32">
        <f t="shared" si="20"/>
        <v>515779.25</v>
      </c>
      <c r="H46" s="32">
        <f t="shared" si="20"/>
        <v>515779.25</v>
      </c>
      <c r="I46" s="32">
        <f>TRUNC($C$45*I45,2)+0.01</f>
        <v>515779.26</v>
      </c>
      <c r="J46" s="32">
        <f>TRUNC($C$45*J45,2)+0.01</f>
        <v>515779.26</v>
      </c>
      <c r="K46" s="32">
        <f>SUM(D46:J46)</f>
        <v>2578896.27</v>
      </c>
    </row>
    <row r="47" spans="1:11" x14ac:dyDescent="0.25">
      <c r="A47" s="104" t="s">
        <v>502</v>
      </c>
      <c r="B47" s="102" t="s">
        <v>299</v>
      </c>
      <c r="C47" s="103">
        <f>'Orçamento Sintético'!N165</f>
        <v>316642.3</v>
      </c>
      <c r="D47" s="33">
        <v>0.25</v>
      </c>
      <c r="E47" s="33">
        <v>0.25</v>
      </c>
      <c r="F47" s="33">
        <v>0.25</v>
      </c>
      <c r="G47" s="33">
        <v>0.25</v>
      </c>
      <c r="H47" s="33"/>
      <c r="I47" s="33"/>
      <c r="J47" s="33"/>
      <c r="K47" s="33">
        <f>SUM(D47:J47)</f>
        <v>1</v>
      </c>
    </row>
    <row r="48" spans="1:11" x14ac:dyDescent="0.25">
      <c r="A48" s="102"/>
      <c r="B48" s="102"/>
      <c r="C48" s="103"/>
      <c r="D48" s="34">
        <f t="shared" ref="D48:J48" si="21">TRUNC($C$47*D47,2)</f>
        <v>79160.570000000007</v>
      </c>
      <c r="E48" s="34">
        <f>TRUNC($C$47*E47,2)+0.01</f>
        <v>79160.58</v>
      </c>
      <c r="F48" s="34">
        <f>TRUNC($C$47*F47,2)+0.01</f>
        <v>79160.58</v>
      </c>
      <c r="G48" s="34">
        <f t="shared" si="21"/>
        <v>79160.570000000007</v>
      </c>
      <c r="H48" s="34">
        <f t="shared" si="21"/>
        <v>0</v>
      </c>
      <c r="I48" s="34">
        <f t="shared" si="21"/>
        <v>0</v>
      </c>
      <c r="J48" s="34">
        <f t="shared" si="21"/>
        <v>0</v>
      </c>
      <c r="K48" s="34">
        <f>SUM(D48:J48)</f>
        <v>316642.30000000005</v>
      </c>
    </row>
    <row r="49" spans="1:11" x14ac:dyDescent="0.25">
      <c r="A49" s="98" t="s">
        <v>504</v>
      </c>
      <c r="B49" s="99" t="s">
        <v>285</v>
      </c>
      <c r="C49" s="100">
        <f>'Orçamento Sintético'!N167</f>
        <v>363385.22</v>
      </c>
      <c r="D49" s="31"/>
      <c r="E49" s="31"/>
      <c r="F49" s="31">
        <v>0.75</v>
      </c>
      <c r="G49" s="31"/>
      <c r="H49" s="47"/>
      <c r="I49" s="31">
        <v>0.25</v>
      </c>
      <c r="J49" s="31"/>
      <c r="K49" s="31">
        <f>SUM(D49:J49)</f>
        <v>1</v>
      </c>
    </row>
    <row r="50" spans="1:11" x14ac:dyDescent="0.25">
      <c r="A50" s="99"/>
      <c r="B50" s="99"/>
      <c r="C50" s="100"/>
      <c r="D50" s="32">
        <f t="shared" ref="D50:J50" si="22">TRUNC($C$49*D49,2)</f>
        <v>0</v>
      </c>
      <c r="E50" s="32">
        <f t="shared" si="22"/>
        <v>0</v>
      </c>
      <c r="F50" s="32">
        <f t="shared" si="22"/>
        <v>272538.90999999997</v>
      </c>
      <c r="G50" s="32">
        <f t="shared" si="22"/>
        <v>0</v>
      </c>
      <c r="H50" s="32">
        <f t="shared" si="22"/>
        <v>0</v>
      </c>
      <c r="I50" s="32">
        <f>TRUNC($C$49*I49,2)+0.01</f>
        <v>90846.31</v>
      </c>
      <c r="J50" s="32">
        <f t="shared" si="22"/>
        <v>0</v>
      </c>
      <c r="K50" s="32">
        <f>SUM(D50:J50)</f>
        <v>363385.22</v>
      </c>
    </row>
    <row r="51" spans="1:11" x14ac:dyDescent="0.25">
      <c r="A51" s="104" t="s">
        <v>506</v>
      </c>
      <c r="B51" s="102" t="s">
        <v>339</v>
      </c>
      <c r="C51" s="103">
        <f>'Orçamento Sintético'!N169</f>
        <v>828631.08</v>
      </c>
      <c r="D51" s="33">
        <v>0.25</v>
      </c>
      <c r="E51" s="33">
        <v>0.25</v>
      </c>
      <c r="F51" s="33">
        <v>0.25</v>
      </c>
      <c r="G51" s="33">
        <v>0.25</v>
      </c>
      <c r="H51" s="33"/>
      <c r="I51" s="33"/>
      <c r="J51" s="33"/>
      <c r="K51" s="33">
        <f>SUM(D51:J51)</f>
        <v>1</v>
      </c>
    </row>
    <row r="52" spans="1:11" x14ac:dyDescent="0.25">
      <c r="A52" s="102"/>
      <c r="B52" s="102"/>
      <c r="C52" s="103"/>
      <c r="D52" s="34">
        <f t="shared" ref="D52:J52" si="23">TRUNC($C$51*D51,2)</f>
        <v>207157.77</v>
      </c>
      <c r="E52" s="34">
        <f t="shared" si="23"/>
        <v>207157.77</v>
      </c>
      <c r="F52" s="34">
        <f t="shared" si="23"/>
        <v>207157.77</v>
      </c>
      <c r="G52" s="34">
        <f t="shared" si="23"/>
        <v>207157.77</v>
      </c>
      <c r="H52" s="34">
        <f t="shared" si="23"/>
        <v>0</v>
      </c>
      <c r="I52" s="34">
        <f t="shared" si="23"/>
        <v>0</v>
      </c>
      <c r="J52" s="34">
        <f t="shared" si="23"/>
        <v>0</v>
      </c>
      <c r="K52" s="34">
        <f>SUM(D52:J52)</f>
        <v>828631.08</v>
      </c>
    </row>
    <row r="53" spans="1:11" x14ac:dyDescent="0.25">
      <c r="A53" s="98" t="s">
        <v>508</v>
      </c>
      <c r="B53" s="99" t="s">
        <v>287</v>
      </c>
      <c r="C53" s="100">
        <f>'Orçamento Sintético'!N171</f>
        <v>49264.01</v>
      </c>
      <c r="D53" s="31"/>
      <c r="E53" s="31">
        <v>0.25</v>
      </c>
      <c r="F53" s="31">
        <v>0.25</v>
      </c>
      <c r="G53" s="31">
        <v>0.5</v>
      </c>
      <c r="H53" s="31"/>
      <c r="I53" s="31"/>
      <c r="J53" s="31"/>
      <c r="K53" s="31">
        <f>SUM(D53:J53)</f>
        <v>1</v>
      </c>
    </row>
    <row r="54" spans="1:11" x14ac:dyDescent="0.25">
      <c r="A54" s="99"/>
      <c r="B54" s="99"/>
      <c r="C54" s="100"/>
      <c r="D54" s="32">
        <f t="shared" ref="D54:J54" si="24">TRUNC($C$53*D53,2)</f>
        <v>0</v>
      </c>
      <c r="E54" s="32">
        <f t="shared" si="24"/>
        <v>12316</v>
      </c>
      <c r="F54" s="32">
        <f t="shared" si="24"/>
        <v>12316</v>
      </c>
      <c r="G54" s="32">
        <f>TRUNC($C$53*G53,2)+0.01</f>
        <v>24632.01</v>
      </c>
      <c r="H54" s="32">
        <f t="shared" si="24"/>
        <v>0</v>
      </c>
      <c r="I54" s="32">
        <f t="shared" si="24"/>
        <v>0</v>
      </c>
      <c r="J54" s="32">
        <f t="shared" si="24"/>
        <v>0</v>
      </c>
      <c r="K54" s="32">
        <f>SUM(D54:J54)</f>
        <v>49264.009999999995</v>
      </c>
    </row>
    <row r="55" spans="1:11" x14ac:dyDescent="0.25">
      <c r="A55" s="104" t="s">
        <v>510</v>
      </c>
      <c r="B55" s="102" t="s">
        <v>288</v>
      </c>
      <c r="C55" s="103">
        <f>'Orçamento Sintético'!N173</f>
        <v>687770.04</v>
      </c>
      <c r="D55" s="33"/>
      <c r="E55" s="33"/>
      <c r="F55" s="33"/>
      <c r="G55" s="33"/>
      <c r="H55" s="33">
        <v>0.5</v>
      </c>
      <c r="I55" s="33"/>
      <c r="J55" s="33">
        <v>0.5</v>
      </c>
      <c r="K55" s="33">
        <f>SUM(D55:J55)</f>
        <v>1</v>
      </c>
    </row>
    <row r="56" spans="1:11" x14ac:dyDescent="0.25">
      <c r="A56" s="102"/>
      <c r="B56" s="102"/>
      <c r="C56" s="103"/>
      <c r="D56" s="34">
        <f t="shared" ref="D56:I56" si="25">TRUNC($C$55*D55,2)</f>
        <v>0</v>
      </c>
      <c r="E56" s="34">
        <f t="shared" si="25"/>
        <v>0</v>
      </c>
      <c r="F56" s="34">
        <f t="shared" si="25"/>
        <v>0</v>
      </c>
      <c r="G56" s="34">
        <f t="shared" si="25"/>
        <v>0</v>
      </c>
      <c r="H56" s="34">
        <f t="shared" si="25"/>
        <v>343885.02</v>
      </c>
      <c r="I56" s="34">
        <f t="shared" si="25"/>
        <v>0</v>
      </c>
      <c r="J56" s="34">
        <f>TRUNC($C$55*J55,2)</f>
        <v>343885.02</v>
      </c>
      <c r="K56" s="34">
        <f>SUM(D56:J56)</f>
        <v>687770.04</v>
      </c>
    </row>
    <row r="57" spans="1:11" x14ac:dyDescent="0.25">
      <c r="B57" s="39" t="s">
        <v>340</v>
      </c>
      <c r="C57" s="40">
        <f>SUM(C6:C56)</f>
        <v>17416269.290000003</v>
      </c>
    </row>
    <row r="59" spans="1:11" x14ac:dyDescent="0.25">
      <c r="C59" s="41" t="s">
        <v>341</v>
      </c>
      <c r="D59" s="69">
        <f t="shared" ref="D59:J59" si="26">D60/$C$57</f>
        <v>0.15374421039398153</v>
      </c>
      <c r="E59" s="69">
        <f t="shared" si="26"/>
        <v>0.14175601668134291</v>
      </c>
      <c r="F59" s="69">
        <f t="shared" si="26"/>
        <v>0.15765514211338882</v>
      </c>
      <c r="G59" s="69">
        <f t="shared" si="26"/>
        <v>0.14542794199066952</v>
      </c>
      <c r="H59" s="69">
        <f t="shared" si="26"/>
        <v>0.12855158947763373</v>
      </c>
      <c r="I59" s="69">
        <f t="shared" si="26"/>
        <v>0.13030298293004861</v>
      </c>
      <c r="J59" s="69">
        <f t="shared" si="26"/>
        <v>0.14256211641293473</v>
      </c>
      <c r="K59" s="69"/>
    </row>
    <row r="60" spans="1:11" x14ac:dyDescent="0.25">
      <c r="C60" s="41" t="s">
        <v>342</v>
      </c>
      <c r="D60" s="43">
        <f t="shared" ref="D60:J60" si="27">SUM(D7,D10,D12,D14,D16,D18,D20,D22,D24,D26,D28,D30,D32,D34,D36,D38,D40,D42,D44,D48,D46,D50,D52,D54,D56)</f>
        <v>2677650.5699999998</v>
      </c>
      <c r="E60" s="43">
        <f t="shared" si="27"/>
        <v>2468860.9600000004</v>
      </c>
      <c r="F60" s="43">
        <f t="shared" si="27"/>
        <v>2745764.41</v>
      </c>
      <c r="G60" s="43">
        <f t="shared" si="27"/>
        <v>2532812.1999999997</v>
      </c>
      <c r="H60" s="43">
        <f t="shared" si="27"/>
        <v>2238889.1</v>
      </c>
      <c r="I60" s="43">
        <f t="shared" si="27"/>
        <v>2269391.8400000003</v>
      </c>
      <c r="J60" s="43">
        <f t="shared" si="27"/>
        <v>2482900.2100000004</v>
      </c>
      <c r="K60" s="42"/>
    </row>
    <row r="61" spans="1:11" x14ac:dyDescent="0.25">
      <c r="C61" s="41" t="s">
        <v>343</v>
      </c>
      <c r="D61" s="70">
        <f t="shared" ref="D61:I61" si="28">D62/$C$57</f>
        <v>0.15374421039398153</v>
      </c>
      <c r="E61" s="70">
        <f t="shared" si="28"/>
        <v>0.29550022707532442</v>
      </c>
      <c r="F61" s="70">
        <f t="shared" si="28"/>
        <v>0.45315536918871324</v>
      </c>
      <c r="G61" s="70">
        <f t="shared" si="28"/>
        <v>0.59858331117938279</v>
      </c>
      <c r="H61" s="70">
        <f t="shared" si="28"/>
        <v>0.72713490065701658</v>
      </c>
      <c r="I61" s="70">
        <f t="shared" si="28"/>
        <v>0.85743788358706519</v>
      </c>
      <c r="J61" s="70">
        <f t="shared" ref="J61" si="29">J62/$C$57</f>
        <v>0.99999999999999978</v>
      </c>
      <c r="K61" s="44"/>
    </row>
    <row r="62" spans="1:11" x14ac:dyDescent="0.25">
      <c r="C62" s="41" t="s">
        <v>344</v>
      </c>
      <c r="D62" s="45">
        <f>D60</f>
        <v>2677650.5699999998</v>
      </c>
      <c r="E62" s="45">
        <f t="shared" ref="E62:J62" si="30">D62+E60</f>
        <v>5146511.53</v>
      </c>
      <c r="F62" s="45">
        <f t="shared" si="30"/>
        <v>7892275.9400000004</v>
      </c>
      <c r="G62" s="45">
        <f t="shared" si="30"/>
        <v>10425088.140000001</v>
      </c>
      <c r="H62" s="45">
        <f t="shared" si="30"/>
        <v>12663977.24</v>
      </c>
      <c r="I62" s="45">
        <f t="shared" si="30"/>
        <v>14933369.08</v>
      </c>
      <c r="J62" s="45">
        <f t="shared" si="30"/>
        <v>17416269.289999999</v>
      </c>
      <c r="K62" s="45"/>
    </row>
    <row r="63" spans="1:11" x14ac:dyDescent="0.25">
      <c r="C63" s="41"/>
      <c r="D63" s="71"/>
      <c r="E63" s="71"/>
      <c r="F63" s="71"/>
      <c r="G63" s="71"/>
      <c r="H63" s="71"/>
      <c r="I63" s="71"/>
      <c r="J63" s="71"/>
      <c r="K63" s="71"/>
    </row>
    <row r="64" spans="1:11" x14ac:dyDescent="0.25">
      <c r="C64" s="41"/>
      <c r="D64" s="71"/>
      <c r="E64" s="71"/>
      <c r="F64" s="71"/>
      <c r="G64" s="71"/>
      <c r="H64" s="71"/>
      <c r="I64" s="71"/>
      <c r="J64" s="71"/>
      <c r="K64" s="73" t="s">
        <v>604</v>
      </c>
    </row>
    <row r="65" spans="2:11" x14ac:dyDescent="0.25">
      <c r="C65" s="41"/>
      <c r="D65" s="71"/>
      <c r="E65" s="71"/>
      <c r="F65" s="71"/>
      <c r="G65" s="71"/>
      <c r="H65" s="71"/>
      <c r="I65" s="71"/>
      <c r="J65" s="71"/>
      <c r="K65" s="71"/>
    </row>
    <row r="66" spans="2:11" ht="75" customHeight="1" x14ac:dyDescent="0.25"/>
    <row r="67" spans="2:11" ht="15" customHeight="1" x14ac:dyDescent="0.25">
      <c r="B67" s="107"/>
      <c r="C67" s="105"/>
      <c r="D67" s="105"/>
      <c r="E67" s="106" t="s">
        <v>350</v>
      </c>
      <c r="F67" s="105"/>
      <c r="G67" s="105"/>
      <c r="H67" s="105"/>
      <c r="I67" s="101" t="s">
        <v>351</v>
      </c>
      <c r="J67" s="101"/>
    </row>
    <row r="68" spans="2:11" ht="15" customHeight="1" x14ac:dyDescent="0.25">
      <c r="B68" s="105"/>
      <c r="C68" s="105"/>
      <c r="D68" s="105"/>
      <c r="E68" s="105"/>
      <c r="F68" s="105"/>
      <c r="G68" s="105"/>
      <c r="H68" s="105"/>
      <c r="I68" s="101"/>
      <c r="J68" s="101"/>
    </row>
    <row r="69" spans="2:11" ht="15" customHeight="1" x14ac:dyDescent="0.25">
      <c r="B69" s="105"/>
      <c r="C69" s="105"/>
      <c r="D69" s="105"/>
      <c r="E69" s="105"/>
      <c r="F69" s="105"/>
      <c r="G69" s="105"/>
      <c r="H69" s="105"/>
      <c r="I69" s="101"/>
      <c r="J69" s="101"/>
    </row>
    <row r="70" spans="2:11" x14ac:dyDescent="0.25">
      <c r="I70" s="101"/>
      <c r="J70" s="101"/>
    </row>
  </sheetData>
  <mergeCells count="80">
    <mergeCell ref="A51:A52"/>
    <mergeCell ref="B51:B52"/>
    <mergeCell ref="C51:C52"/>
    <mergeCell ref="B43:B44"/>
    <mergeCell ref="C43:C44"/>
    <mergeCell ref="A45:A46"/>
    <mergeCell ref="B45:B46"/>
    <mergeCell ref="C45:C46"/>
    <mergeCell ref="A43:A44"/>
    <mergeCell ref="A47:A48"/>
    <mergeCell ref="B47:B48"/>
    <mergeCell ref="C47:C48"/>
    <mergeCell ref="A49:A50"/>
    <mergeCell ref="B49:B50"/>
    <mergeCell ref="C49:C50"/>
    <mergeCell ref="A53:A54"/>
    <mergeCell ref="B53:B54"/>
    <mergeCell ref="C53:C54"/>
    <mergeCell ref="D67:D69"/>
    <mergeCell ref="E67:H69"/>
    <mergeCell ref="A55:A56"/>
    <mergeCell ref="B55:B56"/>
    <mergeCell ref="C55:C56"/>
    <mergeCell ref="B67:C69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19:A20"/>
    <mergeCell ref="B19:B20"/>
    <mergeCell ref="C19:C20"/>
    <mergeCell ref="A21:A22"/>
    <mergeCell ref="B21:B22"/>
    <mergeCell ref="C21:C22"/>
    <mergeCell ref="A23:A24"/>
    <mergeCell ref="B23:B24"/>
    <mergeCell ref="C23:C24"/>
    <mergeCell ref="A25:A26"/>
    <mergeCell ref="B25:B26"/>
    <mergeCell ref="C25:C26"/>
    <mergeCell ref="I67:J70"/>
    <mergeCell ref="A6:A7"/>
    <mergeCell ref="B6:B7"/>
    <mergeCell ref="C6:C7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4:K4"/>
    <mergeCell ref="A9:A10"/>
    <mergeCell ref="B9:B10"/>
    <mergeCell ref="C9:C10"/>
  </mergeCells>
  <phoneticPr fontId="32" type="noConversion"/>
  <pageMargins left="0.25" right="0.25" top="0.75" bottom="0.75" header="0.3" footer="0.3"/>
  <pageSetup paperSize="9" scale="4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36D60-B97F-4317-9805-F2C6ADD959DE}">
  <sheetPr>
    <pageSetUpPr fitToPage="1"/>
  </sheetPr>
  <dimension ref="A1:M32"/>
  <sheetViews>
    <sheetView view="pageBreakPreview" topLeftCell="A16" zoomScaleNormal="100" zoomScaleSheetLayoutView="100" workbookViewId="0">
      <selection activeCell="K19" sqref="K19"/>
    </sheetView>
  </sheetViews>
  <sheetFormatPr defaultColWidth="9" defaultRowHeight="15" x14ac:dyDescent="0.25"/>
  <cols>
    <col min="1" max="1" width="7" style="58" customWidth="1"/>
    <col min="2" max="2" width="22" style="58" customWidth="1"/>
    <col min="3" max="3" width="12" style="58" customWidth="1"/>
    <col min="4" max="4" width="42" style="58" customWidth="1"/>
    <col min="5" max="5" width="38" style="58" customWidth="1"/>
    <col min="6" max="12" width="12" style="58" customWidth="1"/>
    <col min="13" max="13" width="14" style="58" customWidth="1"/>
    <col min="14" max="16384" width="9" style="58"/>
  </cols>
  <sheetData>
    <row r="1" spans="1:13" ht="15.75" x14ac:dyDescent="0.25">
      <c r="A1" s="108" t="s">
        <v>528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</row>
    <row r="2" spans="1:13" ht="15.75" x14ac:dyDescent="0.25">
      <c r="A2" s="108" t="s">
        <v>606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</row>
    <row r="3" spans="1:13" ht="15.75" x14ac:dyDescent="0.25">
      <c r="A3" s="108" t="s">
        <v>529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</row>
    <row r="4" spans="1:13" x14ac:dyDescent="0.25">
      <c r="H4" s="59"/>
    </row>
    <row r="5" spans="1:13" ht="35.1" customHeight="1" x14ac:dyDescent="0.25">
      <c r="A5" s="60" t="s">
        <v>530</v>
      </c>
      <c r="B5" s="60" t="s">
        <v>327</v>
      </c>
      <c r="C5" s="60" t="s">
        <v>531</v>
      </c>
      <c r="D5" s="60" t="s">
        <v>532</v>
      </c>
      <c r="E5" s="60" t="s">
        <v>533</v>
      </c>
      <c r="F5" s="60" t="s">
        <v>534</v>
      </c>
      <c r="G5" s="60" t="s">
        <v>535</v>
      </c>
      <c r="H5" s="60" t="s">
        <v>536</v>
      </c>
      <c r="I5" s="60" t="s">
        <v>537</v>
      </c>
      <c r="J5" s="60" t="s">
        <v>538</v>
      </c>
      <c r="K5" s="60" t="s">
        <v>539</v>
      </c>
      <c r="L5" s="60" t="s">
        <v>540</v>
      </c>
      <c r="M5" s="60" t="s">
        <v>541</v>
      </c>
    </row>
    <row r="6" spans="1:13" ht="48" customHeight="1" x14ac:dyDescent="0.25">
      <c r="A6" s="61">
        <v>1</v>
      </c>
      <c r="B6" s="62" t="s">
        <v>542</v>
      </c>
      <c r="C6" s="61">
        <v>1</v>
      </c>
      <c r="D6" s="62" t="s">
        <v>543</v>
      </c>
      <c r="E6" s="62" t="s">
        <v>544</v>
      </c>
      <c r="F6" s="63">
        <f>CRONOGRAMA!D7</f>
        <v>130592</v>
      </c>
      <c r="G6" s="63">
        <f>CRONOGRAMA!E7</f>
        <v>0</v>
      </c>
      <c r="H6" s="63">
        <f>CRONOGRAMA!F7</f>
        <v>0</v>
      </c>
      <c r="I6" s="63">
        <f>CRONOGRAMA!G7</f>
        <v>0</v>
      </c>
      <c r="J6" s="63">
        <f>CRONOGRAMA!H7</f>
        <v>0</v>
      </c>
      <c r="K6" s="63">
        <f>CRONOGRAMA!I7</f>
        <v>0</v>
      </c>
      <c r="L6" s="63">
        <f>CRONOGRAMA!J7</f>
        <v>0</v>
      </c>
      <c r="M6" s="63">
        <f>'Orçamento Sintético'!N6</f>
        <v>130592</v>
      </c>
    </row>
    <row r="7" spans="1:13" ht="48" customHeight="1" x14ac:dyDescent="0.25">
      <c r="A7" s="61">
        <v>2</v>
      </c>
      <c r="B7" s="62" t="s">
        <v>545</v>
      </c>
      <c r="C7" s="61" t="s">
        <v>546</v>
      </c>
      <c r="D7" s="62" t="s">
        <v>547</v>
      </c>
      <c r="E7" s="62" t="s">
        <v>548</v>
      </c>
      <c r="F7" s="63">
        <f>CRONOGRAMA!D10+CRONOGRAMA!D14+CRONOGRAMA!D16</f>
        <v>711944.27999999991</v>
      </c>
      <c r="G7" s="63">
        <f>CRONOGRAMA!E10+CRONOGRAMA!E14+CRONOGRAMA!E16</f>
        <v>18263.689999999999</v>
      </c>
      <c r="H7" s="63">
        <f>CRONOGRAMA!F10+CRONOGRAMA!F14+CRONOGRAMA!F16</f>
        <v>0</v>
      </c>
      <c r="I7" s="63">
        <f>CRONOGRAMA!G10+CRONOGRAMA!G14+CRONOGRAMA!G16</f>
        <v>0</v>
      </c>
      <c r="J7" s="63">
        <f>CRONOGRAMA!H10+CRONOGRAMA!H14+CRONOGRAMA!H16</f>
        <v>0</v>
      </c>
      <c r="K7" s="63">
        <f>CRONOGRAMA!I10+CRONOGRAMA!I14+CRONOGRAMA!I16</f>
        <v>0</v>
      </c>
      <c r="L7" s="63">
        <f>CRONOGRAMA!J10+CRONOGRAMA!J14+CRONOGRAMA!J16</f>
        <v>0</v>
      </c>
      <c r="M7" s="63">
        <f>'Orçamento Sintético'!N13+'Orçamento Sintético'!N32+'Orçamento Sintético'!N56</f>
        <v>730207.97</v>
      </c>
    </row>
    <row r="8" spans="1:13" ht="48" customHeight="1" x14ac:dyDescent="0.25">
      <c r="A8" s="61">
        <v>3</v>
      </c>
      <c r="B8" s="62" t="s">
        <v>549</v>
      </c>
      <c r="C8" s="61" t="s">
        <v>360</v>
      </c>
      <c r="D8" s="62" t="s">
        <v>550</v>
      </c>
      <c r="E8" s="62" t="s">
        <v>551</v>
      </c>
      <c r="F8" s="63">
        <f>CRONOGRAMA!D12</f>
        <v>155383.42000000001</v>
      </c>
      <c r="G8" s="63">
        <f>CRONOGRAMA!E12</f>
        <v>155383.42000000001</v>
      </c>
      <c r="H8" s="63">
        <f>CRONOGRAMA!F12</f>
        <v>155383.42000000001</v>
      </c>
      <c r="I8" s="63">
        <f>CRONOGRAMA!G12</f>
        <v>155383.42000000001</v>
      </c>
      <c r="J8" s="63">
        <f>CRONOGRAMA!H12</f>
        <v>155383.42000000001</v>
      </c>
      <c r="K8" s="63">
        <f>CRONOGRAMA!I12</f>
        <v>155383.42000000001</v>
      </c>
      <c r="L8" s="63">
        <f>CRONOGRAMA!J12</f>
        <v>154296.84</v>
      </c>
      <c r="M8" s="63">
        <f>'Orçamento Sintético'!N22</f>
        <v>1086597.3600000001</v>
      </c>
    </row>
    <row r="9" spans="1:13" ht="48" customHeight="1" x14ac:dyDescent="0.25">
      <c r="A9" s="61">
        <v>4</v>
      </c>
      <c r="B9" s="62" t="s">
        <v>552</v>
      </c>
      <c r="C9" s="61" t="s">
        <v>553</v>
      </c>
      <c r="D9" s="62" t="s">
        <v>554</v>
      </c>
      <c r="E9" s="62" t="s">
        <v>555</v>
      </c>
      <c r="F9" s="63">
        <f>CRONOGRAMA!D18+CRONOGRAMA!D22</f>
        <v>1198602.82</v>
      </c>
      <c r="G9" s="63">
        <f>CRONOGRAMA!E18+CRONOGRAMA!E22</f>
        <v>1198602.8400000001</v>
      </c>
      <c r="H9" s="63">
        <f>CRONOGRAMA!F18+CRONOGRAMA!F22</f>
        <v>0</v>
      </c>
      <c r="I9" s="63">
        <f>CRONOGRAMA!G18+CRONOGRAMA!G22</f>
        <v>0</v>
      </c>
      <c r="J9" s="63">
        <f>CRONOGRAMA!H18+CRONOGRAMA!H22</f>
        <v>0</v>
      </c>
      <c r="K9" s="63">
        <f>CRONOGRAMA!I18+CRONOGRAMA!I22</f>
        <v>0</v>
      </c>
      <c r="L9" s="63">
        <f>CRONOGRAMA!J18+CRONOGRAMA!J22</f>
        <v>0</v>
      </c>
      <c r="M9" s="63">
        <f>'Orçamento Sintético'!N62+'Orçamento Sintético'!N78</f>
        <v>2397205.6600000006</v>
      </c>
    </row>
    <row r="10" spans="1:13" ht="48" customHeight="1" x14ac:dyDescent="0.25">
      <c r="A10" s="61">
        <v>5</v>
      </c>
      <c r="B10" s="62" t="s">
        <v>556</v>
      </c>
      <c r="C10" s="61" t="s">
        <v>410</v>
      </c>
      <c r="D10" s="62" t="s">
        <v>557</v>
      </c>
      <c r="E10" s="62" t="s">
        <v>558</v>
      </c>
      <c r="F10" s="63">
        <f>CRONOGRAMA!D20</f>
        <v>127604.98</v>
      </c>
      <c r="G10" s="63">
        <f>CRONOGRAMA!E20</f>
        <v>127604.98999999999</v>
      </c>
      <c r="H10" s="63">
        <f>CRONOGRAMA!F20</f>
        <v>255209.98</v>
      </c>
      <c r="I10" s="63">
        <f>CRONOGRAMA!G20</f>
        <v>0</v>
      </c>
      <c r="J10" s="63">
        <f>CRONOGRAMA!H20</f>
        <v>0</v>
      </c>
      <c r="K10" s="63">
        <f>CRONOGRAMA!I20</f>
        <v>0</v>
      </c>
      <c r="L10" s="63">
        <f>CRONOGRAMA!J20</f>
        <v>0</v>
      </c>
      <c r="M10" s="63">
        <f>'Orçamento Sintético'!N73</f>
        <v>510419.95000000007</v>
      </c>
    </row>
    <row r="11" spans="1:13" ht="48" customHeight="1" x14ac:dyDescent="0.25">
      <c r="A11" s="61">
        <v>6</v>
      </c>
      <c r="B11" s="62" t="s">
        <v>559</v>
      </c>
      <c r="C11" s="61" t="s">
        <v>419</v>
      </c>
      <c r="D11" s="62" t="s">
        <v>560</v>
      </c>
      <c r="E11" s="62" t="s">
        <v>561</v>
      </c>
      <c r="F11" s="63">
        <f>CRONOGRAMA!D24</f>
        <v>0</v>
      </c>
      <c r="G11" s="63">
        <f>CRONOGRAMA!E24</f>
        <v>225848.54</v>
      </c>
      <c r="H11" s="63">
        <f>CRONOGRAMA!F24</f>
        <v>225848.54</v>
      </c>
      <c r="I11" s="63">
        <f>CRONOGRAMA!G24</f>
        <v>0</v>
      </c>
      <c r="J11" s="63">
        <f>CRONOGRAMA!H24</f>
        <v>0</v>
      </c>
      <c r="K11" s="63">
        <f>CRONOGRAMA!I24</f>
        <v>0</v>
      </c>
      <c r="L11" s="63">
        <f>CRONOGRAMA!J24</f>
        <v>0</v>
      </c>
      <c r="M11" s="63">
        <f>'Orçamento Sintético'!N82</f>
        <v>451697.07999999996</v>
      </c>
    </row>
    <row r="12" spans="1:13" ht="48" customHeight="1" x14ac:dyDescent="0.25">
      <c r="A12" s="61">
        <v>7</v>
      </c>
      <c r="B12" s="62" t="s">
        <v>562</v>
      </c>
      <c r="C12" s="61" t="s">
        <v>441</v>
      </c>
      <c r="D12" s="62" t="s">
        <v>563</v>
      </c>
      <c r="E12" s="62" t="s">
        <v>564</v>
      </c>
      <c r="F12" s="63">
        <f>CRONOGRAMA!D28</f>
        <v>67204.73</v>
      </c>
      <c r="G12" s="63">
        <f>CRONOGRAMA!E28</f>
        <v>67204.73</v>
      </c>
      <c r="H12" s="63">
        <f>CRONOGRAMA!F28</f>
        <v>89606.319999999992</v>
      </c>
      <c r="I12" s="63">
        <f>CRONOGRAMA!G28</f>
        <v>0</v>
      </c>
      <c r="J12" s="63">
        <f>CRONOGRAMA!H28</f>
        <v>0</v>
      </c>
      <c r="K12" s="63">
        <f>CRONOGRAMA!I28</f>
        <v>0</v>
      </c>
      <c r="L12" s="63">
        <f>CRONOGRAMA!J28</f>
        <v>0</v>
      </c>
      <c r="M12" s="63">
        <f>'Orçamento Sintético'!N104</f>
        <v>224015.78</v>
      </c>
    </row>
    <row r="13" spans="1:13" ht="48" customHeight="1" x14ac:dyDescent="0.25">
      <c r="A13" s="61">
        <v>8</v>
      </c>
      <c r="B13" s="62" t="s">
        <v>565</v>
      </c>
      <c r="C13" s="61" t="s">
        <v>445</v>
      </c>
      <c r="D13" s="62" t="s">
        <v>566</v>
      </c>
      <c r="E13" s="62" t="s">
        <v>567</v>
      </c>
      <c r="F13" s="63">
        <f>CRONOGRAMA!D30</f>
        <v>0</v>
      </c>
      <c r="G13" s="63">
        <f>CRONOGRAMA!E30</f>
        <v>377318.40000000002</v>
      </c>
      <c r="H13" s="63">
        <f>CRONOGRAMA!F30</f>
        <v>377318.40000000002</v>
      </c>
      <c r="I13" s="63">
        <f>CRONOGRAMA!G30</f>
        <v>377318.40000000002</v>
      </c>
      <c r="J13" s="63">
        <f>CRONOGRAMA!H30</f>
        <v>0</v>
      </c>
      <c r="K13" s="63">
        <f>CRONOGRAMA!I30</f>
        <v>125772.81</v>
      </c>
      <c r="L13" s="63">
        <f>CRONOGRAMA!J30</f>
        <v>0</v>
      </c>
      <c r="M13" s="63">
        <f>'Orçamento Sintético'!N108</f>
        <v>1257728.01</v>
      </c>
    </row>
    <row r="14" spans="1:13" ht="48" customHeight="1" x14ac:dyDescent="0.25">
      <c r="A14" s="61">
        <v>9</v>
      </c>
      <c r="B14" s="62" t="s">
        <v>568</v>
      </c>
      <c r="C14" s="61" t="s">
        <v>569</v>
      </c>
      <c r="D14" s="62" t="s">
        <v>570</v>
      </c>
      <c r="E14" s="62" t="s">
        <v>571</v>
      </c>
      <c r="F14" s="63">
        <f>CRONOGRAMA!D48+CRONOGRAMA!D52+CRONOGRAMA!D54</f>
        <v>286318.33999999997</v>
      </c>
      <c r="G14" s="63">
        <f>CRONOGRAMA!E48+CRONOGRAMA!E52+CRONOGRAMA!E54</f>
        <v>298634.34999999998</v>
      </c>
      <c r="H14" s="63">
        <f>CRONOGRAMA!F48+CRONOGRAMA!F52+CRONOGRAMA!F54</f>
        <v>298634.34999999998</v>
      </c>
      <c r="I14" s="63">
        <f>CRONOGRAMA!G48+CRONOGRAMA!G52+CRONOGRAMA!G54</f>
        <v>310950.34999999998</v>
      </c>
      <c r="J14" s="63">
        <f>CRONOGRAMA!H48+CRONOGRAMA!H52+CRONOGRAMA!H54</f>
        <v>0</v>
      </c>
      <c r="K14" s="63">
        <f>CRONOGRAMA!I48+CRONOGRAMA!I52+CRONOGRAMA!I54</f>
        <v>0</v>
      </c>
      <c r="L14" s="63">
        <f>CRONOGRAMA!J48+CRONOGRAMA!J52+CRONOGRAMA!J54</f>
        <v>0</v>
      </c>
      <c r="M14" s="63">
        <f>'Orçamento Sintético'!N165+'Orçamento Sintético'!N169+'Orçamento Sintético'!N171</f>
        <v>1194537.3899999999</v>
      </c>
    </row>
    <row r="15" spans="1:13" ht="48" customHeight="1" x14ac:dyDescent="0.25">
      <c r="A15" s="61">
        <v>10</v>
      </c>
      <c r="B15" s="62" t="s">
        <v>572</v>
      </c>
      <c r="C15" s="61" t="s">
        <v>427</v>
      </c>
      <c r="D15" s="62" t="s">
        <v>573</v>
      </c>
      <c r="E15" s="62" t="s">
        <v>574</v>
      </c>
      <c r="F15" s="63">
        <f>CRONOGRAMA!D26</f>
        <v>0</v>
      </c>
      <c r="G15" s="63">
        <f>CRONOGRAMA!E26</f>
        <v>0</v>
      </c>
      <c r="H15" s="63">
        <f>CRONOGRAMA!F26</f>
        <v>259711.06</v>
      </c>
      <c r="I15" s="63">
        <f>CRONOGRAMA!G26</f>
        <v>519422.12</v>
      </c>
      <c r="J15" s="63">
        <f>CRONOGRAMA!H26</f>
        <v>259711.06</v>
      </c>
      <c r="K15" s="63">
        <f>CRONOGRAMA!I26</f>
        <v>0</v>
      </c>
      <c r="L15" s="63">
        <f>CRONOGRAMA!J26</f>
        <v>0</v>
      </c>
      <c r="M15" s="63">
        <f>'Orçamento Sintético'!N90</f>
        <v>1038844.2399999999</v>
      </c>
    </row>
    <row r="16" spans="1:13" ht="48" customHeight="1" x14ac:dyDescent="0.25">
      <c r="A16" s="61">
        <v>11</v>
      </c>
      <c r="B16" s="62" t="s">
        <v>575</v>
      </c>
      <c r="C16" s="61" t="s">
        <v>498</v>
      </c>
      <c r="D16" s="62" t="s">
        <v>576</v>
      </c>
      <c r="E16" s="62" t="s">
        <v>577</v>
      </c>
      <c r="F16" s="63">
        <f>CRONOGRAMA!D44</f>
        <v>0</v>
      </c>
      <c r="G16" s="63">
        <f>CRONOGRAMA!E44</f>
        <v>0</v>
      </c>
      <c r="H16" s="63">
        <f>CRONOGRAMA!F44</f>
        <v>295734.18</v>
      </c>
      <c r="I16" s="63">
        <f>CRONOGRAMA!G44</f>
        <v>591468.36</v>
      </c>
      <c r="J16" s="63">
        <f>CRONOGRAMA!H44</f>
        <v>443601.28</v>
      </c>
      <c r="K16" s="63">
        <f>CRONOGRAMA!I44</f>
        <v>147867.1</v>
      </c>
      <c r="L16" s="63">
        <f>CRONOGRAMA!J44</f>
        <v>0</v>
      </c>
      <c r="M16" s="63">
        <f>'Orçamento Sintético'!N161</f>
        <v>1478670.92</v>
      </c>
    </row>
    <row r="17" spans="1:13" ht="48" customHeight="1" x14ac:dyDescent="0.25">
      <c r="A17" s="61">
        <v>12</v>
      </c>
      <c r="B17" s="62" t="s">
        <v>578</v>
      </c>
      <c r="C17" s="61" t="s">
        <v>579</v>
      </c>
      <c r="D17" s="62" t="s">
        <v>580</v>
      </c>
      <c r="E17" s="62" t="s">
        <v>581</v>
      </c>
      <c r="F17" s="63">
        <f>CRONOGRAMA!D46+CRONOGRAMA!D50</f>
        <v>0</v>
      </c>
      <c r="G17" s="63">
        <f>CRONOGRAMA!E46+CRONOGRAMA!E50</f>
        <v>0</v>
      </c>
      <c r="H17" s="63">
        <f>CRONOGRAMA!F46+CRONOGRAMA!F50</f>
        <v>788318.15999999992</v>
      </c>
      <c r="I17" s="63">
        <f>CRONOGRAMA!G46+CRONOGRAMA!G50</f>
        <v>515779.25</v>
      </c>
      <c r="J17" s="63">
        <f>CRONOGRAMA!H46+CRONOGRAMA!H50</f>
        <v>515779.25</v>
      </c>
      <c r="K17" s="63">
        <f>CRONOGRAMA!I46+CRONOGRAMA!I50</f>
        <v>606625.57000000007</v>
      </c>
      <c r="L17" s="63">
        <f>CRONOGRAMA!J46+CRONOGRAMA!J50</f>
        <v>515779.26</v>
      </c>
      <c r="M17" s="63">
        <f>'Orçamento Sintético'!N163+'Orçamento Sintético'!N167</f>
        <v>2942281.49</v>
      </c>
    </row>
    <row r="18" spans="1:13" ht="48" customHeight="1" x14ac:dyDescent="0.25">
      <c r="A18" s="61">
        <v>13</v>
      </c>
      <c r="B18" s="62" t="s">
        <v>582</v>
      </c>
      <c r="C18" s="61" t="s">
        <v>451</v>
      </c>
      <c r="D18" s="62" t="s">
        <v>583</v>
      </c>
      <c r="E18" s="62" t="s">
        <v>584</v>
      </c>
      <c r="F18" s="63">
        <f>CRONOGRAMA!D32</f>
        <v>0</v>
      </c>
      <c r="G18" s="63">
        <f>CRONOGRAMA!E32</f>
        <v>0</v>
      </c>
      <c r="H18" s="63">
        <f>CRONOGRAMA!F32</f>
        <v>0</v>
      </c>
      <c r="I18" s="63">
        <f>CRONOGRAMA!G32</f>
        <v>62490.3</v>
      </c>
      <c r="J18" s="63">
        <f>CRONOGRAMA!H32</f>
        <v>62490.3</v>
      </c>
      <c r="K18" s="63">
        <f>CRONOGRAMA!I32</f>
        <v>62490.3</v>
      </c>
      <c r="L18" s="63">
        <f>CRONOGRAMA!J32</f>
        <v>20830.109999999997</v>
      </c>
      <c r="M18" s="63">
        <f>'Orçamento Sintético'!N114</f>
        <v>208301.01</v>
      </c>
    </row>
    <row r="19" spans="1:13" ht="48" customHeight="1" x14ac:dyDescent="0.25">
      <c r="A19" s="61">
        <v>14</v>
      </c>
      <c r="B19" s="62" t="s">
        <v>585</v>
      </c>
      <c r="C19" s="61" t="s">
        <v>458</v>
      </c>
      <c r="D19" s="62" t="s">
        <v>586</v>
      </c>
      <c r="E19" s="62" t="s">
        <v>587</v>
      </c>
      <c r="F19" s="63">
        <f>CRONOGRAMA!D34</f>
        <v>0</v>
      </c>
      <c r="G19" s="63">
        <f>CRONOGRAMA!E34</f>
        <v>0</v>
      </c>
      <c r="H19" s="63">
        <f>CRONOGRAMA!F34</f>
        <v>0</v>
      </c>
      <c r="I19" s="63">
        <f>CRONOGRAMA!G34</f>
        <v>0</v>
      </c>
      <c r="J19" s="63">
        <f>CRONOGRAMA!H34</f>
        <v>458038.77</v>
      </c>
      <c r="K19" s="63">
        <f>CRONOGRAMA!I34</f>
        <v>916077.55</v>
      </c>
      <c r="L19" s="63">
        <f>CRONOGRAMA!J34</f>
        <v>458038.78</v>
      </c>
      <c r="M19" s="63">
        <f>'Orçamento Sintético'!N121</f>
        <v>1832155.1</v>
      </c>
    </row>
    <row r="20" spans="1:13" ht="48" customHeight="1" x14ac:dyDescent="0.25">
      <c r="A20" s="61">
        <v>15</v>
      </c>
      <c r="B20" s="62" t="s">
        <v>588</v>
      </c>
      <c r="C20" s="61" t="s">
        <v>589</v>
      </c>
      <c r="D20" s="62" t="s">
        <v>590</v>
      </c>
      <c r="E20" s="62" t="s">
        <v>591</v>
      </c>
      <c r="F20" s="63">
        <f>CRONOGRAMA!D36+CRONOGRAMA!D38+CRONOGRAMA!D40+CRONOGRAMA!D42</f>
        <v>0</v>
      </c>
      <c r="G20" s="63">
        <f>CRONOGRAMA!E36+CRONOGRAMA!E38+CRONOGRAMA!E40+CRONOGRAMA!E42</f>
        <v>0</v>
      </c>
      <c r="H20" s="63">
        <f>CRONOGRAMA!F36+CRONOGRAMA!F38+CRONOGRAMA!F40+CRONOGRAMA!F42</f>
        <v>0</v>
      </c>
      <c r="I20" s="63">
        <f>CRONOGRAMA!G36+CRONOGRAMA!G38+CRONOGRAMA!G40+CRONOGRAMA!G42</f>
        <v>0</v>
      </c>
      <c r="J20" s="63">
        <f>CRONOGRAMA!H36+CRONOGRAMA!H38+CRONOGRAMA!H40+CRONOGRAMA!H42</f>
        <v>0</v>
      </c>
      <c r="K20" s="63">
        <f>CRONOGRAMA!I36+CRONOGRAMA!I38+CRONOGRAMA!I40+CRONOGRAMA!I42</f>
        <v>255175.09</v>
      </c>
      <c r="L20" s="63">
        <f>CRONOGRAMA!J36+CRONOGRAMA!J38+CRONOGRAMA!J40+CRONOGRAMA!J42</f>
        <v>990070.2</v>
      </c>
      <c r="M20" s="63">
        <f>'Orçamento Sintético'!N135+'Orçamento Sintético'!N137+'Orçamento Sintético'!N153+'Orçamento Sintético'!N156</f>
        <v>1245245.29</v>
      </c>
    </row>
    <row r="21" spans="1:13" ht="48" customHeight="1" x14ac:dyDescent="0.25">
      <c r="A21" s="61">
        <v>16</v>
      </c>
      <c r="B21" s="62" t="s">
        <v>592</v>
      </c>
      <c r="C21" s="61" t="s">
        <v>510</v>
      </c>
      <c r="D21" s="62" t="s">
        <v>593</v>
      </c>
      <c r="E21" s="62" t="s">
        <v>594</v>
      </c>
      <c r="F21" s="63">
        <f>CRONOGRAMA!D56</f>
        <v>0</v>
      </c>
      <c r="G21" s="63">
        <f>CRONOGRAMA!E56</f>
        <v>0</v>
      </c>
      <c r="H21" s="63">
        <f>CRONOGRAMA!F56</f>
        <v>0</v>
      </c>
      <c r="I21" s="63">
        <f>CRONOGRAMA!G56</f>
        <v>0</v>
      </c>
      <c r="J21" s="63">
        <f>CRONOGRAMA!H56</f>
        <v>343885.02</v>
      </c>
      <c r="K21" s="63">
        <f>CRONOGRAMA!I56</f>
        <v>0</v>
      </c>
      <c r="L21" s="63">
        <f>CRONOGRAMA!J56</f>
        <v>343885.02</v>
      </c>
      <c r="M21" s="63">
        <f>'Orçamento Sintético'!N173</f>
        <v>687770.04</v>
      </c>
    </row>
    <row r="24" spans="1:13" x14ac:dyDescent="0.25">
      <c r="A24" s="109" t="s">
        <v>595</v>
      </c>
      <c r="B24" s="109"/>
      <c r="C24" s="109"/>
      <c r="D24" s="109"/>
      <c r="E24" s="109"/>
      <c r="F24" s="60" t="s">
        <v>329</v>
      </c>
      <c r="G24" s="60" t="s">
        <v>330</v>
      </c>
      <c r="H24" s="60" t="s">
        <v>331</v>
      </c>
      <c r="I24" s="60" t="s">
        <v>332</v>
      </c>
      <c r="J24" s="60" t="s">
        <v>333</v>
      </c>
      <c r="K24" s="60" t="s">
        <v>334</v>
      </c>
      <c r="L24" s="60" t="s">
        <v>335</v>
      </c>
      <c r="M24" s="60" t="s">
        <v>336</v>
      </c>
    </row>
    <row r="25" spans="1:13" x14ac:dyDescent="0.25">
      <c r="A25" s="60"/>
      <c r="B25" s="60"/>
      <c r="C25" s="60"/>
      <c r="D25" s="60"/>
      <c r="E25" s="60" t="s">
        <v>596</v>
      </c>
      <c r="F25" s="64">
        <f t="shared" ref="F25:L25" si="0">F26/$M$26</f>
        <v>0.15374421039398156</v>
      </c>
      <c r="G25" s="64">
        <f t="shared" si="0"/>
        <v>0.14175601668134294</v>
      </c>
      <c r="H25" s="64">
        <f t="shared" si="0"/>
        <v>0.15765514211338888</v>
      </c>
      <c r="I25" s="64">
        <f t="shared" si="0"/>
        <v>0.14542794199066958</v>
      </c>
      <c r="J25" s="64">
        <f t="shared" si="0"/>
        <v>0.12855158947763376</v>
      </c>
      <c r="K25" s="64">
        <f t="shared" si="0"/>
        <v>0.13030298293004861</v>
      </c>
      <c r="L25" s="64">
        <f t="shared" si="0"/>
        <v>0.14256211641293473</v>
      </c>
      <c r="M25" s="64">
        <f>SUM(F25:L25)</f>
        <v>1.0000000000000002</v>
      </c>
    </row>
    <row r="26" spans="1:13" x14ac:dyDescent="0.25">
      <c r="A26" s="60"/>
      <c r="B26" s="60"/>
      <c r="C26" s="60"/>
      <c r="D26" s="60"/>
      <c r="E26" s="60" t="s">
        <v>597</v>
      </c>
      <c r="F26" s="65">
        <f t="shared" ref="F26:M26" si="1">SUM(F6:F21)</f>
        <v>2677650.5699999998</v>
      </c>
      <c r="G26" s="65">
        <f t="shared" si="1"/>
        <v>2468860.9600000004</v>
      </c>
      <c r="H26" s="65">
        <f t="shared" si="1"/>
        <v>2745764.41</v>
      </c>
      <c r="I26" s="65">
        <f>SUM(I6:I21)</f>
        <v>2532812.1999999997</v>
      </c>
      <c r="J26" s="65">
        <f t="shared" si="1"/>
        <v>2238889.1</v>
      </c>
      <c r="K26" s="65">
        <f t="shared" si="1"/>
        <v>2269391.84</v>
      </c>
      <c r="L26" s="65">
        <f t="shared" si="1"/>
        <v>2482900.21</v>
      </c>
      <c r="M26" s="65">
        <f t="shared" si="1"/>
        <v>17416269.289999999</v>
      </c>
    </row>
    <row r="27" spans="1:13" x14ac:dyDescent="0.25">
      <c r="A27" s="60"/>
      <c r="B27" s="60"/>
      <c r="C27" s="60"/>
      <c r="D27" s="60"/>
      <c r="E27" s="60" t="s">
        <v>598</v>
      </c>
      <c r="F27" s="64">
        <f t="shared" ref="F27:L27" si="2">F28/$M$26</f>
        <v>0.15374421039398156</v>
      </c>
      <c r="G27" s="64">
        <f t="shared" si="2"/>
        <v>0.29550022707532447</v>
      </c>
      <c r="H27" s="64">
        <f t="shared" si="2"/>
        <v>0.29941115879473185</v>
      </c>
      <c r="I27" s="64">
        <f t="shared" si="2"/>
        <v>0.30308308410405843</v>
      </c>
      <c r="J27" s="64">
        <f t="shared" si="2"/>
        <v>0.27397953146830334</v>
      </c>
      <c r="K27" s="64">
        <f t="shared" si="2"/>
        <v>0.25885457240768234</v>
      </c>
      <c r="L27" s="64">
        <f t="shared" si="2"/>
        <v>0.27286509934298336</v>
      </c>
      <c r="M27" s="64">
        <f>L27</f>
        <v>0.27286509934298336</v>
      </c>
    </row>
    <row r="28" spans="1:13" x14ac:dyDescent="0.25">
      <c r="A28" s="60"/>
      <c r="B28" s="60"/>
      <c r="C28" s="60"/>
      <c r="D28" s="60"/>
      <c r="E28" s="60" t="s">
        <v>599</v>
      </c>
      <c r="F28" s="65">
        <f>F26</f>
        <v>2677650.5699999998</v>
      </c>
      <c r="G28" s="65">
        <f t="shared" ref="G28:L28" si="3">F26+G26</f>
        <v>5146511.53</v>
      </c>
      <c r="H28" s="65">
        <f t="shared" si="3"/>
        <v>5214625.370000001</v>
      </c>
      <c r="I28" s="65">
        <f t="shared" si="3"/>
        <v>5278576.6099999994</v>
      </c>
      <c r="J28" s="65">
        <f t="shared" si="3"/>
        <v>4771701.3</v>
      </c>
      <c r="K28" s="65">
        <f t="shared" si="3"/>
        <v>4508280.9399999995</v>
      </c>
      <c r="L28" s="65">
        <f t="shared" si="3"/>
        <v>4752292.05</v>
      </c>
      <c r="M28" s="65">
        <f>M26</f>
        <v>17416269.289999999</v>
      </c>
    </row>
    <row r="30" spans="1:13" x14ac:dyDescent="0.25">
      <c r="L30" s="74" t="s">
        <v>604</v>
      </c>
    </row>
    <row r="32" spans="1:13" ht="60" customHeight="1" x14ac:dyDescent="0.25">
      <c r="A32" s="110" t="s">
        <v>600</v>
      </c>
      <c r="B32" s="110"/>
      <c r="C32" s="110"/>
      <c r="D32" s="66"/>
      <c r="E32" s="67"/>
      <c r="F32" s="110" t="s">
        <v>601</v>
      </c>
      <c r="G32" s="110"/>
      <c r="H32" s="110"/>
      <c r="I32" s="110"/>
      <c r="J32" s="110"/>
      <c r="K32" s="110"/>
      <c r="L32" s="110"/>
      <c r="M32" s="110"/>
    </row>
  </sheetData>
  <mergeCells count="7">
    <mergeCell ref="A1:M1"/>
    <mergeCell ref="A2:M2"/>
    <mergeCell ref="A3:M3"/>
    <mergeCell ref="A24:E24"/>
    <mergeCell ref="A32:C32"/>
    <mergeCell ref="F32:H32"/>
    <mergeCell ref="I32:M32"/>
  </mergeCells>
  <phoneticPr fontId="32" type="noConversion"/>
  <pageMargins left="0.25" right="0.25" top="0.75" bottom="0.75" header="0.3" footer="0.3"/>
  <pageSetup paperSize="9" scale="47" orientation="landscape" r:id="rId1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Sintético</vt:lpstr>
      <vt:lpstr>CRONOGRAMA</vt:lpstr>
      <vt:lpstr>Eventograma</vt:lpstr>
      <vt:lpstr>CRONOGRAMA!Area_de_impressao</vt:lpstr>
      <vt:lpstr>'Orçamento Sintético'!Area_de_impressao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Matheus Petter Barth</cp:lastModifiedBy>
  <cp:revision>0</cp:revision>
  <cp:lastPrinted>2026-09-09T13:58:53Z</cp:lastPrinted>
  <dcterms:created xsi:type="dcterms:W3CDTF">2026-04-18T14:47:52Z</dcterms:created>
  <dcterms:modified xsi:type="dcterms:W3CDTF">2026-09-09T14:22:03Z</dcterms:modified>
</cp:coreProperties>
</file>