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02 - LICITAÇÕES (EDITAIS)\Editais 2024\Projetos Básicos\PE 037-2024\"/>
    </mc:Choice>
  </mc:AlternateContent>
  <xr:revisionPtr revIDLastSave="0" documentId="8_{00C5F3B0-EC22-4B60-A5A3-E4EE48187398}" xr6:coauthVersionLast="47" xr6:coauthVersionMax="47" xr10:uidLastSave="{00000000-0000-0000-0000-000000000000}"/>
  <bookViews>
    <workbookView xWindow="-120" yWindow="-120" windowWidth="24240" windowHeight="13140" tabRatio="802" firstSheet="1" activeTab="3" xr2:uid="{00000000-000D-0000-FFFF-FFFF00000000}"/>
  </bookViews>
  <sheets>
    <sheet name="SANTA MARIA 28 LUG" sheetId="46" r:id="rId1"/>
    <sheet name="Candelária - 52 lugares" sheetId="47" r:id="rId2"/>
    <sheet name="Candelária - 21 lugares" sheetId="52" r:id="rId3"/>
    <sheet name="Candelária - 33 lugares" sheetId="53" r:id="rId4"/>
    <sheet name="SANTA CRUZ 28 LUGARES" sheetId="49" r:id="rId5"/>
    <sheet name="SANTA CRUZ DO SUL 21 LUG" sheetId="50" r:id="rId6"/>
    <sheet name="CACHOEIRA 28 LUGARES" sheetId="51" r:id="rId7"/>
    <sheet name="Enc. Soc. - LR-LP e SN" sheetId="8" r:id="rId8"/>
    <sheet name="BDI" sheetId="4" r:id="rId9"/>
    <sheet name="Depr." sheetId="48" r:id="rId10"/>
  </sheets>
  <definedNames>
    <definedName name="AbaDeprec" localSheetId="6">#REF!</definedName>
    <definedName name="AbaDeprec" localSheetId="2">#REF!</definedName>
    <definedName name="AbaDeprec" localSheetId="3">#REF!</definedName>
    <definedName name="AbaDeprec" localSheetId="1">#REF!</definedName>
    <definedName name="AbaDeprec" localSheetId="9">#REF!</definedName>
    <definedName name="AbaDeprec" localSheetId="4">#REF!</definedName>
    <definedName name="AbaDeprec" localSheetId="5">#REF!</definedName>
    <definedName name="AbaDeprec" localSheetId="0">#REF!</definedName>
    <definedName name="AbaDeprec">#REF!</definedName>
    <definedName name="AbaRemun" localSheetId="6">#REF!</definedName>
    <definedName name="AbaRemun" localSheetId="2">#REF!</definedName>
    <definedName name="AbaRemun" localSheetId="3">#REF!</definedName>
    <definedName name="AbaRemun" localSheetId="1">#REF!</definedName>
    <definedName name="AbaRemun" localSheetId="9">#REF!</definedName>
    <definedName name="AbaRemun" localSheetId="4">#REF!</definedName>
    <definedName name="AbaRemun" localSheetId="5">#REF!</definedName>
    <definedName name="AbaRemun" localSheetId="0">#REF!</definedName>
    <definedName name="AbaRemun">#REF!</definedName>
    <definedName name="_xlnm.Print_Area" localSheetId="6">'CACHOEIRA 28 LUGARES'!$A$1:$H$227</definedName>
    <definedName name="_xlnm.Print_Area" localSheetId="2">'Candelária - 21 lugares'!$A$1:$H$223</definedName>
    <definedName name="_xlnm.Print_Area" localSheetId="3">'Candelária - 33 lugares'!$A$1:$H$223</definedName>
    <definedName name="_xlnm.Print_Area" localSheetId="1">'Candelária - 52 lugares'!$A$1:$H$224</definedName>
    <definedName name="_xlnm.Print_Area" localSheetId="7">'Enc. Soc. - LR-LP e SN'!$A$1:$C$29</definedName>
    <definedName name="_xlnm.Print_Area" localSheetId="4">'SANTA CRUZ 28 LUGARES'!$A$1:$H$227</definedName>
    <definedName name="_xlnm.Print_Area" localSheetId="5">'SANTA CRUZ DO SUL 21 LUG'!$A$1:$H$223</definedName>
    <definedName name="_xlnm.Print_Area" localSheetId="0">'SANTA MARIA 28 LUG'!$A$1:$H$227</definedName>
    <definedName name="Escavadeira" localSheetId="6">#REF!</definedName>
    <definedName name="Escavadeira" localSheetId="2">#REF!</definedName>
    <definedName name="Escavadeira" localSheetId="3">#REF!</definedName>
    <definedName name="Escavadeira">#REF!</definedName>
    <definedName name="número" localSheetId="6">#REF!</definedName>
    <definedName name="número" localSheetId="2">#REF!</definedName>
    <definedName name="número" localSheetId="3">#REF!</definedName>
    <definedName name="número" localSheetId="1">#REF!</definedName>
    <definedName name="número" localSheetId="9">#REF!</definedName>
    <definedName name="número" localSheetId="4">#REF!</definedName>
    <definedName name="número" localSheetId="5">#REF!</definedName>
    <definedName name="número" localSheetId="0">#REF!</definedName>
    <definedName name="número">#REF!</definedName>
    <definedName name="_xlnm.Print_Titles" localSheetId="6">'CACHOEIRA 28 LUGARES'!$4:$4</definedName>
    <definedName name="_xlnm.Print_Titles" localSheetId="2">'Candelária - 21 lugares'!$4:$4</definedName>
    <definedName name="_xlnm.Print_Titles" localSheetId="3">'Candelária - 33 lugares'!$4:$4</definedName>
    <definedName name="_xlnm.Print_Titles" localSheetId="1">'Candelária - 52 lugares'!$4:$4</definedName>
    <definedName name="_xlnm.Print_Titles" localSheetId="4">'SANTA CRUZ 28 LUGARES'!$4:$4</definedName>
    <definedName name="_xlnm.Print_Titles" localSheetId="5">'SANTA CRUZ DO SUL 21 LUG'!$4:$4</definedName>
    <definedName name="_xlnm.Print_Titles" localSheetId="0">'SANTA MARIA 28 LUG'!$4:$4</definedName>
    <definedName name="x" localSheetId="6">#REF!</definedName>
    <definedName name="x" localSheetId="2">#REF!</definedName>
    <definedName name="x" localSheetId="3">#REF!</definedName>
    <definedName name="x" localSheetId="1">#REF!</definedName>
    <definedName name="x" localSheetId="9">#REF!</definedName>
    <definedName name="x" localSheetId="4">#REF!</definedName>
    <definedName name="x" localSheetId="5">#REF!</definedName>
    <definedName name="x" localSheetId="0">#REF!</definedName>
    <definedName name="x">#REF!</definedName>
  </definedNames>
  <calcPr calcId="181029"/>
</workbook>
</file>

<file path=xl/calcChain.xml><?xml version="1.0" encoding="utf-8"?>
<calcChain xmlns="http://schemas.openxmlformats.org/spreadsheetml/2006/main">
  <c r="D131" i="53" l="1"/>
  <c r="E131" i="53"/>
  <c r="D131" i="52"/>
  <c r="E131" i="52"/>
  <c r="F156" i="53"/>
  <c r="D155" i="53"/>
  <c r="F155" i="53" s="1"/>
  <c r="F154" i="53"/>
  <c r="D154" i="53"/>
  <c r="D153" i="53"/>
  <c r="F153" i="53" s="1"/>
  <c r="F152" i="53"/>
  <c r="D152" i="53"/>
  <c r="F145" i="53"/>
  <c r="E144" i="53"/>
  <c r="F144" i="53" s="1"/>
  <c r="D138" i="53"/>
  <c r="F138" i="53" s="1"/>
  <c r="F136" i="53"/>
  <c r="F130" i="53"/>
  <c r="E124" i="53"/>
  <c r="E122" i="53"/>
  <c r="E120" i="53"/>
  <c r="E118" i="53"/>
  <c r="E116" i="53"/>
  <c r="E113" i="53"/>
  <c r="D113" i="53"/>
  <c r="F107" i="53"/>
  <c r="F106" i="53"/>
  <c r="F105" i="53"/>
  <c r="F104" i="53"/>
  <c r="D86" i="53"/>
  <c r="D84" i="53"/>
  <c r="D83" i="53"/>
  <c r="D85" i="53" s="1"/>
  <c r="E82" i="53"/>
  <c r="E90" i="53" s="1"/>
  <c r="F90" i="53" s="1"/>
  <c r="D92" i="53" s="1"/>
  <c r="E72" i="53"/>
  <c r="D72" i="53"/>
  <c r="F68" i="53"/>
  <c r="D67" i="53"/>
  <c r="F61" i="53"/>
  <c r="F55" i="53"/>
  <c r="D54" i="53"/>
  <c r="D60" i="53" s="1"/>
  <c r="E48" i="53"/>
  <c r="F48" i="53" s="1"/>
  <c r="E67" i="53" s="1"/>
  <c r="C42" i="53"/>
  <c r="F73" i="53" s="1"/>
  <c r="J41" i="53"/>
  <c r="G38" i="53"/>
  <c r="D34" i="53"/>
  <c r="G31" i="53"/>
  <c r="F31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9" i="53"/>
  <c r="G156" i="53" l="1"/>
  <c r="E49" i="53"/>
  <c r="E114" i="53"/>
  <c r="E125" i="53" s="1"/>
  <c r="E139" i="53"/>
  <c r="F139" i="53" s="1"/>
  <c r="E140" i="53" s="1"/>
  <c r="F131" i="53"/>
  <c r="F82" i="53"/>
  <c r="H156" i="53"/>
  <c r="G158" i="53"/>
  <c r="D103" i="53"/>
  <c r="F103" i="53" s="1"/>
  <c r="D102" i="53"/>
  <c r="F102" i="53" s="1"/>
  <c r="D97" i="53"/>
  <c r="D101" i="53"/>
  <c r="C111" i="53"/>
  <c r="I38" i="53"/>
  <c r="F49" i="53"/>
  <c r="E50" i="53"/>
  <c r="F50" i="53" s="1"/>
  <c r="F67" i="53"/>
  <c r="F72" i="53"/>
  <c r="E101" i="53"/>
  <c r="E84" i="53"/>
  <c r="F84" i="53" s="1"/>
  <c r="G146" i="53"/>
  <c r="J41" i="52"/>
  <c r="F156" i="52"/>
  <c r="D155" i="52"/>
  <c r="F155" i="52" s="1"/>
  <c r="D154" i="52"/>
  <c r="F154" i="52" s="1"/>
  <c r="D153" i="52"/>
  <c r="F153" i="52" s="1"/>
  <c r="D152" i="52"/>
  <c r="F152" i="52" s="1"/>
  <c r="F145" i="52"/>
  <c r="F144" i="52"/>
  <c r="G146" i="52" s="1"/>
  <c r="E144" i="52"/>
  <c r="D138" i="52"/>
  <c r="F138" i="52" s="1"/>
  <c r="F136" i="52"/>
  <c r="F131" i="52"/>
  <c r="F130" i="52"/>
  <c r="E124" i="52"/>
  <c r="E122" i="52"/>
  <c r="E120" i="52"/>
  <c r="E118" i="52"/>
  <c r="E116" i="52"/>
  <c r="E113" i="52"/>
  <c r="E114" i="52" s="1"/>
  <c r="E125" i="52" s="1"/>
  <c r="D113" i="52"/>
  <c r="F107" i="52"/>
  <c r="F106" i="52"/>
  <c r="F105" i="52"/>
  <c r="F104" i="52"/>
  <c r="D103" i="52"/>
  <c r="F103" i="52" s="1"/>
  <c r="D102" i="52"/>
  <c r="F102" i="52" s="1"/>
  <c r="D97" i="52"/>
  <c r="D86" i="52"/>
  <c r="D101" i="52" s="1"/>
  <c r="D84" i="52"/>
  <c r="D83" i="52"/>
  <c r="D85" i="52" s="1"/>
  <c r="E82" i="52"/>
  <c r="F82" i="52" s="1"/>
  <c r="E72" i="52"/>
  <c r="D72" i="52"/>
  <c r="F72" i="52" s="1"/>
  <c r="D67" i="52"/>
  <c r="D54" i="52"/>
  <c r="D60" i="52" s="1"/>
  <c r="F48" i="52"/>
  <c r="E48" i="52"/>
  <c r="E49" i="52" s="1"/>
  <c r="E50" i="52" s="1"/>
  <c r="F50" i="52" s="1"/>
  <c r="C42" i="52"/>
  <c r="G38" i="52"/>
  <c r="I38" i="52" s="1"/>
  <c r="D34" i="52"/>
  <c r="G31" i="52"/>
  <c r="F31" i="52"/>
  <c r="A24" i="52"/>
  <c r="A23" i="52"/>
  <c r="A22" i="52"/>
  <c r="A21" i="52"/>
  <c r="A20" i="52"/>
  <c r="A19" i="52"/>
  <c r="A18" i="52"/>
  <c r="A17" i="52"/>
  <c r="A16" i="52"/>
  <c r="A15" i="52"/>
  <c r="A14" i="52"/>
  <c r="A13" i="52"/>
  <c r="A12" i="52"/>
  <c r="A11" i="52"/>
  <c r="A9" i="52"/>
  <c r="E139" i="52" l="1"/>
  <c r="F139" i="52" s="1"/>
  <c r="E140" i="52" s="1"/>
  <c r="G156" i="52"/>
  <c r="G158" i="52" s="1"/>
  <c r="C21" i="52" s="1"/>
  <c r="H146" i="53"/>
  <c r="C20" i="53"/>
  <c r="G68" i="53"/>
  <c r="G67" i="53"/>
  <c r="H67" i="53" s="1"/>
  <c r="E85" i="53"/>
  <c r="F85" i="53" s="1"/>
  <c r="E86" i="53" s="1"/>
  <c r="F86" i="53" s="1"/>
  <c r="G86" i="53" s="1"/>
  <c r="D93" i="53"/>
  <c r="D94" i="53" s="1"/>
  <c r="E95" i="53" s="1"/>
  <c r="F95" i="53" s="1"/>
  <c r="F96" i="53" s="1"/>
  <c r="E97" i="53" s="1"/>
  <c r="F97" i="53" s="1"/>
  <c r="G97" i="53" s="1"/>
  <c r="G73" i="53"/>
  <c r="G72" i="53"/>
  <c r="H72" i="53" s="1"/>
  <c r="F51" i="53"/>
  <c r="E172" i="53"/>
  <c r="D140" i="53"/>
  <c r="F140" i="53" s="1"/>
  <c r="G140" i="53" s="1"/>
  <c r="D116" i="53"/>
  <c r="F116" i="53" s="1"/>
  <c r="D114" i="53"/>
  <c r="F101" i="53"/>
  <c r="E108" i="53" s="1"/>
  <c r="F108" i="53" s="1"/>
  <c r="G108" i="53" s="1"/>
  <c r="H158" i="53"/>
  <c r="C21" i="53"/>
  <c r="H158" i="52"/>
  <c r="G72" i="52"/>
  <c r="H72" i="52" s="1"/>
  <c r="H146" i="52"/>
  <c r="C20" i="52"/>
  <c r="E21" i="52"/>
  <c r="F73" i="52"/>
  <c r="G73" i="52" s="1"/>
  <c r="F68" i="52"/>
  <c r="F61" i="52"/>
  <c r="F55" i="52"/>
  <c r="E67" i="52"/>
  <c r="F67" i="52" s="1"/>
  <c r="E101" i="52"/>
  <c r="F101" i="52" s="1"/>
  <c r="E108" i="52" s="1"/>
  <c r="F108" i="52" s="1"/>
  <c r="G108" i="52" s="1"/>
  <c r="F49" i="52"/>
  <c r="F51" i="52" s="1"/>
  <c r="E84" i="52"/>
  <c r="F84" i="52" s="1"/>
  <c r="E90" i="52"/>
  <c r="F90" i="52" s="1"/>
  <c r="D92" i="52" s="1"/>
  <c r="C111" i="52"/>
  <c r="H156" i="52"/>
  <c r="E132" i="51"/>
  <c r="E129" i="47"/>
  <c r="D132" i="46"/>
  <c r="E119" i="46"/>
  <c r="D67" i="46"/>
  <c r="H97" i="53" l="1"/>
  <c r="C15" i="53"/>
  <c r="E21" i="53"/>
  <c r="H108" i="53"/>
  <c r="C16" i="53"/>
  <c r="E186" i="53"/>
  <c r="E211" i="53"/>
  <c r="C11" i="53"/>
  <c r="H68" i="53"/>
  <c r="D124" i="53"/>
  <c r="F124" i="53" s="1"/>
  <c r="D120" i="53"/>
  <c r="F120" i="53" s="1"/>
  <c r="D129" i="53"/>
  <c r="F129" i="53" s="1"/>
  <c r="F132" i="53" s="1"/>
  <c r="G132" i="53" s="1"/>
  <c r="D122" i="53"/>
  <c r="F122" i="53" s="1"/>
  <c r="D118" i="53"/>
  <c r="F118" i="53" s="1"/>
  <c r="F114" i="53"/>
  <c r="H140" i="53"/>
  <c r="C19" i="53"/>
  <c r="E58" i="53"/>
  <c r="E52" i="53"/>
  <c r="H73" i="53"/>
  <c r="C12" i="53"/>
  <c r="H86" i="53"/>
  <c r="C14" i="53"/>
  <c r="E20" i="53"/>
  <c r="E85" i="52"/>
  <c r="F85" i="52" s="1"/>
  <c r="E86" i="52" s="1"/>
  <c r="F86" i="52" s="1"/>
  <c r="G86" i="52" s="1"/>
  <c r="D93" i="52"/>
  <c r="H108" i="52"/>
  <c r="C16" i="52"/>
  <c r="D114" i="52"/>
  <c r="D116" i="52"/>
  <c r="F116" i="52" s="1"/>
  <c r="E172" i="52"/>
  <c r="D140" i="52"/>
  <c r="F140" i="52" s="1"/>
  <c r="G140" i="52" s="1"/>
  <c r="E58" i="52"/>
  <c r="E52" i="52"/>
  <c r="G21" i="52"/>
  <c r="H73" i="52"/>
  <c r="C12" i="52"/>
  <c r="D94" i="52"/>
  <c r="E95" i="52" s="1"/>
  <c r="F95" i="52" s="1"/>
  <c r="F96" i="52" s="1"/>
  <c r="E97" i="52" s="1"/>
  <c r="F97" i="52" s="1"/>
  <c r="G97" i="52" s="1"/>
  <c r="G67" i="52"/>
  <c r="H67" i="52" s="1"/>
  <c r="G68" i="52"/>
  <c r="E20" i="52"/>
  <c r="D67" i="49"/>
  <c r="C42" i="51"/>
  <c r="F55" i="51" s="1"/>
  <c r="F61" i="51" s="1"/>
  <c r="F68" i="51" s="1"/>
  <c r="F73" i="51" s="1"/>
  <c r="F157" i="51"/>
  <c r="D156" i="51"/>
  <c r="F156" i="51" s="1"/>
  <c r="F155" i="51"/>
  <c r="D155" i="51"/>
  <c r="D154" i="51"/>
  <c r="F154" i="51" s="1"/>
  <c r="F153" i="51"/>
  <c r="D153" i="51"/>
  <c r="F146" i="51"/>
  <c r="E145" i="51"/>
  <c r="F145" i="51" s="1"/>
  <c r="G147" i="51" s="1"/>
  <c r="C20" i="51" s="1"/>
  <c r="F139" i="51"/>
  <c r="D139" i="51"/>
  <c r="F137" i="51"/>
  <c r="D132" i="51"/>
  <c r="F132" i="51" s="1"/>
  <c r="F131" i="51"/>
  <c r="E125" i="51"/>
  <c r="E123" i="51"/>
  <c r="E121" i="51"/>
  <c r="E119" i="51"/>
  <c r="E117" i="51"/>
  <c r="E114" i="51"/>
  <c r="E115" i="51" s="1"/>
  <c r="E126" i="51" s="1"/>
  <c r="D114" i="51"/>
  <c r="F108" i="51"/>
  <c r="F107" i="51"/>
  <c r="F106" i="51"/>
  <c r="F105" i="51"/>
  <c r="F104" i="51"/>
  <c r="D86" i="51"/>
  <c r="D101" i="51" s="1"/>
  <c r="D83" i="51"/>
  <c r="D85" i="51" s="1"/>
  <c r="E82" i="51"/>
  <c r="E90" i="51" s="1"/>
  <c r="F90" i="51" s="1"/>
  <c r="D92" i="51" s="1"/>
  <c r="E72" i="51"/>
  <c r="D54" i="51"/>
  <c r="D60" i="51" s="1"/>
  <c r="E48" i="51"/>
  <c r="G38" i="51"/>
  <c r="C112" i="51" s="1"/>
  <c r="D34" i="51"/>
  <c r="G31" i="51"/>
  <c r="F31" i="51"/>
  <c r="A24" i="51"/>
  <c r="A23" i="51"/>
  <c r="A22" i="51"/>
  <c r="A21" i="51"/>
  <c r="A20" i="51"/>
  <c r="A19" i="51"/>
  <c r="A18" i="51"/>
  <c r="A17" i="51"/>
  <c r="A16" i="51"/>
  <c r="A15" i="51"/>
  <c r="A14" i="51"/>
  <c r="A13" i="51"/>
  <c r="A12" i="51"/>
  <c r="A11" i="51"/>
  <c r="A9" i="51"/>
  <c r="C42" i="50"/>
  <c r="F73" i="50" s="1"/>
  <c r="G38" i="49"/>
  <c r="C112" i="49" s="1"/>
  <c r="F107" i="49"/>
  <c r="E107" i="49"/>
  <c r="C42" i="49"/>
  <c r="F55" i="49" s="1"/>
  <c r="F61" i="49" s="1"/>
  <c r="F68" i="49" s="1"/>
  <c r="F73" i="49" s="1"/>
  <c r="F156" i="50"/>
  <c r="D155" i="50"/>
  <c r="F155" i="50" s="1"/>
  <c r="D154" i="50"/>
  <c r="F154" i="50" s="1"/>
  <c r="D153" i="50"/>
  <c r="F153" i="50" s="1"/>
  <c r="D152" i="50"/>
  <c r="F152" i="50" s="1"/>
  <c r="F145" i="50"/>
  <c r="E144" i="50"/>
  <c r="F144" i="50" s="1"/>
  <c r="D138" i="50"/>
  <c r="F138" i="50" s="1"/>
  <c r="F136" i="50"/>
  <c r="D131" i="50"/>
  <c r="F131" i="50" s="1"/>
  <c r="F130" i="50"/>
  <c r="E124" i="50"/>
  <c r="E122" i="50"/>
  <c r="E120" i="50"/>
  <c r="E118" i="50"/>
  <c r="E116" i="50"/>
  <c r="E113" i="50"/>
  <c r="D113" i="50"/>
  <c r="F107" i="50"/>
  <c r="F106" i="50"/>
  <c r="F105" i="50"/>
  <c r="F104" i="50"/>
  <c r="D102" i="50"/>
  <c r="F102" i="50" s="1"/>
  <c r="D97" i="50"/>
  <c r="E90" i="50"/>
  <c r="F90" i="50" s="1"/>
  <c r="D92" i="50" s="1"/>
  <c r="D86" i="50"/>
  <c r="D101" i="50" s="1"/>
  <c r="E84" i="50"/>
  <c r="D84" i="50"/>
  <c r="D83" i="50"/>
  <c r="D85" i="50" s="1"/>
  <c r="E82" i="50"/>
  <c r="F82" i="50" s="1"/>
  <c r="E72" i="50"/>
  <c r="D72" i="50"/>
  <c r="F72" i="50" s="1"/>
  <c r="G72" i="50" s="1"/>
  <c r="F68" i="50"/>
  <c r="D67" i="50"/>
  <c r="D54" i="50"/>
  <c r="D60" i="50" s="1"/>
  <c r="E48" i="50"/>
  <c r="E49" i="50" s="1"/>
  <c r="F49" i="50" s="1"/>
  <c r="G38" i="50"/>
  <c r="I38" i="50" s="1"/>
  <c r="D34" i="50"/>
  <c r="G31" i="50"/>
  <c r="F31" i="50"/>
  <c r="A24" i="50"/>
  <c r="A23" i="50"/>
  <c r="A22" i="50"/>
  <c r="A21" i="50"/>
  <c r="A20" i="50"/>
  <c r="A19" i="50"/>
  <c r="A18" i="50"/>
  <c r="A17" i="50"/>
  <c r="A16" i="50"/>
  <c r="A15" i="50"/>
  <c r="A14" i="50"/>
  <c r="A13" i="50"/>
  <c r="A12" i="50"/>
  <c r="A11" i="50"/>
  <c r="A9" i="50"/>
  <c r="F157" i="49"/>
  <c r="F156" i="49"/>
  <c r="D156" i="49"/>
  <c r="D155" i="49"/>
  <c r="F155" i="49" s="1"/>
  <c r="F154" i="49"/>
  <c r="D154" i="49"/>
  <c r="D153" i="49"/>
  <c r="F153" i="49" s="1"/>
  <c r="F146" i="49"/>
  <c r="E145" i="49"/>
  <c r="F145" i="49" s="1"/>
  <c r="D139" i="49"/>
  <c r="F139" i="49" s="1"/>
  <c r="F137" i="49"/>
  <c r="D132" i="49"/>
  <c r="F131" i="49"/>
  <c r="E125" i="49"/>
  <c r="E123" i="49"/>
  <c r="E121" i="49"/>
  <c r="E119" i="49"/>
  <c r="E117" i="49"/>
  <c r="E114" i="49"/>
  <c r="D114" i="49"/>
  <c r="F108" i="49"/>
  <c r="F106" i="49"/>
  <c r="F105" i="49"/>
  <c r="F104" i="49"/>
  <c r="D86" i="49"/>
  <c r="D101" i="49" s="1"/>
  <c r="D83" i="49"/>
  <c r="D85" i="49" s="1"/>
  <c r="E82" i="49"/>
  <c r="E90" i="49" s="1"/>
  <c r="F90" i="49" s="1"/>
  <c r="D92" i="49" s="1"/>
  <c r="E72" i="49"/>
  <c r="D54" i="49"/>
  <c r="E48" i="49"/>
  <c r="D34" i="49"/>
  <c r="G31" i="49"/>
  <c r="F31" i="49"/>
  <c r="A24" i="49"/>
  <c r="A23" i="49"/>
  <c r="A22" i="49"/>
  <c r="A21" i="49"/>
  <c r="A20" i="49"/>
  <c r="A19" i="49"/>
  <c r="A18" i="49"/>
  <c r="A17" i="49"/>
  <c r="A16" i="49"/>
  <c r="A15" i="49"/>
  <c r="A14" i="49"/>
  <c r="A13" i="49"/>
  <c r="A12" i="49"/>
  <c r="A11" i="49"/>
  <c r="A9" i="49"/>
  <c r="G157" i="49" l="1"/>
  <c r="G156" i="50"/>
  <c r="H156" i="50" s="1"/>
  <c r="G157" i="51"/>
  <c r="E115" i="49"/>
  <c r="E126" i="49" s="1"/>
  <c r="F48" i="50"/>
  <c r="E114" i="50"/>
  <c r="E125" i="50" s="1"/>
  <c r="E139" i="50"/>
  <c r="F139" i="50" s="1"/>
  <c r="E140" i="50" s="1"/>
  <c r="F82" i="51"/>
  <c r="E101" i="51" s="1"/>
  <c r="F101" i="51" s="1"/>
  <c r="E109" i="51" s="1"/>
  <c r="F109" i="51" s="1"/>
  <c r="G109" i="51" s="1"/>
  <c r="D102" i="51"/>
  <c r="F102" i="51" s="1"/>
  <c r="D103" i="51"/>
  <c r="F103" i="51" s="1"/>
  <c r="E140" i="51"/>
  <c r="F140" i="51" s="1"/>
  <c r="E141" i="51" s="1"/>
  <c r="D103" i="50"/>
  <c r="F103" i="50" s="1"/>
  <c r="D97" i="51"/>
  <c r="E12" i="53"/>
  <c r="H132" i="53"/>
  <c r="C18" i="53"/>
  <c r="E11" i="53"/>
  <c r="G21" i="53"/>
  <c r="G20" i="53"/>
  <c r="E14" i="53"/>
  <c r="E19" i="53"/>
  <c r="F125" i="53"/>
  <c r="G125" i="53" s="1"/>
  <c r="E16" i="53"/>
  <c r="E15" i="53"/>
  <c r="G20" i="52"/>
  <c r="E12" i="52"/>
  <c r="E211" i="52"/>
  <c r="E186" i="52"/>
  <c r="D129" i="52"/>
  <c r="F129" i="52" s="1"/>
  <c r="F132" i="52" s="1"/>
  <c r="G132" i="52" s="1"/>
  <c r="D122" i="52"/>
  <c r="F122" i="52" s="1"/>
  <c r="D118" i="52"/>
  <c r="F118" i="52" s="1"/>
  <c r="F114" i="52"/>
  <c r="D124" i="52"/>
  <c r="F124" i="52" s="1"/>
  <c r="D120" i="52"/>
  <c r="F120" i="52" s="1"/>
  <c r="H86" i="52"/>
  <c r="C14" i="52"/>
  <c r="H68" i="52"/>
  <c r="C11" i="52"/>
  <c r="H97" i="52"/>
  <c r="C15" i="52"/>
  <c r="H140" i="52"/>
  <c r="C19" i="52"/>
  <c r="E16" i="52"/>
  <c r="H147" i="51"/>
  <c r="I38" i="51"/>
  <c r="H157" i="51"/>
  <c r="G159" i="51"/>
  <c r="E20" i="51"/>
  <c r="E49" i="51"/>
  <c r="F49" i="51" s="1"/>
  <c r="F48" i="51"/>
  <c r="D72" i="51"/>
  <c r="F72" i="51" s="1"/>
  <c r="D67" i="51"/>
  <c r="E84" i="51"/>
  <c r="F84" i="51" s="1"/>
  <c r="E85" i="51" s="1"/>
  <c r="F85" i="51" s="1"/>
  <c r="E86" i="51" s="1"/>
  <c r="F86" i="51" s="1"/>
  <c r="G86" i="51" s="1"/>
  <c r="E173" i="51"/>
  <c r="D141" i="51"/>
  <c r="D115" i="51"/>
  <c r="D117" i="51"/>
  <c r="F117" i="51" s="1"/>
  <c r="F55" i="50"/>
  <c r="F61" i="50"/>
  <c r="E50" i="50"/>
  <c r="F50" i="50" s="1"/>
  <c r="F51" i="50" s="1"/>
  <c r="H72" i="50"/>
  <c r="D97" i="49"/>
  <c r="D103" i="49"/>
  <c r="F103" i="49" s="1"/>
  <c r="F82" i="49"/>
  <c r="E101" i="49" s="1"/>
  <c r="F101" i="49" s="1"/>
  <c r="E109" i="49" s="1"/>
  <c r="F109" i="49" s="1"/>
  <c r="G109" i="49" s="1"/>
  <c r="D102" i="49"/>
  <c r="F102" i="49" s="1"/>
  <c r="F132" i="49"/>
  <c r="E140" i="49"/>
  <c r="F140" i="49" s="1"/>
  <c r="E141" i="49" s="1"/>
  <c r="I38" i="49"/>
  <c r="H157" i="49"/>
  <c r="G159" i="49"/>
  <c r="E49" i="49"/>
  <c r="F49" i="49" s="1"/>
  <c r="F48" i="49"/>
  <c r="D60" i="49"/>
  <c r="D72" i="49"/>
  <c r="F72" i="49" s="1"/>
  <c r="E173" i="49"/>
  <c r="D141" i="49"/>
  <c r="F141" i="49" s="1"/>
  <c r="G141" i="49" s="1"/>
  <c r="D115" i="49"/>
  <c r="D117" i="49"/>
  <c r="F117" i="49" s="1"/>
  <c r="G73" i="50"/>
  <c r="C111" i="50"/>
  <c r="E50" i="49"/>
  <c r="F50" i="49" s="1"/>
  <c r="G147" i="49"/>
  <c r="E67" i="50"/>
  <c r="F67" i="50" s="1"/>
  <c r="F84" i="50"/>
  <c r="E85" i="50" s="1"/>
  <c r="F85" i="50" s="1"/>
  <c r="E86" i="50" s="1"/>
  <c r="F86" i="50" s="1"/>
  <c r="G86" i="50" s="1"/>
  <c r="E101" i="50"/>
  <c r="F101" i="50" s="1"/>
  <c r="G146" i="50"/>
  <c r="I42" i="47"/>
  <c r="E107" i="46"/>
  <c r="F107" i="46" s="1"/>
  <c r="C42" i="46"/>
  <c r="F55" i="46" s="1"/>
  <c r="H109" i="51" l="1"/>
  <c r="C16" i="51"/>
  <c r="E16" i="51" s="1"/>
  <c r="G158" i="50"/>
  <c r="F141" i="51"/>
  <c r="G141" i="51" s="1"/>
  <c r="E50" i="51"/>
  <c r="F50" i="51" s="1"/>
  <c r="E108" i="50"/>
  <c r="F108" i="50" s="1"/>
  <c r="G108" i="50" s="1"/>
  <c r="H108" i="50" s="1"/>
  <c r="E84" i="49"/>
  <c r="F84" i="49" s="1"/>
  <c r="E85" i="49" s="1"/>
  <c r="F85" i="49" s="1"/>
  <c r="E86" i="49" s="1"/>
  <c r="F86" i="49" s="1"/>
  <c r="G86" i="49" s="1"/>
  <c r="G16" i="53"/>
  <c r="H125" i="53"/>
  <c r="C17" i="53"/>
  <c r="G148" i="53"/>
  <c r="G19" i="53"/>
  <c r="G11" i="53"/>
  <c r="G15" i="53"/>
  <c r="G14" i="53"/>
  <c r="E18" i="53"/>
  <c r="G12" i="53"/>
  <c r="G16" i="52"/>
  <c r="F125" i="52"/>
  <c r="G125" i="52" s="1"/>
  <c r="G12" i="52"/>
  <c r="E19" i="52"/>
  <c r="E15" i="52"/>
  <c r="E11" i="52"/>
  <c r="E14" i="52"/>
  <c r="C18" i="52"/>
  <c r="H132" i="52"/>
  <c r="H141" i="51"/>
  <c r="C19" i="51"/>
  <c r="G20" i="51"/>
  <c r="H86" i="51"/>
  <c r="C14" i="51"/>
  <c r="D130" i="51"/>
  <c r="F130" i="51" s="1"/>
  <c r="F133" i="51" s="1"/>
  <c r="G133" i="51" s="1"/>
  <c r="D123" i="51"/>
  <c r="F123" i="51" s="1"/>
  <c r="D119" i="51"/>
  <c r="F119" i="51" s="1"/>
  <c r="F115" i="51"/>
  <c r="D125" i="51"/>
  <c r="F125" i="51" s="1"/>
  <c r="D121" i="51"/>
  <c r="F121" i="51" s="1"/>
  <c r="E212" i="51"/>
  <c r="E187" i="51"/>
  <c r="D93" i="51"/>
  <c r="D94" i="51" s="1"/>
  <c r="E95" i="51" s="1"/>
  <c r="F95" i="51" s="1"/>
  <c r="F96" i="51" s="1"/>
  <c r="E97" i="51" s="1"/>
  <c r="F97" i="51" s="1"/>
  <c r="G97" i="51" s="1"/>
  <c r="G73" i="51"/>
  <c r="G72" i="51"/>
  <c r="H72" i="51" s="1"/>
  <c r="F51" i="51"/>
  <c r="E67" i="51"/>
  <c r="F67" i="51" s="1"/>
  <c r="H159" i="51"/>
  <c r="C21" i="51"/>
  <c r="D93" i="49"/>
  <c r="D94" i="49" s="1"/>
  <c r="E95" i="49" s="1"/>
  <c r="F95" i="49" s="1"/>
  <c r="F96" i="49" s="1"/>
  <c r="E97" i="49" s="1"/>
  <c r="F97" i="49" s="1"/>
  <c r="G97" i="49" s="1"/>
  <c r="H97" i="49" s="1"/>
  <c r="H86" i="50"/>
  <c r="C14" i="50"/>
  <c r="C16" i="50"/>
  <c r="G67" i="50"/>
  <c r="H67" i="50" s="1"/>
  <c r="G68" i="50"/>
  <c r="H86" i="49"/>
  <c r="C14" i="49"/>
  <c r="H147" i="49"/>
  <c r="C20" i="49"/>
  <c r="H109" i="49"/>
  <c r="C16" i="49"/>
  <c r="H73" i="50"/>
  <c r="C12" i="50"/>
  <c r="D130" i="49"/>
  <c r="F130" i="49" s="1"/>
  <c r="F133" i="49" s="1"/>
  <c r="G133" i="49" s="1"/>
  <c r="D123" i="49"/>
  <c r="F123" i="49" s="1"/>
  <c r="D119" i="49"/>
  <c r="F119" i="49" s="1"/>
  <c r="F115" i="49"/>
  <c r="D125" i="49"/>
  <c r="F125" i="49" s="1"/>
  <c r="D121" i="49"/>
  <c r="F121" i="49" s="1"/>
  <c r="E187" i="49"/>
  <c r="E212" i="49"/>
  <c r="G73" i="49"/>
  <c r="G72" i="49"/>
  <c r="H72" i="49" s="1"/>
  <c r="F51" i="49"/>
  <c r="H159" i="49"/>
  <c r="C21" i="49"/>
  <c r="H146" i="50"/>
  <c r="C20" i="50"/>
  <c r="D93" i="50"/>
  <c r="D94" i="50" s="1"/>
  <c r="E95" i="50" s="1"/>
  <c r="F95" i="50" s="1"/>
  <c r="F96" i="50" s="1"/>
  <c r="E97" i="50" s="1"/>
  <c r="F97" i="50" s="1"/>
  <c r="G97" i="50" s="1"/>
  <c r="E58" i="50"/>
  <c r="E52" i="50"/>
  <c r="E67" i="49"/>
  <c r="F67" i="49" s="1"/>
  <c r="E172" i="50"/>
  <c r="D140" i="50"/>
  <c r="F140" i="50" s="1"/>
  <c r="G140" i="50" s="1"/>
  <c r="D114" i="50"/>
  <c r="D116" i="50"/>
  <c r="F116" i="50" s="1"/>
  <c r="H141" i="49"/>
  <c r="C19" i="49"/>
  <c r="H158" i="50"/>
  <c r="C21" i="50"/>
  <c r="F61" i="46"/>
  <c r="F68" i="46" s="1"/>
  <c r="F73" i="46" s="1"/>
  <c r="C13" i="53" l="1"/>
  <c r="E13" i="53" s="1"/>
  <c r="G13" i="53" s="1"/>
  <c r="H148" i="53"/>
  <c r="G18" i="53"/>
  <c r="E17" i="53"/>
  <c r="E18" i="52"/>
  <c r="G14" i="52"/>
  <c r="H125" i="52"/>
  <c r="C17" i="52"/>
  <c r="G148" i="52"/>
  <c r="G11" i="52"/>
  <c r="G15" i="52"/>
  <c r="G19" i="52"/>
  <c r="G67" i="51"/>
  <c r="E58" i="51"/>
  <c r="E52" i="51"/>
  <c r="H73" i="51"/>
  <c r="C12" i="51"/>
  <c r="F126" i="51"/>
  <c r="G126" i="51" s="1"/>
  <c r="E14" i="51"/>
  <c r="E19" i="51"/>
  <c r="E21" i="51"/>
  <c r="H97" i="51"/>
  <c r="C15" i="51"/>
  <c r="H133" i="51"/>
  <c r="C18" i="51"/>
  <c r="G16" i="51"/>
  <c r="C15" i="49"/>
  <c r="G68" i="49"/>
  <c r="G67" i="49"/>
  <c r="H67" i="49" s="1"/>
  <c r="D129" i="50"/>
  <c r="F129" i="50" s="1"/>
  <c r="F132" i="50" s="1"/>
  <c r="G132" i="50" s="1"/>
  <c r="D122" i="50"/>
  <c r="F122" i="50" s="1"/>
  <c r="D118" i="50"/>
  <c r="F118" i="50" s="1"/>
  <c r="F114" i="50"/>
  <c r="D124" i="50"/>
  <c r="F124" i="50" s="1"/>
  <c r="D120" i="50"/>
  <c r="F120" i="50" s="1"/>
  <c r="E211" i="50"/>
  <c r="E186" i="50"/>
  <c r="E20" i="50"/>
  <c r="E21" i="49"/>
  <c r="E58" i="49"/>
  <c r="E52" i="49"/>
  <c r="C12" i="49"/>
  <c r="H73" i="49"/>
  <c r="H133" i="49"/>
  <c r="C18" i="49"/>
  <c r="E15" i="49"/>
  <c r="H68" i="50"/>
  <c r="C11" i="50"/>
  <c r="E16" i="50"/>
  <c r="E14" i="50"/>
  <c r="E21" i="50"/>
  <c r="H140" i="50"/>
  <c r="C19" i="50"/>
  <c r="C15" i="50"/>
  <c r="H97" i="50"/>
  <c r="F126" i="49"/>
  <c r="G126" i="49" s="1"/>
  <c r="E12" i="50"/>
  <c r="E16" i="49"/>
  <c r="E20" i="49"/>
  <c r="E14" i="49"/>
  <c r="A20" i="47"/>
  <c r="A20" i="46"/>
  <c r="H67" i="51" l="1"/>
  <c r="G68" i="51"/>
  <c r="C11" i="51" s="1"/>
  <c r="G17" i="53"/>
  <c r="H148" i="52"/>
  <c r="C13" i="52"/>
  <c r="E13" i="52" s="1"/>
  <c r="G13" i="52" s="1"/>
  <c r="G18" i="52"/>
  <c r="E17" i="52"/>
  <c r="G21" i="51"/>
  <c r="G19" i="51"/>
  <c r="E12" i="51"/>
  <c r="E18" i="51"/>
  <c r="E15" i="51"/>
  <c r="G14" i="51"/>
  <c r="H126" i="51"/>
  <c r="C17" i="51"/>
  <c r="G149" i="51"/>
  <c r="H68" i="51"/>
  <c r="G14" i="49"/>
  <c r="G20" i="49"/>
  <c r="G16" i="49"/>
  <c r="G12" i="50"/>
  <c r="E19" i="50"/>
  <c r="G19" i="49"/>
  <c r="E11" i="50"/>
  <c r="G15" i="49"/>
  <c r="E18" i="49"/>
  <c r="G20" i="50"/>
  <c r="H132" i="50"/>
  <c r="C18" i="50"/>
  <c r="H68" i="49"/>
  <c r="C11" i="49"/>
  <c r="H126" i="49"/>
  <c r="C17" i="49"/>
  <c r="G149" i="49"/>
  <c r="E15" i="50"/>
  <c r="G21" i="50"/>
  <c r="G14" i="50"/>
  <c r="G16" i="50"/>
  <c r="E12" i="49"/>
  <c r="G21" i="49"/>
  <c r="F125" i="50"/>
  <c r="G125" i="50" s="1"/>
  <c r="D84" i="47"/>
  <c r="G17" i="52" l="1"/>
  <c r="H149" i="51"/>
  <c r="C13" i="51"/>
  <c r="E13" i="51" s="1"/>
  <c r="G13" i="51" s="1"/>
  <c r="G15" i="51"/>
  <c r="G12" i="51"/>
  <c r="E11" i="51"/>
  <c r="E17" i="51"/>
  <c r="G18" i="51"/>
  <c r="C17" i="50"/>
  <c r="H125" i="50"/>
  <c r="G148" i="50"/>
  <c r="G12" i="49"/>
  <c r="E17" i="49"/>
  <c r="E11" i="49"/>
  <c r="E18" i="50"/>
  <c r="G18" i="49"/>
  <c r="G15" i="50"/>
  <c r="H149" i="49"/>
  <c r="C13" i="49"/>
  <c r="E13" i="49" s="1"/>
  <c r="G13" i="49" s="1"/>
  <c r="G11" i="50"/>
  <c r="G19" i="50"/>
  <c r="E116" i="47"/>
  <c r="E117" i="46"/>
  <c r="G17" i="51" l="1"/>
  <c r="G11" i="51"/>
  <c r="G18" i="50"/>
  <c r="G11" i="49"/>
  <c r="G17" i="49"/>
  <c r="C13" i="50"/>
  <c r="E13" i="50" s="1"/>
  <c r="G13" i="50" s="1"/>
  <c r="H148" i="50"/>
  <c r="E17" i="50"/>
  <c r="F73" i="47"/>
  <c r="F68" i="47"/>
  <c r="F61" i="47"/>
  <c r="F55" i="47"/>
  <c r="G17" i="50" l="1"/>
  <c r="D54" i="47" l="1"/>
  <c r="E72" i="47" l="1"/>
  <c r="E72" i="46"/>
  <c r="E48" i="47"/>
  <c r="F48" i="47" s="1"/>
  <c r="E48" i="46"/>
  <c r="F48" i="46" s="1"/>
  <c r="E67" i="46" s="1"/>
  <c r="E142" i="47"/>
  <c r="E145" i="46"/>
  <c r="E49" i="47" l="1"/>
  <c r="F49" i="47" s="1"/>
  <c r="E49" i="46"/>
  <c r="D129" i="47"/>
  <c r="E120" i="47"/>
  <c r="E118" i="47"/>
  <c r="E123" i="46"/>
  <c r="E121" i="46"/>
  <c r="F49" i="46" l="1"/>
  <c r="E50" i="46"/>
  <c r="F50" i="46" s="1"/>
  <c r="E50" i="47"/>
  <c r="F50" i="47" s="1"/>
  <c r="F51" i="47" s="1"/>
  <c r="F51" i="46" l="1"/>
  <c r="F143" i="47"/>
  <c r="F142" i="47"/>
  <c r="F146" i="46"/>
  <c r="F145" i="46"/>
  <c r="G147" i="46" s="1"/>
  <c r="C20" i="46" s="1"/>
  <c r="E20" i="46" s="1"/>
  <c r="G20" i="46" s="1"/>
  <c r="G144" i="47" l="1"/>
  <c r="C20" i="47" s="1"/>
  <c r="E20" i="47" s="1"/>
  <c r="G20" i="47" s="1"/>
  <c r="F106" i="46"/>
  <c r="F106" i="47"/>
  <c r="C12" i="48" l="1"/>
  <c r="C11" i="48"/>
  <c r="C10" i="48"/>
  <c r="C9" i="48"/>
  <c r="C8" i="48"/>
  <c r="C7" i="48"/>
  <c r="C6" i="48"/>
  <c r="C5" i="48"/>
  <c r="C4" i="48"/>
  <c r="C3" i="48"/>
  <c r="D54" i="46" l="1"/>
  <c r="C37" i="8" l="1"/>
  <c r="C38" i="8"/>
  <c r="D58" i="53" l="1"/>
  <c r="F58" i="53" s="1"/>
  <c r="F59" i="53" s="1"/>
  <c r="E60" i="53" s="1"/>
  <c r="F60" i="53" s="1"/>
  <c r="D58" i="52"/>
  <c r="F58" i="52" s="1"/>
  <c r="F59" i="52" s="1"/>
  <c r="E60" i="52" s="1"/>
  <c r="F60" i="52" s="1"/>
  <c r="D58" i="49"/>
  <c r="F58" i="49" s="1"/>
  <c r="F59" i="49" s="1"/>
  <c r="E60" i="49" s="1"/>
  <c r="F60" i="49" s="1"/>
  <c r="D58" i="51"/>
  <c r="F58" i="51" s="1"/>
  <c r="F59" i="51" s="1"/>
  <c r="E60" i="51" s="1"/>
  <c r="F60" i="51" s="1"/>
  <c r="D58" i="50"/>
  <c r="F58" i="50" s="1"/>
  <c r="F59" i="50" s="1"/>
  <c r="E60" i="50" s="1"/>
  <c r="F60" i="50" s="1"/>
  <c r="F131" i="46"/>
  <c r="F128" i="47"/>
  <c r="G60" i="52" l="1"/>
  <c r="H60" i="52" s="1"/>
  <c r="G61" i="52"/>
  <c r="G60" i="51"/>
  <c r="H60" i="51" s="1"/>
  <c r="G61" i="51"/>
  <c r="G60" i="49"/>
  <c r="H60" i="49" s="1"/>
  <c r="G61" i="49"/>
  <c r="G60" i="50"/>
  <c r="H60" i="50" s="1"/>
  <c r="G61" i="50"/>
  <c r="G61" i="53"/>
  <c r="G60" i="53"/>
  <c r="H60" i="53" s="1"/>
  <c r="F132" i="46"/>
  <c r="D139" i="46"/>
  <c r="F139" i="46" s="1"/>
  <c r="D136" i="47"/>
  <c r="F136" i="47" s="1"/>
  <c r="G77" i="52" l="1"/>
  <c r="G10" i="52"/>
  <c r="H61" i="52"/>
  <c r="G77" i="50"/>
  <c r="H61" i="50"/>
  <c r="G10" i="50"/>
  <c r="H61" i="51"/>
  <c r="G10" i="51"/>
  <c r="G77" i="51"/>
  <c r="G77" i="49"/>
  <c r="G10" i="49"/>
  <c r="H61" i="49"/>
  <c r="G10" i="53"/>
  <c r="G77" i="53"/>
  <c r="H61" i="53"/>
  <c r="G9" i="50" l="1"/>
  <c r="H77" i="50"/>
  <c r="G161" i="50"/>
  <c r="H77" i="49"/>
  <c r="G162" i="49"/>
  <c r="G9" i="49"/>
  <c r="G161" i="53"/>
  <c r="H77" i="53"/>
  <c r="G9" i="53"/>
  <c r="G162" i="51"/>
  <c r="G9" i="51"/>
  <c r="H77" i="51"/>
  <c r="H77" i="52"/>
  <c r="G9" i="52"/>
  <c r="G161" i="52"/>
  <c r="F154" i="47"/>
  <c r="D153" i="47"/>
  <c r="F153" i="47" s="1"/>
  <c r="D152" i="47"/>
  <c r="F152" i="47" s="1"/>
  <c r="D151" i="47"/>
  <c r="F151" i="47" s="1"/>
  <c r="D150" i="47"/>
  <c r="F150" i="47" s="1"/>
  <c r="F134" i="47"/>
  <c r="E137" i="47" s="1"/>
  <c r="F137" i="47" s="1"/>
  <c r="E138" i="47" s="1"/>
  <c r="F129" i="47"/>
  <c r="E122" i="47"/>
  <c r="E113" i="47"/>
  <c r="D113" i="47"/>
  <c r="F107" i="47"/>
  <c r="F105" i="47"/>
  <c r="F104" i="47"/>
  <c r="D86" i="47"/>
  <c r="D102" i="47" s="1"/>
  <c r="F102" i="47" s="1"/>
  <c r="D83" i="47"/>
  <c r="D85" i="47" s="1"/>
  <c r="E82" i="47"/>
  <c r="E90" i="47" s="1"/>
  <c r="F90" i="47" s="1"/>
  <c r="D92" i="47" s="1"/>
  <c r="D66" i="47"/>
  <c r="D60" i="47"/>
  <c r="D58" i="47"/>
  <c r="G38" i="47"/>
  <c r="I38" i="47" s="1"/>
  <c r="D34" i="47"/>
  <c r="G31" i="47"/>
  <c r="F31" i="47"/>
  <c r="A24" i="47"/>
  <c r="A23" i="47"/>
  <c r="A22" i="47"/>
  <c r="A21" i="47"/>
  <c r="A19" i="47"/>
  <c r="A18" i="47"/>
  <c r="A17" i="47"/>
  <c r="A16" i="47"/>
  <c r="A15" i="47"/>
  <c r="A14" i="47"/>
  <c r="A13" i="47"/>
  <c r="A12" i="47"/>
  <c r="A11" i="47"/>
  <c r="A9" i="47"/>
  <c r="F157" i="46"/>
  <c r="D156" i="46"/>
  <c r="F156" i="46" s="1"/>
  <c r="D155" i="46"/>
  <c r="F155" i="46" s="1"/>
  <c r="D154" i="46"/>
  <c r="F154" i="46" s="1"/>
  <c r="D153" i="46"/>
  <c r="F153" i="46" s="1"/>
  <c r="F137" i="46"/>
  <c r="E140" i="46" s="1"/>
  <c r="F140" i="46" s="1"/>
  <c r="E141" i="46" s="1"/>
  <c r="E125" i="46"/>
  <c r="E114" i="46"/>
  <c r="D114" i="46"/>
  <c r="F108" i="46"/>
  <c r="F105" i="46"/>
  <c r="F104" i="46"/>
  <c r="D86" i="46"/>
  <c r="D83" i="46"/>
  <c r="D85" i="46" s="1"/>
  <c r="E82" i="46"/>
  <c r="E90" i="46" s="1"/>
  <c r="F90" i="46" s="1"/>
  <c r="D92" i="46" s="1"/>
  <c r="D60" i="46"/>
  <c r="D58" i="46"/>
  <c r="G38" i="46"/>
  <c r="I38" i="46" s="1"/>
  <c r="D34" i="46"/>
  <c r="G31" i="46"/>
  <c r="F31" i="46"/>
  <c r="A24" i="46"/>
  <c r="A23" i="46"/>
  <c r="A22" i="46"/>
  <c r="A21" i="46"/>
  <c r="A19" i="46"/>
  <c r="A18" i="46"/>
  <c r="A17" i="46"/>
  <c r="A16" i="46"/>
  <c r="A15" i="46"/>
  <c r="A14" i="46"/>
  <c r="A13" i="46"/>
  <c r="A12" i="46"/>
  <c r="A11" i="46"/>
  <c r="A9" i="46"/>
  <c r="E194" i="51" l="1"/>
  <c r="H162" i="51"/>
  <c r="E193" i="53"/>
  <c r="H161" i="53"/>
  <c r="E194" i="49"/>
  <c r="H162" i="49"/>
  <c r="H161" i="52"/>
  <c r="E193" i="52"/>
  <c r="E193" i="50"/>
  <c r="H161" i="50"/>
  <c r="E58" i="46"/>
  <c r="F58" i="46" s="1"/>
  <c r="E67" i="47"/>
  <c r="C111" i="47"/>
  <c r="H144" i="47"/>
  <c r="C112" i="46"/>
  <c r="H147" i="46"/>
  <c r="D101" i="47"/>
  <c r="G157" i="46"/>
  <c r="D72" i="47"/>
  <c r="F72" i="47" s="1"/>
  <c r="G154" i="47"/>
  <c r="C21" i="47" s="1"/>
  <c r="E21" i="47" s="1"/>
  <c r="G21" i="47" s="1"/>
  <c r="D97" i="46"/>
  <c r="D102" i="46"/>
  <c r="F102" i="46" s="1"/>
  <c r="D72" i="46"/>
  <c r="F72" i="46" s="1"/>
  <c r="D67" i="47"/>
  <c r="D101" i="46"/>
  <c r="E114" i="47"/>
  <c r="E123" i="47" s="1"/>
  <c r="E58" i="47"/>
  <c r="F58" i="47" s="1"/>
  <c r="E52" i="47"/>
  <c r="D103" i="47"/>
  <c r="F103" i="47" s="1"/>
  <c r="F82" i="47"/>
  <c r="E101" i="47" s="1"/>
  <c r="D97" i="47"/>
  <c r="E115" i="46"/>
  <c r="E126" i="46" s="1"/>
  <c r="F82" i="46"/>
  <c r="E101" i="46" s="1"/>
  <c r="E52" i="46"/>
  <c r="D103" i="46"/>
  <c r="F103" i="46" s="1"/>
  <c r="E32" i="4"/>
  <c r="E31" i="4"/>
  <c r="E30" i="4"/>
  <c r="E21" i="4"/>
  <c r="E19" i="4"/>
  <c r="E18" i="4"/>
  <c r="E17" i="4"/>
  <c r="E8" i="4"/>
  <c r="E6" i="4"/>
  <c r="E5" i="4"/>
  <c r="E4" i="4"/>
  <c r="D141" i="46" l="1"/>
  <c r="F141" i="46" s="1"/>
  <c r="G141" i="46" s="1"/>
  <c r="C19" i="46" s="1"/>
  <c r="E19" i="46" s="1"/>
  <c r="G19" i="46" s="1"/>
  <c r="D117" i="46"/>
  <c r="F117" i="46" s="1"/>
  <c r="G72" i="46"/>
  <c r="H72" i="46" s="1"/>
  <c r="G73" i="46"/>
  <c r="F67" i="46"/>
  <c r="G67" i="46" s="1"/>
  <c r="G72" i="47"/>
  <c r="H72" i="47" s="1"/>
  <c r="G73" i="47"/>
  <c r="D138" i="47"/>
  <c r="F138" i="47" s="1"/>
  <c r="G138" i="47" s="1"/>
  <c r="C19" i="47" s="1"/>
  <c r="E19" i="47" s="1"/>
  <c r="G19" i="47" s="1"/>
  <c r="D116" i="47"/>
  <c r="F116" i="47" s="1"/>
  <c r="D114" i="47"/>
  <c r="F114" i="47" s="1"/>
  <c r="F67" i="47"/>
  <c r="D115" i="46"/>
  <c r="F115" i="46" s="1"/>
  <c r="E170" i="47"/>
  <c r="E209" i="47" s="1"/>
  <c r="E173" i="46"/>
  <c r="E187" i="46" s="1"/>
  <c r="D127" i="47"/>
  <c r="F59" i="47"/>
  <c r="E60" i="47" s="1"/>
  <c r="F60" i="47" s="1"/>
  <c r="G156" i="47"/>
  <c r="H154" i="47"/>
  <c r="E84" i="47"/>
  <c r="F84" i="47" s="1"/>
  <c r="E85" i="47" s="1"/>
  <c r="F85" i="47" s="1"/>
  <c r="E86" i="47" s="1"/>
  <c r="F86" i="47" s="1"/>
  <c r="G86" i="47" s="1"/>
  <c r="C14" i="47" s="1"/>
  <c r="E14" i="47" s="1"/>
  <c r="G14" i="47" s="1"/>
  <c r="F101" i="47"/>
  <c r="E108" i="47" s="1"/>
  <c r="F101" i="46"/>
  <c r="E109" i="46" s="1"/>
  <c r="E84" i="46"/>
  <c r="F84" i="46" s="1"/>
  <c r="F59" i="46"/>
  <c r="E60" i="46" s="1"/>
  <c r="F60" i="46" s="1"/>
  <c r="H141" i="46"/>
  <c r="G159" i="46"/>
  <c r="C21" i="46" s="1"/>
  <c r="E21" i="46" s="1"/>
  <c r="G21" i="46" s="1"/>
  <c r="H157" i="46"/>
  <c r="D121" i="46"/>
  <c r="F121" i="46" s="1"/>
  <c r="D130" i="46"/>
  <c r="F130" i="46" s="1"/>
  <c r="E24" i="4"/>
  <c r="E35" i="4"/>
  <c r="E11" i="4"/>
  <c r="D165" i="53" l="1"/>
  <c r="D165" i="52"/>
  <c r="D165" i="50"/>
  <c r="D166" i="49"/>
  <c r="D166" i="51"/>
  <c r="D163" i="47"/>
  <c r="D166" i="46"/>
  <c r="D179" i="53"/>
  <c r="D179" i="52"/>
  <c r="D180" i="49"/>
  <c r="D180" i="51"/>
  <c r="D179" i="50"/>
  <c r="D180" i="46"/>
  <c r="D177" i="47"/>
  <c r="H67" i="46"/>
  <c r="G68" i="46"/>
  <c r="D118" i="47"/>
  <c r="F118" i="47" s="1"/>
  <c r="D119" i="46"/>
  <c r="F119" i="46" s="1"/>
  <c r="D125" i="46"/>
  <c r="F125" i="46" s="1"/>
  <c r="D123" i="46"/>
  <c r="F123" i="46" s="1"/>
  <c r="H73" i="46"/>
  <c r="C12" i="46"/>
  <c r="E12" i="46" s="1"/>
  <c r="G12" i="46" s="1"/>
  <c r="D120" i="47"/>
  <c r="F120" i="47" s="1"/>
  <c r="C12" i="47"/>
  <c r="E12" i="47" s="1"/>
  <c r="G12" i="47" s="1"/>
  <c r="H73" i="47"/>
  <c r="H138" i="47"/>
  <c r="D122" i="47"/>
  <c r="F122" i="47" s="1"/>
  <c r="G67" i="47"/>
  <c r="G68" i="47"/>
  <c r="C11" i="47" s="1"/>
  <c r="E11" i="47" s="1"/>
  <c r="G11" i="47" s="1"/>
  <c r="E184" i="47"/>
  <c r="G60" i="47"/>
  <c r="G61" i="47"/>
  <c r="G60" i="46"/>
  <c r="H60" i="46" s="1"/>
  <c r="G61" i="46"/>
  <c r="E212" i="46"/>
  <c r="F127" i="47"/>
  <c r="F130" i="47" s="1"/>
  <c r="G130" i="47" s="1"/>
  <c r="C18" i="47" s="1"/>
  <c r="E18" i="47" s="1"/>
  <c r="G18" i="47" s="1"/>
  <c r="F133" i="46"/>
  <c r="G133" i="46" s="1"/>
  <c r="C18" i="46" s="1"/>
  <c r="E18" i="46" s="1"/>
  <c r="G18" i="46" s="1"/>
  <c r="F108" i="47"/>
  <c r="G108" i="47" s="1"/>
  <c r="C16" i="47" s="1"/>
  <c r="E16" i="47" s="1"/>
  <c r="G16" i="47" s="1"/>
  <c r="F109" i="46"/>
  <c r="G109" i="46" s="1"/>
  <c r="C16" i="46" s="1"/>
  <c r="E16" i="46" s="1"/>
  <c r="G16" i="46" s="1"/>
  <c r="H86" i="47"/>
  <c r="D93" i="47"/>
  <c r="D94" i="47" s="1"/>
  <c r="H156" i="47"/>
  <c r="E85" i="46"/>
  <c r="F85" i="46" s="1"/>
  <c r="E86" i="46" s="1"/>
  <c r="F86" i="46" s="1"/>
  <c r="G86" i="46" s="1"/>
  <c r="C14" i="46" s="1"/>
  <c r="E14" i="46" s="1"/>
  <c r="G14" i="46" s="1"/>
  <c r="D93" i="46"/>
  <c r="D94" i="46" s="1"/>
  <c r="H159" i="46"/>
  <c r="H68" i="46" l="1"/>
  <c r="C11" i="46"/>
  <c r="E11" i="46" s="1"/>
  <c r="G11" i="46" s="1"/>
  <c r="F123" i="47"/>
  <c r="G123" i="47" s="1"/>
  <c r="C17" i="47" s="1"/>
  <c r="E17" i="47" s="1"/>
  <c r="G17" i="47" s="1"/>
  <c r="F126" i="46"/>
  <c r="G126" i="46" s="1"/>
  <c r="C17" i="46" s="1"/>
  <c r="E17" i="46" s="1"/>
  <c r="G17" i="46" s="1"/>
  <c r="H61" i="46"/>
  <c r="G10" i="46"/>
  <c r="H61" i="47"/>
  <c r="G10" i="47"/>
  <c r="H60" i="47"/>
  <c r="G77" i="46"/>
  <c r="G9" i="46" s="1"/>
  <c r="H68" i="47"/>
  <c r="G77" i="47"/>
  <c r="G9" i="47" s="1"/>
  <c r="H67" i="47"/>
  <c r="H130" i="47"/>
  <c r="H133" i="46"/>
  <c r="H108" i="47"/>
  <c r="E95" i="47"/>
  <c r="F95" i="47" s="1"/>
  <c r="F96" i="47" s="1"/>
  <c r="E97" i="47" s="1"/>
  <c r="F97" i="47" s="1"/>
  <c r="G97" i="47" s="1"/>
  <c r="C15" i="47" s="1"/>
  <c r="E15" i="47" s="1"/>
  <c r="G15" i="47" s="1"/>
  <c r="H109" i="46"/>
  <c r="E95" i="46"/>
  <c r="F95" i="46" s="1"/>
  <c r="F96" i="46" s="1"/>
  <c r="E97" i="46" s="1"/>
  <c r="F97" i="46" s="1"/>
  <c r="G97" i="46" s="1"/>
  <c r="C15" i="46" s="1"/>
  <c r="E15" i="46" s="1"/>
  <c r="G15" i="46" s="1"/>
  <c r="H123" i="47"/>
  <c r="H86" i="46"/>
  <c r="H126" i="46" l="1"/>
  <c r="G146" i="47"/>
  <c r="C13" i="47" s="1"/>
  <c r="E13" i="47" s="1"/>
  <c r="G13" i="47" s="1"/>
  <c r="H97" i="47"/>
  <c r="G149" i="46"/>
  <c r="C13" i="46" s="1"/>
  <c r="E13" i="46" s="1"/>
  <c r="G13" i="46" s="1"/>
  <c r="H97" i="46"/>
  <c r="H146" i="47" l="1"/>
  <c r="H149" i="46"/>
  <c r="C35" i="4" l="1"/>
  <c r="C24" i="4"/>
  <c r="C11" i="4"/>
  <c r="D193" i="53" l="1"/>
  <c r="F193" i="53" s="1"/>
  <c r="G193" i="53" s="1"/>
  <c r="D193" i="52"/>
  <c r="F193" i="52" s="1"/>
  <c r="G193" i="52" s="1"/>
  <c r="D194" i="51"/>
  <c r="F194" i="51" s="1"/>
  <c r="G194" i="51" s="1"/>
  <c r="D193" i="50"/>
  <c r="F193" i="50" s="1"/>
  <c r="G193" i="50" s="1"/>
  <c r="D194" i="49"/>
  <c r="F194" i="49" s="1"/>
  <c r="G194" i="49" s="1"/>
  <c r="D191" i="47"/>
  <c r="D194" i="46"/>
  <c r="C26" i="8"/>
  <c r="G196" i="50" l="1"/>
  <c r="H193" i="50"/>
  <c r="G197" i="51"/>
  <c r="H194" i="51"/>
  <c r="H193" i="52"/>
  <c r="G196" i="52"/>
  <c r="H194" i="49"/>
  <c r="G197" i="49"/>
  <c r="G196" i="53"/>
  <c r="H193" i="53"/>
  <c r="C12" i="8"/>
  <c r="H196" i="52" l="1"/>
  <c r="G198" i="52"/>
  <c r="H197" i="51"/>
  <c r="G199" i="51"/>
  <c r="H197" i="49"/>
  <c r="G199" i="49"/>
  <c r="H196" i="53"/>
  <c r="G198" i="53"/>
  <c r="H196" i="50"/>
  <c r="G198" i="50"/>
  <c r="C19" i="8"/>
  <c r="C25" i="8" s="1"/>
  <c r="E206" i="53" l="1"/>
  <c r="G209" i="53" s="1"/>
  <c r="H198" i="53"/>
  <c r="E207" i="51"/>
  <c r="G210" i="51" s="1"/>
  <c r="H199" i="51"/>
  <c r="E206" i="50"/>
  <c r="G209" i="50" s="1"/>
  <c r="H198" i="50"/>
  <c r="E207" i="49"/>
  <c r="G210" i="49" s="1"/>
  <c r="H199" i="49"/>
  <c r="H198" i="52"/>
  <c r="E206" i="52"/>
  <c r="G209" i="52" s="1"/>
  <c r="C23" i="8"/>
  <c r="C27" i="8"/>
  <c r="F207" i="51" l="1"/>
  <c r="G207" i="51" s="1"/>
  <c r="H210" i="51"/>
  <c r="J207" i="51"/>
  <c r="G214" i="51"/>
  <c r="G26" i="51" s="1"/>
  <c r="J207" i="49"/>
  <c r="G214" i="49"/>
  <c r="G26" i="49" s="1"/>
  <c r="H210" i="49"/>
  <c r="F207" i="49"/>
  <c r="G207" i="49" s="1"/>
  <c r="F206" i="52"/>
  <c r="G206" i="52" s="1"/>
  <c r="G213" i="52"/>
  <c r="G26" i="52" s="1"/>
  <c r="J206" i="52"/>
  <c r="H209" i="52"/>
  <c r="J206" i="50"/>
  <c r="G213" i="50"/>
  <c r="G26" i="50" s="1"/>
  <c r="H209" i="50"/>
  <c r="F206" i="50"/>
  <c r="G206" i="50" s="1"/>
  <c r="G213" i="53"/>
  <c r="G26" i="53" s="1"/>
  <c r="J206" i="53"/>
  <c r="F206" i="53"/>
  <c r="G206" i="53" s="1"/>
  <c r="H209" i="53"/>
  <c r="C28" i="8"/>
  <c r="H206" i="50" l="1"/>
  <c r="G24" i="50"/>
  <c r="G25" i="50" s="1"/>
  <c r="H206" i="53"/>
  <c r="G24" i="53"/>
  <c r="G25" i="53" s="1"/>
  <c r="H207" i="49"/>
  <c r="G24" i="49"/>
  <c r="G25" i="49" s="1"/>
  <c r="D52" i="53"/>
  <c r="F52" i="53" s="1"/>
  <c r="F53" i="53" s="1"/>
  <c r="E54" i="53" s="1"/>
  <c r="F54" i="53" s="1"/>
  <c r="D52" i="52"/>
  <c r="F52" i="52" s="1"/>
  <c r="F53" i="52" s="1"/>
  <c r="E54" i="52" s="1"/>
  <c r="F54" i="52" s="1"/>
  <c r="D52" i="49"/>
  <c r="F52" i="49" s="1"/>
  <c r="F53" i="49" s="1"/>
  <c r="E54" i="49" s="1"/>
  <c r="F54" i="49" s="1"/>
  <c r="D52" i="51"/>
  <c r="F52" i="51" s="1"/>
  <c r="F53" i="51" s="1"/>
  <c r="E54" i="51" s="1"/>
  <c r="F54" i="51" s="1"/>
  <c r="D52" i="50"/>
  <c r="F52" i="50" s="1"/>
  <c r="F53" i="50" s="1"/>
  <c r="E54" i="50" s="1"/>
  <c r="F54" i="50" s="1"/>
  <c r="H206" i="52"/>
  <c r="G24" i="52"/>
  <c r="G25" i="52" s="1"/>
  <c r="H207" i="51"/>
  <c r="G24" i="51"/>
  <c r="D52" i="46"/>
  <c r="F52" i="46" s="1"/>
  <c r="F53" i="46" s="1"/>
  <c r="E54" i="46" s="1"/>
  <c r="F54" i="46" s="1"/>
  <c r="D52" i="47"/>
  <c r="F52" i="47" s="1"/>
  <c r="F53" i="47" s="1"/>
  <c r="E54" i="47" s="1"/>
  <c r="F54" i="47" s="1"/>
  <c r="G54" i="52" l="1"/>
  <c r="H54" i="52" s="1"/>
  <c r="G55" i="52"/>
  <c r="G55" i="50"/>
  <c r="G54" i="50"/>
  <c r="H54" i="50" s="1"/>
  <c r="G55" i="51"/>
  <c r="G54" i="51"/>
  <c r="H54" i="51" s="1"/>
  <c r="H24" i="49"/>
  <c r="H15" i="49"/>
  <c r="H18" i="49"/>
  <c r="H11" i="49"/>
  <c r="H12" i="49"/>
  <c r="H21" i="49"/>
  <c r="H20" i="49"/>
  <c r="H17" i="49"/>
  <c r="H14" i="49"/>
  <c r="H16" i="49"/>
  <c r="H19" i="49"/>
  <c r="H10" i="49"/>
  <c r="H24" i="50"/>
  <c r="H12" i="50"/>
  <c r="H17" i="50"/>
  <c r="H14" i="50"/>
  <c r="H19" i="50"/>
  <c r="H20" i="50"/>
  <c r="H11" i="50"/>
  <c r="H21" i="50"/>
  <c r="H15" i="50"/>
  <c r="H16" i="50"/>
  <c r="H18" i="50"/>
  <c r="H10" i="50"/>
  <c r="H24" i="53"/>
  <c r="H12" i="53"/>
  <c r="H16" i="53"/>
  <c r="H20" i="53"/>
  <c r="H14" i="53"/>
  <c r="H21" i="53"/>
  <c r="H19" i="53"/>
  <c r="H18" i="53"/>
  <c r="H11" i="53"/>
  <c r="H15" i="53"/>
  <c r="H17" i="53"/>
  <c r="H10" i="53"/>
  <c r="G25" i="51"/>
  <c r="G55" i="53"/>
  <c r="G54" i="53"/>
  <c r="H54" i="53" s="1"/>
  <c r="H24" i="52"/>
  <c r="H21" i="52"/>
  <c r="H11" i="52"/>
  <c r="H14" i="52"/>
  <c r="H20" i="52"/>
  <c r="H15" i="52"/>
  <c r="H18" i="52"/>
  <c r="H16" i="52"/>
  <c r="H17" i="52"/>
  <c r="H12" i="52"/>
  <c r="H19" i="52"/>
  <c r="H10" i="52"/>
  <c r="G54" i="49"/>
  <c r="H54" i="49" s="1"/>
  <c r="G55" i="49"/>
  <c r="G54" i="47"/>
  <c r="H54" i="47" s="1"/>
  <c r="G55" i="47"/>
  <c r="C10" i="47" s="1"/>
  <c r="E10" i="47" s="1"/>
  <c r="G54" i="46"/>
  <c r="G55" i="46"/>
  <c r="C10" i="46" s="1"/>
  <c r="E10" i="46" s="1"/>
  <c r="H54" i="46"/>
  <c r="G76" i="53" l="1"/>
  <c r="H55" i="53"/>
  <c r="C10" i="53"/>
  <c r="H55" i="49"/>
  <c r="C10" i="49"/>
  <c r="G76" i="49"/>
  <c r="H20" i="51"/>
  <c r="H21" i="51"/>
  <c r="H11" i="51"/>
  <c r="H18" i="51"/>
  <c r="H12" i="51"/>
  <c r="H15" i="51"/>
  <c r="H16" i="51"/>
  <c r="H19" i="51"/>
  <c r="H17" i="51"/>
  <c r="H14" i="51"/>
  <c r="H13" i="51" s="1"/>
  <c r="H10" i="51"/>
  <c r="H24" i="51"/>
  <c r="H13" i="53"/>
  <c r="H13" i="49"/>
  <c r="G76" i="50"/>
  <c r="H55" i="50"/>
  <c r="C10" i="50"/>
  <c r="H9" i="52"/>
  <c r="H25" i="52" s="1"/>
  <c r="H13" i="52"/>
  <c r="H9" i="53"/>
  <c r="H9" i="50"/>
  <c r="H13" i="50"/>
  <c r="H9" i="49"/>
  <c r="C10" i="52"/>
  <c r="G76" i="52"/>
  <c r="H55" i="52"/>
  <c r="H55" i="51"/>
  <c r="C10" i="51"/>
  <c r="G76" i="51"/>
  <c r="H55" i="47"/>
  <c r="G76" i="47"/>
  <c r="H55" i="46"/>
  <c r="G76" i="46"/>
  <c r="H77" i="47"/>
  <c r="G159" i="47"/>
  <c r="H77" i="46"/>
  <c r="G162" i="46"/>
  <c r="H76" i="51" l="1"/>
  <c r="C9" i="51"/>
  <c r="G161" i="51"/>
  <c r="E9" i="51"/>
  <c r="E9" i="52"/>
  <c r="C9" i="52"/>
  <c r="H76" i="52"/>
  <c r="G160" i="52"/>
  <c r="E10" i="50"/>
  <c r="E10" i="53"/>
  <c r="E10" i="51"/>
  <c r="E10" i="52"/>
  <c r="H25" i="53"/>
  <c r="C9" i="49"/>
  <c r="G161" i="49"/>
  <c r="H76" i="49"/>
  <c r="E9" i="49"/>
  <c r="H25" i="50"/>
  <c r="H25" i="49"/>
  <c r="H76" i="50"/>
  <c r="E9" i="50"/>
  <c r="C9" i="50"/>
  <c r="G160" i="50"/>
  <c r="H9" i="51"/>
  <c r="H25" i="51" s="1"/>
  <c r="E10" i="49"/>
  <c r="C9" i="53"/>
  <c r="G160" i="53"/>
  <c r="H76" i="53"/>
  <c r="E9" i="53"/>
  <c r="G161" i="46"/>
  <c r="E166" i="46" s="1"/>
  <c r="F166" i="46" s="1"/>
  <c r="G166" i="46" s="1"/>
  <c r="E9" i="46"/>
  <c r="C9" i="46"/>
  <c r="C9" i="47"/>
  <c r="E9" i="47"/>
  <c r="H76" i="47"/>
  <c r="G158" i="47"/>
  <c r="H158" i="47" s="1"/>
  <c r="H76" i="46"/>
  <c r="H159" i="47"/>
  <c r="E191" i="47"/>
  <c r="E194" i="46"/>
  <c r="F194" i="46" s="1"/>
  <c r="G194" i="46" s="1"/>
  <c r="H162" i="46"/>
  <c r="E165" i="53" l="1"/>
  <c r="F165" i="53" s="1"/>
  <c r="G165" i="53" s="1"/>
  <c r="H160" i="53"/>
  <c r="E179" i="53"/>
  <c r="F179" i="53" s="1"/>
  <c r="G179" i="53" s="1"/>
  <c r="H160" i="50"/>
  <c r="E179" i="50"/>
  <c r="F179" i="50" s="1"/>
  <c r="G179" i="50" s="1"/>
  <c r="E165" i="50"/>
  <c r="F165" i="50" s="1"/>
  <c r="G165" i="50" s="1"/>
  <c r="H161" i="49"/>
  <c r="E180" i="49"/>
  <c r="F180" i="49" s="1"/>
  <c r="G180" i="49" s="1"/>
  <c r="E166" i="49"/>
  <c r="F166" i="49" s="1"/>
  <c r="G166" i="49" s="1"/>
  <c r="E179" i="52"/>
  <c r="F179" i="52" s="1"/>
  <c r="G179" i="52" s="1"/>
  <c r="H160" i="52"/>
  <c r="E165" i="52"/>
  <c r="F165" i="52" s="1"/>
  <c r="G165" i="52" s="1"/>
  <c r="E166" i="51"/>
  <c r="F166" i="51" s="1"/>
  <c r="G166" i="51" s="1"/>
  <c r="H161" i="51"/>
  <c r="E180" i="51"/>
  <c r="F180" i="51" s="1"/>
  <c r="G180" i="51" s="1"/>
  <c r="E180" i="46"/>
  <c r="F180" i="46" s="1"/>
  <c r="G180" i="46" s="1"/>
  <c r="G183" i="46" s="1"/>
  <c r="E23" i="46" s="1"/>
  <c r="H161" i="46"/>
  <c r="E163" i="47"/>
  <c r="F163" i="47" s="1"/>
  <c r="G163" i="47" s="1"/>
  <c r="G166" i="47" s="1"/>
  <c r="C22" i="47" s="1"/>
  <c r="E177" i="47"/>
  <c r="F177" i="47" s="1"/>
  <c r="G177" i="47" s="1"/>
  <c r="H177" i="47" s="1"/>
  <c r="G197" i="46"/>
  <c r="H194" i="46"/>
  <c r="G169" i="46"/>
  <c r="C22" i="46" s="1"/>
  <c r="H166" i="46"/>
  <c r="F191" i="47"/>
  <c r="G191" i="47" s="1"/>
  <c r="H180" i="51" l="1"/>
  <c r="G183" i="51"/>
  <c r="H180" i="49"/>
  <c r="G183" i="49"/>
  <c r="G182" i="50"/>
  <c r="H179" i="50"/>
  <c r="G169" i="51"/>
  <c r="H166" i="51"/>
  <c r="H179" i="52"/>
  <c r="G182" i="52"/>
  <c r="H165" i="52"/>
  <c r="G168" i="52"/>
  <c r="G168" i="50"/>
  <c r="H165" i="50"/>
  <c r="H179" i="53"/>
  <c r="G182" i="53"/>
  <c r="G169" i="49"/>
  <c r="H166" i="49"/>
  <c r="H165" i="53"/>
  <c r="G168" i="53"/>
  <c r="H180" i="46"/>
  <c r="H163" i="47"/>
  <c r="G180" i="47"/>
  <c r="H191" i="47"/>
  <c r="G194" i="47"/>
  <c r="H183" i="46"/>
  <c r="G185" i="46"/>
  <c r="H166" i="47"/>
  <c r="G168" i="47"/>
  <c r="H169" i="46"/>
  <c r="G171" i="46"/>
  <c r="G199" i="46"/>
  <c r="H197" i="46"/>
  <c r="H182" i="53" l="1"/>
  <c r="E23" i="53"/>
  <c r="E25" i="53" s="1"/>
  <c r="G184" i="53"/>
  <c r="H183" i="49"/>
  <c r="E23" i="49"/>
  <c r="E25" i="49" s="1"/>
  <c r="G185" i="49"/>
  <c r="H183" i="51"/>
  <c r="E23" i="51"/>
  <c r="G185" i="51"/>
  <c r="H168" i="53"/>
  <c r="C22" i="53"/>
  <c r="C25" i="53" s="1"/>
  <c r="G170" i="53"/>
  <c r="C22" i="52"/>
  <c r="C25" i="52" s="1"/>
  <c r="H168" i="52"/>
  <c r="G170" i="52"/>
  <c r="C22" i="51"/>
  <c r="C25" i="51" s="1"/>
  <c r="H169" i="51"/>
  <c r="G171" i="51"/>
  <c r="H182" i="52"/>
  <c r="E23" i="52"/>
  <c r="E25" i="52" s="1"/>
  <c r="G184" i="52"/>
  <c r="C22" i="49"/>
  <c r="H169" i="49"/>
  <c r="G171" i="49"/>
  <c r="H168" i="50"/>
  <c r="C22" i="50"/>
  <c r="G170" i="50"/>
  <c r="E23" i="50"/>
  <c r="H182" i="50"/>
  <c r="G184" i="50"/>
  <c r="H180" i="47"/>
  <c r="E23" i="47"/>
  <c r="E25" i="47" s="1"/>
  <c r="G182" i="47"/>
  <c r="H182" i="47" s="1"/>
  <c r="E25" i="46"/>
  <c r="C25" i="46"/>
  <c r="E207" i="46"/>
  <c r="G210" i="46" s="1"/>
  <c r="J207" i="46" s="1"/>
  <c r="H199" i="46"/>
  <c r="H168" i="47"/>
  <c r="G172" i="47"/>
  <c r="C26" i="47" s="1"/>
  <c r="H171" i="46"/>
  <c r="G175" i="46"/>
  <c r="C26" i="46" s="1"/>
  <c r="C25" i="47"/>
  <c r="H185" i="46"/>
  <c r="G189" i="46"/>
  <c r="E26" i="46" s="1"/>
  <c r="H194" i="47"/>
  <c r="G196" i="47"/>
  <c r="E25" i="50" l="1"/>
  <c r="F23" i="52"/>
  <c r="F21" i="52"/>
  <c r="F14" i="52"/>
  <c r="F16" i="52"/>
  <c r="F17" i="52"/>
  <c r="F20" i="52"/>
  <c r="F11" i="52"/>
  <c r="F18" i="52"/>
  <c r="F15" i="52"/>
  <c r="F12" i="52"/>
  <c r="F19" i="52"/>
  <c r="F10" i="52"/>
  <c r="G174" i="53"/>
  <c r="C26" i="53" s="1"/>
  <c r="H170" i="53"/>
  <c r="H170" i="52"/>
  <c r="G174" i="52"/>
  <c r="C26" i="52" s="1"/>
  <c r="C25" i="50"/>
  <c r="C25" i="49"/>
  <c r="H171" i="51"/>
  <c r="G175" i="51"/>
  <c r="C26" i="51" s="1"/>
  <c r="G189" i="49"/>
  <c r="E26" i="49" s="1"/>
  <c r="H185" i="49"/>
  <c r="F23" i="53"/>
  <c r="F14" i="53"/>
  <c r="F12" i="53"/>
  <c r="F21" i="53"/>
  <c r="F18" i="53"/>
  <c r="F20" i="53"/>
  <c r="F19" i="53"/>
  <c r="F11" i="53"/>
  <c r="F15" i="53"/>
  <c r="F16" i="53"/>
  <c r="F17" i="53"/>
  <c r="F10" i="53"/>
  <c r="F9" i="53" s="1"/>
  <c r="H171" i="49"/>
  <c r="G175" i="49"/>
  <c r="C26" i="49" s="1"/>
  <c r="D22" i="51"/>
  <c r="D19" i="51"/>
  <c r="D15" i="51"/>
  <c r="D20" i="51"/>
  <c r="D16" i="51"/>
  <c r="D12" i="51"/>
  <c r="D21" i="51"/>
  <c r="D18" i="51"/>
  <c r="D14" i="51"/>
  <c r="D11" i="51"/>
  <c r="D17" i="51"/>
  <c r="D10" i="51"/>
  <c r="D9" i="51" s="1"/>
  <c r="E25" i="51"/>
  <c r="H170" i="50"/>
  <c r="G174" i="50"/>
  <c r="C26" i="50" s="1"/>
  <c r="D22" i="53"/>
  <c r="D11" i="53"/>
  <c r="D14" i="53"/>
  <c r="D17" i="53"/>
  <c r="D21" i="53"/>
  <c r="D16" i="53"/>
  <c r="D20" i="53"/>
  <c r="D19" i="53"/>
  <c r="D15" i="53"/>
  <c r="D18" i="53"/>
  <c r="D12" i="53"/>
  <c r="D10" i="53"/>
  <c r="D9" i="53" s="1"/>
  <c r="H184" i="53"/>
  <c r="G188" i="53"/>
  <c r="E26" i="53" s="1"/>
  <c r="G188" i="50"/>
  <c r="E26" i="50" s="1"/>
  <c r="H184" i="50"/>
  <c r="H184" i="52"/>
  <c r="G188" i="52"/>
  <c r="E26" i="52" s="1"/>
  <c r="D22" i="52"/>
  <c r="D20" i="52"/>
  <c r="D19" i="52"/>
  <c r="D12" i="52"/>
  <c r="D11" i="52"/>
  <c r="D21" i="52"/>
  <c r="D15" i="52"/>
  <c r="D17" i="52"/>
  <c r="D16" i="52"/>
  <c r="D14" i="52"/>
  <c r="D13" i="52" s="1"/>
  <c r="D18" i="52"/>
  <c r="D10" i="52"/>
  <c r="G189" i="51"/>
  <c r="E26" i="51" s="1"/>
  <c r="H185" i="51"/>
  <c r="F23" i="49"/>
  <c r="F19" i="49"/>
  <c r="F18" i="49"/>
  <c r="F15" i="49"/>
  <c r="F16" i="49"/>
  <c r="F12" i="49"/>
  <c r="F14" i="49"/>
  <c r="F11" i="49"/>
  <c r="F20" i="49"/>
  <c r="F21" i="49"/>
  <c r="F17" i="49"/>
  <c r="F10" i="49"/>
  <c r="F9" i="49" s="1"/>
  <c r="D15" i="47"/>
  <c r="D12" i="47"/>
  <c r="D16" i="47"/>
  <c r="D20" i="47"/>
  <c r="D11" i="47"/>
  <c r="D19" i="47"/>
  <c r="D17" i="47"/>
  <c r="D18" i="47"/>
  <c r="D22" i="47"/>
  <c r="D14" i="47"/>
  <c r="D10" i="47"/>
  <c r="D21" i="47"/>
  <c r="F20" i="47"/>
  <c r="F17" i="47"/>
  <c r="F21" i="47"/>
  <c r="F12" i="47"/>
  <c r="F16" i="47"/>
  <c r="F23" i="47"/>
  <c r="F15" i="47"/>
  <c r="F10" i="47"/>
  <c r="F14" i="47"/>
  <c r="F19" i="47"/>
  <c r="F18" i="47"/>
  <c r="F11" i="47"/>
  <c r="D20" i="46"/>
  <c r="D14" i="46"/>
  <c r="D17" i="46"/>
  <c r="D16" i="46"/>
  <c r="D19" i="46"/>
  <c r="D11" i="46"/>
  <c r="D18" i="46"/>
  <c r="D22" i="46"/>
  <c r="D12" i="46"/>
  <c r="D10" i="46"/>
  <c r="D15" i="46"/>
  <c r="D21" i="46"/>
  <c r="F17" i="46"/>
  <c r="F23" i="46"/>
  <c r="F14" i="46"/>
  <c r="F15" i="46"/>
  <c r="F19" i="46"/>
  <c r="F18" i="46"/>
  <c r="F16" i="46"/>
  <c r="F21" i="46"/>
  <c r="F20" i="46"/>
  <c r="F12" i="46"/>
  <c r="F10" i="46"/>
  <c r="F11" i="46"/>
  <c r="G186" i="47"/>
  <c r="E26" i="47" s="1"/>
  <c r="F207" i="46"/>
  <c r="G207" i="46" s="1"/>
  <c r="G24" i="46" s="1"/>
  <c r="H210" i="46"/>
  <c r="G214" i="46"/>
  <c r="G26" i="46" s="1"/>
  <c r="H196" i="47"/>
  <c r="E204" i="47"/>
  <c r="G207" i="47" s="1"/>
  <c r="F13" i="53" l="1"/>
  <c r="F13" i="49"/>
  <c r="F25" i="49" s="1"/>
  <c r="D9" i="52"/>
  <c r="D25" i="52" s="1"/>
  <c r="F19" i="51"/>
  <c r="F15" i="51"/>
  <c r="F11" i="51"/>
  <c r="F21" i="51"/>
  <c r="F18" i="51"/>
  <c r="F20" i="51"/>
  <c r="F14" i="51"/>
  <c r="F17" i="51"/>
  <c r="F16" i="51"/>
  <c r="F12" i="51"/>
  <c r="F10" i="51"/>
  <c r="F9" i="51" s="1"/>
  <c r="F25" i="53"/>
  <c r="D19" i="49"/>
  <c r="D21" i="49"/>
  <c r="D11" i="49"/>
  <c r="D12" i="49"/>
  <c r="D15" i="49"/>
  <c r="D17" i="49"/>
  <c r="D16" i="49"/>
  <c r="D18" i="49"/>
  <c r="D20" i="49"/>
  <c r="D14" i="49"/>
  <c r="D10" i="49"/>
  <c r="F9" i="52"/>
  <c r="F25" i="52" s="1"/>
  <c r="F21" i="50"/>
  <c r="F19" i="50"/>
  <c r="F17" i="50"/>
  <c r="F12" i="50"/>
  <c r="F16" i="50"/>
  <c r="F20" i="50"/>
  <c r="F15" i="50"/>
  <c r="F18" i="50"/>
  <c r="F14" i="50"/>
  <c r="F13" i="50" s="1"/>
  <c r="F11" i="50"/>
  <c r="F10" i="50"/>
  <c r="D25" i="51"/>
  <c r="D12" i="50"/>
  <c r="D19" i="50"/>
  <c r="D14" i="50"/>
  <c r="D20" i="50"/>
  <c r="D21" i="50"/>
  <c r="D16" i="50"/>
  <c r="D11" i="50"/>
  <c r="D17" i="50"/>
  <c r="D15" i="50"/>
  <c r="D18" i="50"/>
  <c r="D10" i="50"/>
  <c r="D9" i="50" s="1"/>
  <c r="D13" i="53"/>
  <c r="D25" i="53" s="1"/>
  <c r="D22" i="50"/>
  <c r="F23" i="51"/>
  <c r="D13" i="51"/>
  <c r="D22" i="49"/>
  <c r="F13" i="52"/>
  <c r="F23" i="50"/>
  <c r="J205" i="47"/>
  <c r="K206" i="47" s="1"/>
  <c r="K207" i="47" s="1"/>
  <c r="K208" i="47" s="1"/>
  <c r="F13" i="47"/>
  <c r="F9" i="47"/>
  <c r="D9" i="47"/>
  <c r="D13" i="47"/>
  <c r="D9" i="46"/>
  <c r="D13" i="46"/>
  <c r="F9" i="46"/>
  <c r="F13" i="46"/>
  <c r="F204" i="47"/>
  <c r="G204" i="47" s="1"/>
  <c r="G24" i="47" s="1"/>
  <c r="G211" i="47"/>
  <c r="G26" i="47" s="1"/>
  <c r="H207" i="47"/>
  <c r="H207" i="46"/>
  <c r="F9" i="50" l="1"/>
  <c r="F25" i="50" s="1"/>
  <c r="D9" i="49"/>
  <c r="F13" i="51"/>
  <c r="F25" i="51" s="1"/>
  <c r="D13" i="50"/>
  <c r="D25" i="50" s="1"/>
  <c r="D13" i="49"/>
  <c r="D25" i="46"/>
  <c r="F25" i="47"/>
  <c r="F25" i="46"/>
  <c r="D25" i="47"/>
  <c r="H204" i="47"/>
  <c r="G25" i="46"/>
  <c r="D25" i="49" l="1"/>
  <c r="H12" i="46"/>
  <c r="H10" i="46"/>
  <c r="H24" i="46"/>
  <c r="H16" i="46"/>
  <c r="H20" i="46"/>
  <c r="H21" i="46"/>
  <c r="H18" i="46"/>
  <c r="H19" i="46"/>
  <c r="H15" i="46"/>
  <c r="H11" i="46"/>
  <c r="H14" i="46"/>
  <c r="H17" i="46"/>
  <c r="G25" i="47"/>
  <c r="H10" i="47" s="1"/>
  <c r="H17" i="47" l="1"/>
  <c r="H24" i="47"/>
  <c r="H21" i="47"/>
  <c r="H19" i="47"/>
  <c r="H12" i="47"/>
  <c r="H11" i="47"/>
  <c r="H15" i="47"/>
  <c r="H16" i="47"/>
  <c r="H20" i="47"/>
  <c r="H14" i="47"/>
  <c r="H18" i="47"/>
  <c r="H13" i="46"/>
  <c r="H9" i="46"/>
  <c r="H13" i="47" l="1"/>
  <c r="H9" i="47"/>
  <c r="H25" i="46"/>
  <c r="H25" i="4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Clauber Bridi</author>
    <author>Win 11</author>
  </authors>
  <commentList>
    <comment ref="B3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0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F30" authorId="0" shapeId="0" xr:uid="{00000000-0006-0000-0000-000004000000}">
      <text>
        <r>
          <rPr>
            <b/>
            <sz val="9"/>
            <color indexed="81"/>
            <rFont val="Segoe UI"/>
            <family val="2"/>
          </rPr>
          <t>Informar a quantidade de motoristas.</t>
        </r>
      </text>
    </comment>
    <comment ref="G30" authorId="0" shapeId="0" xr:uid="{00000000-0006-0000-0000-000005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4" authorId="0" shapeId="0" xr:uid="{00000000-0006-0000-0000-000006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4" authorId="0" shapeId="0" xr:uid="{00000000-0006-0000-0000-000007000000}">
      <text>
        <r>
          <rPr>
            <b/>
            <sz val="9"/>
            <color indexed="81"/>
            <rFont val="Segoe UI"/>
            <family val="2"/>
          </rPr>
          <t>Informar a quantidade de lugares do veículo, conforme consta no projeto.</t>
        </r>
      </text>
    </comment>
    <comment ref="F34" authorId="0" shapeId="0" xr:uid="{00000000-0006-0000-0000-000008000000}">
      <text>
        <r>
          <rPr>
            <b/>
            <sz val="9"/>
            <color indexed="81"/>
            <rFont val="Segoe UI"/>
            <family val="2"/>
          </rPr>
          <t>Informar a quantidade de veículos.</t>
        </r>
      </text>
    </comment>
    <comment ref="G34" authorId="0" shapeId="0" xr:uid="{00000000-0006-0000-0000-000009000000}">
      <text>
        <r>
          <rPr>
            <b/>
            <sz val="9"/>
            <color indexed="81"/>
            <rFont val="Segoe UI"/>
            <family val="2"/>
          </rPr>
          <t xml:space="preserve">Informar o valor do veículo.
</t>
        </r>
      </text>
    </comment>
    <comment ref="F35" authorId="0" shapeId="0" xr:uid="{00000000-0006-0000-0000-00000A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veículo.</t>
        </r>
      </text>
    </comment>
    <comment ref="G35" authorId="0" shapeId="0" xr:uid="{00000000-0006-0000-0000-00000B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8" authorId="0" shapeId="0" xr:uid="{00000000-0006-0000-0000-00000C000000}">
      <text>
        <r>
          <rPr>
            <b/>
            <sz val="9"/>
            <color indexed="81"/>
            <rFont val="Segoe UI"/>
            <family val="2"/>
          </rPr>
          <t>Informar a quantidade de Km percorridos por dia, conforme consta no projeto.</t>
        </r>
      </text>
    </comment>
    <comment ref="F39" authorId="0" shapeId="0" xr:uid="{00000000-0006-0000-0000-00000D000000}">
      <text>
        <r>
          <rPr>
            <b/>
            <sz val="9"/>
            <color indexed="81"/>
            <rFont val="Segoe UI"/>
            <family val="2"/>
          </rPr>
          <t>Informar o número de dias rodados por mês, conforme consta no projeto.</t>
        </r>
      </text>
    </comment>
    <comment ref="C42" authorId="1" shapeId="0" xr:uid="{00000000-0006-0000-0000-00000E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D52" authorId="1" shapeId="0" xr:uid="{00000000-0006-0000-0000-00000F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58" authorId="1" shapeId="0" xr:uid="{00000000-0006-0000-0000-000010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65" authorId="1" shapeId="0" xr:uid="{00000000-0006-0000-0000-000011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67" authorId="1" shapeId="0" xr:uid="{00000000-0006-0000-0000-000012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72" authorId="1" shapeId="0" xr:uid="{00000000-0006-0000-0000-00001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84" authorId="1" shapeId="0" xr:uid="{00000000-0006-0000-0000-000014000000}">
      <text>
        <r>
          <rPr>
            <sz val="9"/>
            <color indexed="81"/>
            <rFont val="Tahoma"/>
            <family val="2"/>
          </rPr>
          <t>Percentual buscado automaticamente no plano "Depr.", no qual cada empresa poderá, caso haja interesse ou necessidade, adequar os percentuais à sua realidade.</t>
        </r>
      </text>
    </comment>
    <comment ref="D91" authorId="1" shapeId="0" xr:uid="{00000000-0006-0000-0000-00001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1" authorId="0" shapeId="0" xr:uid="{00000000-0006-0000-0000-00001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02" authorId="1" shapeId="0" xr:uid="{00000000-0006-0000-0000-000017000000}">
      <text>
        <r>
          <rPr>
            <sz val="9"/>
            <color indexed="81"/>
            <rFont val="Tahoma"/>
            <family val="2"/>
          </rPr>
          <t xml:space="preserve">Informar o valor do licenciamento anual do veículo
</t>
        </r>
      </text>
    </comment>
    <comment ref="E103" authorId="1" shapeId="0" xr:uid="{00000000-0006-0000-0000-00001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04" authorId="1" shapeId="0" xr:uid="{00000000-0006-0000-0000-000019000000}">
      <text>
        <r>
          <rPr>
            <sz val="9"/>
            <color indexed="81"/>
            <rFont val="Tahoma"/>
            <family val="2"/>
          </rPr>
          <t xml:space="preserve">Informar o valor do seguro contra acidentes em favor dos pacientes
</t>
        </r>
      </text>
    </comment>
    <comment ref="E105" authorId="1" shapeId="0" xr:uid="{00000000-0006-0000-0000-00001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06" authorId="1" shapeId="0" xr:uid="{00000000-0006-0000-0000-00001B000000}">
      <text>
        <r>
          <rPr>
            <sz val="9"/>
            <color indexed="81"/>
            <rFont val="Tahoma"/>
            <family val="2"/>
          </rPr>
          <t>Informar o valor da  aferição do RECEFITUR para o ano.</t>
        </r>
      </text>
    </comment>
    <comment ref="E108" authorId="0" shapeId="0" xr:uid="{00000000-0006-0000-0000-00001C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16" authorId="2" shapeId="0" xr:uid="{00000000-0006-0000-0000-00001D000000}">
      <text>
        <r>
          <rPr>
            <sz val="9"/>
            <color indexed="81"/>
            <rFont val="Segoe UI"/>
            <family val="2"/>
          </rPr>
          <t>Informar preço unitario</t>
        </r>
      </text>
    </comment>
    <comment ref="D118" authorId="1" shapeId="0" xr:uid="{00000000-0006-0000-0000-00001E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18" authorId="1" shapeId="0" xr:uid="{00000000-0006-0000-0000-00001F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20" authorId="1" shapeId="0" xr:uid="{00000000-0006-0000-0000-000020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20" authorId="1" shapeId="0" xr:uid="{00000000-0006-0000-0000-000021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22" authorId="1" shapeId="0" xr:uid="{00000000-0006-0000-0000-000022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22" authorId="1" shapeId="0" xr:uid="{00000000-0006-0000-0000-000023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24" authorId="1" shapeId="0" xr:uid="{00000000-0006-0000-0000-000024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24" authorId="1" shapeId="0" xr:uid="{00000000-0006-0000-0000-000025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30" authorId="1" shapeId="0" xr:uid="{00000000-0006-0000-0000-000026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rodado.</t>
        </r>
      </text>
    </comment>
    <comment ref="D131" authorId="0" shapeId="0" xr:uid="{00000000-0006-0000-0000-000027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31" authorId="1" shapeId="0" xr:uid="{00000000-0006-0000-0000-000028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E132" authorId="0" shapeId="0" xr:uid="{00000000-0006-0000-0000-000029000000}">
      <text>
        <r>
          <rPr>
            <b/>
            <sz val="9"/>
            <color indexed="81"/>
            <rFont val="Segoe UI"/>
            <family val="2"/>
          </rPr>
          <t xml:space="preserve">Informar o custo com pedágios em um dia.
</t>
        </r>
      </text>
    </comment>
    <comment ref="D137" authorId="1" shapeId="0" xr:uid="{00000000-0006-0000-0000-00002A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37" authorId="1" shapeId="0" xr:uid="{00000000-0006-0000-0000-00002B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D138" authorId="1" shapeId="0" xr:uid="{00000000-0006-0000-0000-00002C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E139" authorId="1" shapeId="0" xr:uid="{00000000-0006-0000-0000-00002D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D140" authorId="1" shapeId="0" xr:uid="{00000000-0006-0000-0000-00002E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a primeira vida mais as recapagens, em km.
</t>
        </r>
      </text>
    </comment>
    <comment ref="E145" authorId="2" shapeId="0" xr:uid="{00000000-0006-0000-0000-00002F000000}">
      <text>
        <r>
          <rPr>
            <sz val="9"/>
            <color indexed="81"/>
            <rFont val="Segoe UI"/>
            <family val="2"/>
          </rPr>
          <t>Informar o valor</t>
        </r>
      </text>
    </comment>
    <comment ref="E146" authorId="2" shapeId="0" xr:uid="{00000000-0006-0000-0000-000030000000}">
      <text>
        <r>
          <rPr>
            <sz val="9"/>
            <color indexed="81"/>
            <rFont val="Segoe UI"/>
            <family val="2"/>
          </rPr>
          <t xml:space="preserve">Informar o valor
</t>
        </r>
      </text>
    </comment>
    <comment ref="D153" authorId="1" shapeId="0" xr:uid="{00000000-0006-0000-0000-000031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3" authorId="1" shapeId="0" xr:uid="{00000000-0006-0000-0000-000032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54" authorId="1" shapeId="0" xr:uid="{00000000-0006-0000-0000-00003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4" authorId="1" shapeId="0" xr:uid="{00000000-0006-0000-0000-000034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55" authorId="1" shapeId="0" xr:uid="{00000000-0006-0000-0000-000035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5" authorId="1" shapeId="0" xr:uid="{00000000-0006-0000-0000-000036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56" authorId="0" shapeId="0" xr:uid="{00000000-0006-0000-0000-000037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56" authorId="1" shapeId="0" xr:uid="{00000000-0006-0000-0000-000038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57" authorId="1" shapeId="0" xr:uid="{00000000-0006-0000-0000-000039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7" authorId="1" shapeId="0" xr:uid="{00000000-0006-0000-0000-00003A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66" authorId="1" shapeId="0" xr:uid="{00000000-0006-0000-0000-00003B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180" authorId="1" shapeId="0" xr:uid="{00000000-0006-0000-0000-00003C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194" authorId="1" shapeId="0" xr:uid="{00000000-0006-0000-0000-00003D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04" authorId="0" shapeId="0" xr:uid="{00000000-0006-0000-0000-00003E000000}">
      <text>
        <r>
          <rPr>
            <b/>
            <sz val="9"/>
            <color indexed="81"/>
            <rFont val="Segoe UI"/>
            <family val="2"/>
          </rPr>
          <t>Com base no faturamento Bruto dos últimos 12 meses, informar a faixa de faturamento bruto , conforme Anexo III do Simples Nacional.</t>
        </r>
      </text>
    </comment>
    <comment ref="D207" authorId="1" shapeId="0" xr:uid="{00000000-0006-0000-0000-00003F000000}">
      <text>
        <r>
          <rPr>
            <sz val="9"/>
            <color indexed="81"/>
            <rFont val="Tahoma"/>
            <family val="2"/>
          </rPr>
          <t xml:space="preserve">Quando RBA12 for até R$ 180.000,00 a aliquota é de 6,00%, conforme Anexo III do Simples Nacional.
Para valores superiores a R$ 180.000,00 aplicar a fórmula: 
(RBA12 x ALIQ) – PD / RBA12.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Clauber Bridi</author>
    <author>Win 11</author>
  </authors>
  <commentList>
    <comment ref="B3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1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1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F30" authorId="0" shapeId="0" xr:uid="{00000000-0006-0000-0100-000004000000}">
      <text>
        <r>
          <rPr>
            <b/>
            <sz val="9"/>
            <color indexed="81"/>
            <rFont val="Segoe UI"/>
            <family val="2"/>
          </rPr>
          <t>Informar a quantidade de motoristas.</t>
        </r>
      </text>
    </comment>
    <comment ref="G30" authorId="0" shapeId="0" xr:uid="{00000000-0006-0000-0100-000005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4" authorId="0" shapeId="0" xr:uid="{00000000-0006-0000-0100-000006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4" authorId="0" shapeId="0" xr:uid="{00000000-0006-0000-0100-000007000000}">
      <text>
        <r>
          <rPr>
            <b/>
            <sz val="9"/>
            <color indexed="81"/>
            <rFont val="Segoe UI"/>
            <family val="2"/>
          </rPr>
          <t>Informar a quantidade de lugares do veículo, conforme consta no projeto.</t>
        </r>
      </text>
    </comment>
    <comment ref="F34" authorId="0" shapeId="0" xr:uid="{00000000-0006-0000-0100-000008000000}">
      <text>
        <r>
          <rPr>
            <b/>
            <sz val="9"/>
            <color indexed="81"/>
            <rFont val="Segoe UI"/>
            <family val="2"/>
          </rPr>
          <t>Informar a quantidade de veículos.</t>
        </r>
      </text>
    </comment>
    <comment ref="G34" authorId="0" shapeId="0" xr:uid="{00000000-0006-0000-0100-000009000000}">
      <text>
        <r>
          <rPr>
            <b/>
            <sz val="9"/>
            <color indexed="81"/>
            <rFont val="Segoe UI"/>
            <family val="2"/>
          </rPr>
          <t>Informar o valor do veículo.</t>
        </r>
      </text>
    </comment>
    <comment ref="F35" authorId="0" shapeId="0" xr:uid="{00000000-0006-0000-0100-00000A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veículo.</t>
        </r>
      </text>
    </comment>
    <comment ref="G35" authorId="0" shapeId="0" xr:uid="{00000000-0006-0000-0100-00000B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8" authorId="0" shapeId="0" xr:uid="{00000000-0006-0000-0100-00000C000000}">
      <text>
        <r>
          <rPr>
            <b/>
            <sz val="9"/>
            <color indexed="81"/>
            <rFont val="Segoe UI"/>
            <family val="2"/>
          </rPr>
          <t>Informar a quantidade de Km percorridos por dia, conforme consta no projeto.</t>
        </r>
      </text>
    </comment>
    <comment ref="F39" authorId="0" shapeId="0" xr:uid="{00000000-0006-0000-0100-00000D000000}">
      <text>
        <r>
          <rPr>
            <b/>
            <sz val="9"/>
            <color indexed="81"/>
            <rFont val="Segoe UI"/>
            <family val="2"/>
          </rPr>
          <t>Informar o número de dias rodados por mês, conforme consta no projeto.</t>
        </r>
      </text>
    </comment>
    <comment ref="C42" authorId="1" shapeId="0" xr:uid="{00000000-0006-0000-0100-00000E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D52" authorId="1" shapeId="0" xr:uid="{00000000-0006-0000-0100-00000F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58" authorId="1" shapeId="0" xr:uid="{00000000-0006-0000-0100-000010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65" authorId="1" shapeId="0" xr:uid="{00000000-0006-0000-0100-000011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67" authorId="1" shapeId="0" xr:uid="{00000000-0006-0000-0100-000012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72" authorId="1" shapeId="0" xr:uid="{00000000-0006-0000-0100-000013000000}">
      <text>
        <r>
          <rPr>
            <sz val="9"/>
            <color indexed="81"/>
            <rFont val="Tahoma"/>
            <family val="2"/>
          </rPr>
          <t>Informar o valor unitário diário do vale refeição, constante na CCT da categoria.</t>
        </r>
      </text>
    </comment>
    <comment ref="D84" authorId="1" shapeId="0" xr:uid="{00000000-0006-0000-0100-000014000000}">
      <text>
        <r>
          <rPr>
            <sz val="9"/>
            <color indexed="81"/>
            <rFont val="Tahoma"/>
            <family val="2"/>
          </rPr>
          <t>Percentual buscado automaticamente no plano "Depr.", no qual cada empresa poderá, caso haja interesse ou necessidade, adequar os percentuais à sua realidade.</t>
        </r>
      </text>
    </comment>
    <comment ref="D91" authorId="1" shapeId="0" xr:uid="{00000000-0006-0000-0100-00001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1" authorId="0" shapeId="0" xr:uid="{00000000-0006-0000-0100-00001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02" authorId="1" shapeId="0" xr:uid="{00000000-0006-0000-0100-000017000000}">
      <text>
        <r>
          <rPr>
            <sz val="9"/>
            <color indexed="81"/>
            <rFont val="Tahoma"/>
            <family val="2"/>
          </rPr>
          <t xml:space="preserve">Informar o valor do licenciamento anual do veículo
</t>
        </r>
      </text>
    </comment>
    <comment ref="E103" authorId="1" shapeId="0" xr:uid="{00000000-0006-0000-0100-00001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04" authorId="1" shapeId="0" xr:uid="{00000000-0006-0000-0100-000019000000}">
      <text>
        <r>
          <rPr>
            <sz val="9"/>
            <color indexed="81"/>
            <rFont val="Tahoma"/>
            <family val="2"/>
          </rPr>
          <t>Informar o valor do seguro contra acidentes em favor dos pacientes.</t>
        </r>
      </text>
    </comment>
    <comment ref="E105" authorId="1" shapeId="0" xr:uid="{00000000-0006-0000-0100-00001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06" authorId="1" shapeId="0" xr:uid="{00000000-0006-0000-0100-00001B000000}">
      <text>
        <r>
          <rPr>
            <sz val="9"/>
            <color indexed="81"/>
            <rFont val="Tahoma"/>
            <family val="2"/>
          </rPr>
          <t>Informar o valor da  aferição do RECEFITUR para o ano.</t>
        </r>
      </text>
    </comment>
    <comment ref="E107" authorId="0" shapeId="0" xr:uid="{00000000-0006-0000-0100-00001C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15" authorId="2" shapeId="0" xr:uid="{00000000-0006-0000-0100-00001D000000}">
      <text>
        <r>
          <rPr>
            <sz val="9"/>
            <color indexed="81"/>
            <rFont val="Segoe UI"/>
            <family val="2"/>
          </rPr>
          <t>Informar preço unitario</t>
        </r>
      </text>
    </comment>
    <comment ref="D117" authorId="1" shapeId="0" xr:uid="{00000000-0006-0000-0100-00001E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17" authorId="1" shapeId="0" xr:uid="{00000000-0006-0000-0100-00001F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19" authorId="1" shapeId="0" xr:uid="{00000000-0006-0000-0100-000020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19" authorId="1" shapeId="0" xr:uid="{00000000-0006-0000-0100-000021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21" authorId="1" shapeId="0" xr:uid="{00000000-0006-0000-0100-000022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21" authorId="1" shapeId="0" xr:uid="{00000000-0006-0000-0100-000023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27" authorId="1" shapeId="0" xr:uid="{00000000-0006-0000-0100-000024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rodado.</t>
        </r>
      </text>
    </comment>
    <comment ref="D128" authorId="0" shapeId="0" xr:uid="{00000000-0006-0000-0100-000025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28" authorId="1" shapeId="0" xr:uid="{00000000-0006-0000-0100-000026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E129" authorId="0" shapeId="0" xr:uid="{00000000-0006-0000-0100-000027000000}">
      <text>
        <r>
          <rPr>
            <b/>
            <sz val="9"/>
            <color indexed="81"/>
            <rFont val="Segoe UI"/>
            <family val="2"/>
          </rPr>
          <t xml:space="preserve">Informar o custo com pedágios em um dia.
</t>
        </r>
      </text>
    </comment>
    <comment ref="D134" authorId="1" shapeId="0" xr:uid="{00000000-0006-0000-0100-000028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34" authorId="1" shapeId="0" xr:uid="{00000000-0006-0000-0100-000029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D135" authorId="1" shapeId="0" xr:uid="{00000000-0006-0000-0100-00002A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E136" authorId="1" shapeId="0" xr:uid="{00000000-0006-0000-0100-00002B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D137" authorId="1" shapeId="0" xr:uid="{00000000-0006-0000-0100-00002C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a primeira vida mais as recapagens, em km.
</t>
        </r>
      </text>
    </comment>
    <comment ref="E142" authorId="2" shapeId="0" xr:uid="{00000000-0006-0000-0100-00002D000000}">
      <text>
        <r>
          <rPr>
            <sz val="9"/>
            <color indexed="81"/>
            <rFont val="Segoe UI"/>
            <family val="2"/>
          </rPr>
          <t>Informar o valor</t>
        </r>
      </text>
    </comment>
    <comment ref="E143" authorId="2" shapeId="0" xr:uid="{00000000-0006-0000-0100-00002E000000}">
      <text>
        <r>
          <rPr>
            <sz val="9"/>
            <color indexed="81"/>
            <rFont val="Segoe UI"/>
            <family val="2"/>
          </rPr>
          <t>Informar o valor</t>
        </r>
      </text>
    </comment>
    <comment ref="D150" authorId="1" shapeId="0" xr:uid="{00000000-0006-0000-0100-00002F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0" authorId="1" shapeId="0" xr:uid="{00000000-0006-0000-0100-000030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51" authorId="1" shapeId="0" xr:uid="{00000000-0006-0000-0100-000031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1" authorId="1" shapeId="0" xr:uid="{00000000-0006-0000-0100-000032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52" authorId="1" shapeId="0" xr:uid="{00000000-0006-0000-0100-00003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2" authorId="1" shapeId="0" xr:uid="{00000000-0006-0000-0100-000034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53" authorId="0" shapeId="0" xr:uid="{00000000-0006-0000-0100-000035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53" authorId="1" shapeId="0" xr:uid="{00000000-0006-0000-0100-000036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54" authorId="1" shapeId="0" xr:uid="{00000000-0006-0000-0100-000037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4" authorId="1" shapeId="0" xr:uid="{00000000-0006-0000-0100-000038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63" authorId="1" shapeId="0" xr:uid="{00000000-0006-0000-0100-000039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177" authorId="1" shapeId="0" xr:uid="{00000000-0006-0000-0100-00003A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191" authorId="1" shapeId="0" xr:uid="{00000000-0006-0000-0100-00003B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01" authorId="0" shapeId="0" xr:uid="{00000000-0006-0000-0100-00003C000000}">
      <text>
        <r>
          <rPr>
            <b/>
            <sz val="9"/>
            <color indexed="81"/>
            <rFont val="Segoe UI"/>
            <family val="2"/>
          </rPr>
          <t>Com base no faturamento Bruto dos últimos 12 meses, informar a faixa de faturamento bruto , conforme Anexo III do Simples Nacional.</t>
        </r>
      </text>
    </comment>
    <comment ref="D204" authorId="1" shapeId="0" xr:uid="{00000000-0006-0000-0100-00003D000000}">
      <text>
        <r>
          <rPr>
            <sz val="9"/>
            <color indexed="81"/>
            <rFont val="Tahoma"/>
            <family val="2"/>
          </rPr>
          <t xml:space="preserve">Quando RBA12 for até R$ 180.000,00 a aliquota é de 6,00%, conforme Anexo III do Simples Nacional.
Para valores superiores a R$ 180.000,00 aplicar a fórmula: 
(RBA12 x ALIQ) – PD / RBA12.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Clauber Bridi</author>
    <author>Win 11</author>
  </authors>
  <commentList>
    <comment ref="B3" authorId="0" shapeId="0" xr:uid="{00000000-0006-0000-02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2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2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F30" authorId="0" shapeId="0" xr:uid="{00000000-0006-0000-0200-000004000000}">
      <text>
        <r>
          <rPr>
            <b/>
            <sz val="9"/>
            <color indexed="81"/>
            <rFont val="Segoe UI"/>
            <family val="2"/>
          </rPr>
          <t>Informar a quantidade de motoristas.</t>
        </r>
      </text>
    </comment>
    <comment ref="G30" authorId="0" shapeId="0" xr:uid="{00000000-0006-0000-0200-000005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4" authorId="0" shapeId="0" xr:uid="{00000000-0006-0000-0200-000006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4" authorId="0" shapeId="0" xr:uid="{00000000-0006-0000-0200-000007000000}">
      <text>
        <r>
          <rPr>
            <b/>
            <sz val="9"/>
            <color indexed="81"/>
            <rFont val="Segoe UI"/>
            <family val="2"/>
          </rPr>
          <t>Informar a quantidade de lugares do veículo, conforme consta no projeto.</t>
        </r>
      </text>
    </comment>
    <comment ref="F34" authorId="0" shapeId="0" xr:uid="{00000000-0006-0000-0200-000008000000}">
      <text>
        <r>
          <rPr>
            <b/>
            <sz val="9"/>
            <color indexed="81"/>
            <rFont val="Segoe UI"/>
            <family val="2"/>
          </rPr>
          <t>Informar a quantidade de veículos.</t>
        </r>
      </text>
    </comment>
    <comment ref="G34" authorId="0" shapeId="0" xr:uid="{00000000-0006-0000-0200-000009000000}">
      <text>
        <r>
          <rPr>
            <b/>
            <sz val="9"/>
            <color indexed="81"/>
            <rFont val="Segoe UI"/>
            <family val="2"/>
          </rPr>
          <t xml:space="preserve">Informar o valor do veículo.
</t>
        </r>
      </text>
    </comment>
    <comment ref="F35" authorId="0" shapeId="0" xr:uid="{00000000-0006-0000-0200-00000A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veículo.</t>
        </r>
      </text>
    </comment>
    <comment ref="G35" authorId="0" shapeId="0" xr:uid="{00000000-0006-0000-0200-00000B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8" authorId="0" shapeId="0" xr:uid="{00000000-0006-0000-0200-00000C000000}">
      <text>
        <r>
          <rPr>
            <b/>
            <sz val="9"/>
            <color indexed="81"/>
            <rFont val="Segoe UI"/>
            <family val="2"/>
          </rPr>
          <t>Informar a quantidade de Km percorridos por dia, conforme consta no projeto.</t>
        </r>
      </text>
    </comment>
    <comment ref="F39" authorId="0" shapeId="0" xr:uid="{00000000-0006-0000-0200-00000D000000}">
      <text>
        <r>
          <rPr>
            <b/>
            <sz val="9"/>
            <color indexed="81"/>
            <rFont val="Segoe UI"/>
            <family val="2"/>
          </rPr>
          <t>Informar o número de dias rodados por mês, conforme consta no projeto.</t>
        </r>
      </text>
    </comment>
    <comment ref="C42" authorId="1" shapeId="0" xr:uid="{00000000-0006-0000-0200-00000E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D52" authorId="1" shapeId="0" xr:uid="{00000000-0006-0000-0200-00000F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58" authorId="1" shapeId="0" xr:uid="{00000000-0006-0000-0200-000010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65" authorId="1" shapeId="0" xr:uid="{00000000-0006-0000-0200-000011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67" authorId="1" shapeId="0" xr:uid="{00000000-0006-0000-0200-000012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72" authorId="1" shapeId="0" xr:uid="{00000000-0006-0000-0200-00001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84" authorId="1" shapeId="0" xr:uid="{00000000-0006-0000-0200-000014000000}">
      <text>
        <r>
          <rPr>
            <sz val="9"/>
            <color indexed="81"/>
            <rFont val="Tahoma"/>
            <family val="2"/>
          </rPr>
          <t>Percentual buscado automaticamente no plano "Depr.", no qual cada empresa poderá, caso haja interesse ou necessidade, adequar os percentuais à sua realidade.</t>
        </r>
      </text>
    </comment>
    <comment ref="D91" authorId="1" shapeId="0" xr:uid="{00000000-0006-0000-0200-00001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1" authorId="0" shapeId="0" xr:uid="{00000000-0006-0000-0200-00001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02" authorId="1" shapeId="0" xr:uid="{00000000-0006-0000-0200-000017000000}">
      <text>
        <r>
          <rPr>
            <sz val="9"/>
            <color indexed="81"/>
            <rFont val="Tahoma"/>
            <family val="2"/>
          </rPr>
          <t xml:space="preserve">Informar o valor do licenciamento anual do veículo
</t>
        </r>
      </text>
    </comment>
    <comment ref="E103" authorId="1" shapeId="0" xr:uid="{00000000-0006-0000-0200-00001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04" authorId="1" shapeId="0" xr:uid="{00000000-0006-0000-0200-000019000000}">
      <text>
        <r>
          <rPr>
            <sz val="9"/>
            <color indexed="81"/>
            <rFont val="Tahoma"/>
            <family val="2"/>
          </rPr>
          <t xml:space="preserve">Informar o valor do seguro contra acidentes em favor dos pacientes.
</t>
        </r>
      </text>
    </comment>
    <comment ref="E105" authorId="1" shapeId="0" xr:uid="{00000000-0006-0000-0200-00001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06" authorId="1" shapeId="0" xr:uid="{00000000-0006-0000-0200-00001B000000}">
      <text>
        <r>
          <rPr>
            <sz val="9"/>
            <color indexed="81"/>
            <rFont val="Tahoma"/>
            <family val="2"/>
          </rPr>
          <t>Informar o valor da  aferição do RECEFITUR para o ano.</t>
        </r>
      </text>
    </comment>
    <comment ref="E107" authorId="0" shapeId="0" xr:uid="{00000000-0006-0000-0200-00001C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E115" authorId="2" shapeId="0" xr:uid="{00000000-0006-0000-0200-00001D000000}">
      <text>
        <r>
          <rPr>
            <sz val="9"/>
            <color indexed="81"/>
            <rFont val="Segoe UI"/>
            <family val="2"/>
          </rPr>
          <t>Informar o preço unitario</t>
        </r>
      </text>
    </comment>
    <comment ref="D117" authorId="1" shapeId="0" xr:uid="{00000000-0006-0000-0200-00001E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17" authorId="1" shapeId="0" xr:uid="{00000000-0006-0000-0200-00001F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19" authorId="1" shapeId="0" xr:uid="{00000000-0006-0000-0200-000020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19" authorId="1" shapeId="0" xr:uid="{00000000-0006-0000-0200-000021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21" authorId="1" shapeId="0" xr:uid="{00000000-0006-0000-0200-000022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21" authorId="1" shapeId="0" xr:uid="{00000000-0006-0000-0200-000023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23" authorId="1" shapeId="0" xr:uid="{00000000-0006-0000-0200-000024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23" authorId="1" shapeId="0" xr:uid="{00000000-0006-0000-0200-000025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29" authorId="1" shapeId="0" xr:uid="{00000000-0006-0000-0200-000026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rodado.</t>
        </r>
      </text>
    </comment>
    <comment ref="D130" authorId="0" shapeId="0" xr:uid="{00000000-0006-0000-0200-000027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30" authorId="1" shapeId="0" xr:uid="{00000000-0006-0000-0200-000028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E131" authorId="0" shapeId="0" xr:uid="{00000000-0006-0000-0200-000029000000}">
      <text>
        <r>
          <rPr>
            <b/>
            <sz val="9"/>
            <color indexed="81"/>
            <rFont val="Segoe UI"/>
            <family val="2"/>
          </rPr>
          <t xml:space="preserve">Informar o custo com pedágios em um dia.
</t>
        </r>
      </text>
    </comment>
    <comment ref="D136" authorId="1" shapeId="0" xr:uid="{00000000-0006-0000-0200-00002A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36" authorId="1" shapeId="0" xr:uid="{00000000-0006-0000-0200-00002B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D137" authorId="1" shapeId="0" xr:uid="{00000000-0006-0000-0200-00002C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E138" authorId="1" shapeId="0" xr:uid="{00000000-0006-0000-0200-00002D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D139" authorId="1" shapeId="0" xr:uid="{00000000-0006-0000-0200-00002E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a primeira vida mais as recapagens, em km.
</t>
        </r>
      </text>
    </comment>
    <comment ref="E144" authorId="2" shapeId="0" xr:uid="{00000000-0006-0000-0200-00002F000000}">
      <text>
        <r>
          <rPr>
            <sz val="9"/>
            <color indexed="81"/>
            <rFont val="Segoe UI"/>
            <family val="2"/>
          </rPr>
          <t xml:space="preserve">Informar o valor
</t>
        </r>
      </text>
    </comment>
    <comment ref="E145" authorId="2" shapeId="0" xr:uid="{00000000-0006-0000-0200-000030000000}">
      <text>
        <r>
          <rPr>
            <sz val="9"/>
            <color indexed="81"/>
            <rFont val="Segoe UI"/>
            <family val="2"/>
          </rPr>
          <t>Informar o valor</t>
        </r>
      </text>
    </comment>
    <comment ref="D152" authorId="1" shapeId="0" xr:uid="{00000000-0006-0000-0200-000031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2" authorId="1" shapeId="0" xr:uid="{00000000-0006-0000-0200-000032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53" authorId="1" shapeId="0" xr:uid="{00000000-0006-0000-0200-00003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3" authorId="1" shapeId="0" xr:uid="{00000000-0006-0000-0200-000034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54" authorId="1" shapeId="0" xr:uid="{00000000-0006-0000-0200-000035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4" authorId="1" shapeId="0" xr:uid="{00000000-0006-0000-0200-000036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55" authorId="0" shapeId="0" xr:uid="{00000000-0006-0000-0200-000037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55" authorId="1" shapeId="0" xr:uid="{00000000-0006-0000-0200-000038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56" authorId="1" shapeId="0" xr:uid="{00000000-0006-0000-0200-000039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6" authorId="1" shapeId="0" xr:uid="{00000000-0006-0000-0200-00003A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65" authorId="1" shapeId="0" xr:uid="{00000000-0006-0000-0200-00003B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179" authorId="1" shapeId="0" xr:uid="{00000000-0006-0000-0200-00003C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193" authorId="1" shapeId="0" xr:uid="{00000000-0006-0000-0200-00003D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03" authorId="0" shapeId="0" xr:uid="{00000000-0006-0000-0200-00003E000000}">
      <text>
        <r>
          <rPr>
            <b/>
            <sz val="9"/>
            <color indexed="81"/>
            <rFont val="Segoe UI"/>
            <family val="2"/>
          </rPr>
          <t>Com base no faturamento Bruto dos últimos 12 meses, informar a faixa de faturamento bruto , conforme Anexo III do Simples Nacional.</t>
        </r>
      </text>
    </comment>
    <comment ref="D206" authorId="1" shapeId="0" xr:uid="{00000000-0006-0000-0200-00003F000000}">
      <text>
        <r>
          <rPr>
            <sz val="9"/>
            <color indexed="81"/>
            <rFont val="Tahoma"/>
            <family val="2"/>
          </rPr>
          <t xml:space="preserve">Quando RBA12 for até R$ 180.000,00 a aliquota é de 6,00%, conforme Anexo III do Simples Nacional.
Para valores superiores a R$ 180.000,00 aplicar a fórmula: 
(RBA12 x ALIQ) – PD / RBA12.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Clauber Bridi</author>
    <author>Win 11</author>
  </authors>
  <commentList>
    <comment ref="B3" authorId="0" shapeId="0" xr:uid="{00000000-0006-0000-03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3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3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F30" authorId="0" shapeId="0" xr:uid="{00000000-0006-0000-0300-000004000000}">
      <text>
        <r>
          <rPr>
            <b/>
            <sz val="9"/>
            <color indexed="81"/>
            <rFont val="Segoe UI"/>
            <family val="2"/>
          </rPr>
          <t>Informar a quantidade de motoristas.</t>
        </r>
      </text>
    </comment>
    <comment ref="G30" authorId="0" shapeId="0" xr:uid="{00000000-0006-0000-0300-000005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4" authorId="0" shapeId="0" xr:uid="{00000000-0006-0000-0300-000006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4" authorId="0" shapeId="0" xr:uid="{00000000-0006-0000-0300-000007000000}">
      <text>
        <r>
          <rPr>
            <b/>
            <sz val="9"/>
            <color indexed="81"/>
            <rFont val="Segoe UI"/>
            <family val="2"/>
          </rPr>
          <t>Informar a quantidade de lugares do veículo, conforme consta no projeto.</t>
        </r>
      </text>
    </comment>
    <comment ref="F34" authorId="0" shapeId="0" xr:uid="{00000000-0006-0000-0300-000008000000}">
      <text>
        <r>
          <rPr>
            <b/>
            <sz val="9"/>
            <color indexed="81"/>
            <rFont val="Segoe UI"/>
            <family val="2"/>
          </rPr>
          <t>Informar a quantidade de veículos.</t>
        </r>
      </text>
    </comment>
    <comment ref="G34" authorId="0" shapeId="0" xr:uid="{00000000-0006-0000-0300-000009000000}">
      <text>
        <r>
          <rPr>
            <b/>
            <sz val="9"/>
            <color indexed="81"/>
            <rFont val="Segoe UI"/>
            <family val="2"/>
          </rPr>
          <t xml:space="preserve">Informar o valor do veículo.
</t>
        </r>
      </text>
    </comment>
    <comment ref="F35" authorId="0" shapeId="0" xr:uid="{00000000-0006-0000-0300-00000A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veículo.</t>
        </r>
      </text>
    </comment>
    <comment ref="G35" authorId="0" shapeId="0" xr:uid="{00000000-0006-0000-0300-00000B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8" authorId="0" shapeId="0" xr:uid="{00000000-0006-0000-0300-00000C000000}">
      <text>
        <r>
          <rPr>
            <b/>
            <sz val="9"/>
            <color indexed="81"/>
            <rFont val="Segoe UI"/>
            <family val="2"/>
          </rPr>
          <t>Informar a quantidade de Km percorridos por dia, conforme consta no projeto.</t>
        </r>
      </text>
    </comment>
    <comment ref="F39" authorId="0" shapeId="0" xr:uid="{00000000-0006-0000-0300-00000D000000}">
      <text>
        <r>
          <rPr>
            <b/>
            <sz val="9"/>
            <color indexed="81"/>
            <rFont val="Segoe UI"/>
            <family val="2"/>
          </rPr>
          <t>Informar o número de dias rodados por mês, conforme consta no projeto.</t>
        </r>
      </text>
    </comment>
    <comment ref="C42" authorId="1" shapeId="0" xr:uid="{00000000-0006-0000-0300-00000E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D52" authorId="1" shapeId="0" xr:uid="{00000000-0006-0000-0300-00000F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58" authorId="1" shapeId="0" xr:uid="{00000000-0006-0000-0300-000010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65" authorId="1" shapeId="0" xr:uid="{00000000-0006-0000-0300-000011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67" authorId="1" shapeId="0" xr:uid="{00000000-0006-0000-0300-000012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72" authorId="1" shapeId="0" xr:uid="{00000000-0006-0000-0300-00001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84" authorId="1" shapeId="0" xr:uid="{00000000-0006-0000-0300-000014000000}">
      <text>
        <r>
          <rPr>
            <sz val="9"/>
            <color indexed="81"/>
            <rFont val="Tahoma"/>
            <family val="2"/>
          </rPr>
          <t>Percentual buscado automaticamente no plano "Depr.", no qual cada empresa poderá, caso haja interesse ou necessidade, adequar os percentuais à sua realidade.</t>
        </r>
      </text>
    </comment>
    <comment ref="D91" authorId="1" shapeId="0" xr:uid="{00000000-0006-0000-0300-00001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1" authorId="0" shapeId="0" xr:uid="{00000000-0006-0000-0300-00001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02" authorId="1" shapeId="0" xr:uid="{00000000-0006-0000-0300-000017000000}">
      <text>
        <r>
          <rPr>
            <sz val="9"/>
            <color indexed="81"/>
            <rFont val="Tahoma"/>
            <family val="2"/>
          </rPr>
          <t xml:space="preserve">Informar o valor do licenciamento anual do veículo
</t>
        </r>
      </text>
    </comment>
    <comment ref="E103" authorId="1" shapeId="0" xr:uid="{00000000-0006-0000-0300-00001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04" authorId="1" shapeId="0" xr:uid="{00000000-0006-0000-0300-000019000000}">
      <text>
        <r>
          <rPr>
            <sz val="9"/>
            <color indexed="81"/>
            <rFont val="Tahoma"/>
            <family val="2"/>
          </rPr>
          <t xml:space="preserve">Informar o valor do seguro contra acidentes em favor dos pacientes.
</t>
        </r>
      </text>
    </comment>
    <comment ref="E105" authorId="1" shapeId="0" xr:uid="{00000000-0006-0000-0300-00001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06" authorId="1" shapeId="0" xr:uid="{00000000-0006-0000-0300-00001B000000}">
      <text>
        <r>
          <rPr>
            <sz val="9"/>
            <color indexed="81"/>
            <rFont val="Tahoma"/>
            <family val="2"/>
          </rPr>
          <t>Informar o valor da  aferição do RECEFITUR para o ano.</t>
        </r>
      </text>
    </comment>
    <comment ref="E107" authorId="0" shapeId="0" xr:uid="{00000000-0006-0000-0300-00001C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E115" authorId="2" shapeId="0" xr:uid="{00000000-0006-0000-0300-00001D000000}">
      <text>
        <r>
          <rPr>
            <sz val="9"/>
            <color indexed="81"/>
            <rFont val="Segoe UI"/>
            <family val="2"/>
          </rPr>
          <t>Informar o preço unitario</t>
        </r>
      </text>
    </comment>
    <comment ref="D117" authorId="1" shapeId="0" xr:uid="{00000000-0006-0000-0300-00001E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17" authorId="1" shapeId="0" xr:uid="{00000000-0006-0000-0300-00001F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19" authorId="1" shapeId="0" xr:uid="{00000000-0006-0000-0300-000020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19" authorId="1" shapeId="0" xr:uid="{00000000-0006-0000-0300-000021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21" authorId="1" shapeId="0" xr:uid="{00000000-0006-0000-0300-000022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21" authorId="1" shapeId="0" xr:uid="{00000000-0006-0000-0300-000023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23" authorId="1" shapeId="0" xr:uid="{00000000-0006-0000-0300-000024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23" authorId="1" shapeId="0" xr:uid="{00000000-0006-0000-0300-000025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29" authorId="1" shapeId="0" xr:uid="{00000000-0006-0000-0300-000026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rodado.</t>
        </r>
      </text>
    </comment>
    <comment ref="D130" authorId="0" shapeId="0" xr:uid="{00000000-0006-0000-0300-000027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30" authorId="1" shapeId="0" xr:uid="{00000000-0006-0000-0300-000028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E131" authorId="0" shapeId="0" xr:uid="{00000000-0006-0000-0300-000029000000}">
      <text>
        <r>
          <rPr>
            <b/>
            <sz val="9"/>
            <color indexed="81"/>
            <rFont val="Segoe UI"/>
            <family val="2"/>
          </rPr>
          <t xml:space="preserve">Informar o custo com pedágios em um dia.
</t>
        </r>
      </text>
    </comment>
    <comment ref="D136" authorId="1" shapeId="0" xr:uid="{00000000-0006-0000-0300-00002A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36" authorId="1" shapeId="0" xr:uid="{00000000-0006-0000-0300-00002B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D137" authorId="1" shapeId="0" xr:uid="{00000000-0006-0000-0300-00002C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E138" authorId="1" shapeId="0" xr:uid="{00000000-0006-0000-0300-00002D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D139" authorId="1" shapeId="0" xr:uid="{00000000-0006-0000-0300-00002E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a primeira vida mais as recapagens, em km.
</t>
        </r>
      </text>
    </comment>
    <comment ref="E144" authorId="2" shapeId="0" xr:uid="{00000000-0006-0000-0300-00002F000000}">
      <text>
        <r>
          <rPr>
            <sz val="9"/>
            <color indexed="81"/>
            <rFont val="Segoe UI"/>
            <family val="2"/>
          </rPr>
          <t xml:space="preserve">Informar o valor
</t>
        </r>
      </text>
    </comment>
    <comment ref="E145" authorId="2" shapeId="0" xr:uid="{00000000-0006-0000-0300-000030000000}">
      <text>
        <r>
          <rPr>
            <sz val="9"/>
            <color indexed="81"/>
            <rFont val="Segoe UI"/>
            <family val="2"/>
          </rPr>
          <t>Informar o valor</t>
        </r>
      </text>
    </comment>
    <comment ref="D152" authorId="1" shapeId="0" xr:uid="{00000000-0006-0000-0300-000031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2" authorId="1" shapeId="0" xr:uid="{00000000-0006-0000-0300-000032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53" authorId="1" shapeId="0" xr:uid="{00000000-0006-0000-0300-00003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3" authorId="1" shapeId="0" xr:uid="{00000000-0006-0000-0300-000034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54" authorId="1" shapeId="0" xr:uid="{00000000-0006-0000-0300-000035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4" authorId="1" shapeId="0" xr:uid="{00000000-0006-0000-0300-000036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55" authorId="0" shapeId="0" xr:uid="{00000000-0006-0000-0300-000037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55" authorId="1" shapeId="0" xr:uid="{00000000-0006-0000-0300-000038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56" authorId="1" shapeId="0" xr:uid="{00000000-0006-0000-0300-000039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6" authorId="1" shapeId="0" xr:uid="{00000000-0006-0000-0300-00003A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65" authorId="1" shapeId="0" xr:uid="{00000000-0006-0000-0300-00003B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179" authorId="1" shapeId="0" xr:uid="{00000000-0006-0000-0300-00003C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193" authorId="1" shapeId="0" xr:uid="{00000000-0006-0000-0300-00003D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03" authorId="0" shapeId="0" xr:uid="{00000000-0006-0000-0300-00003E000000}">
      <text>
        <r>
          <rPr>
            <b/>
            <sz val="9"/>
            <color indexed="81"/>
            <rFont val="Segoe UI"/>
            <family val="2"/>
          </rPr>
          <t>Com base no faturamento Bruto dos últimos 12 meses, informar a faixa de faturamento bruto , conforme Anexo III do Simples Nacional.</t>
        </r>
      </text>
    </comment>
    <comment ref="D206" authorId="1" shapeId="0" xr:uid="{00000000-0006-0000-0300-00003F000000}">
      <text>
        <r>
          <rPr>
            <sz val="9"/>
            <color indexed="81"/>
            <rFont val="Tahoma"/>
            <family val="2"/>
          </rPr>
          <t xml:space="preserve">Quando RBA12 for até R$ 180.000,00 a aliquota é de 6,00%, conforme Anexo III do Simples Nacional.
Para valores superiores a R$ 180.000,00 aplicar a fórmula: 
(RBA12 x ALIQ) – PD / RBA12.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Clauber Bridi</author>
    <author>Win 11</author>
  </authors>
  <commentList>
    <comment ref="B3" authorId="0" shapeId="0" xr:uid="{00000000-0006-0000-04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4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4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F30" authorId="0" shapeId="0" xr:uid="{00000000-0006-0000-0400-000004000000}">
      <text>
        <r>
          <rPr>
            <b/>
            <sz val="9"/>
            <color indexed="81"/>
            <rFont val="Segoe UI"/>
            <family val="2"/>
          </rPr>
          <t>Informar a quantidade de motoristas.</t>
        </r>
      </text>
    </comment>
    <comment ref="G30" authorId="0" shapeId="0" xr:uid="{00000000-0006-0000-0400-000005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4" authorId="0" shapeId="0" xr:uid="{00000000-0006-0000-0400-000006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4" authorId="0" shapeId="0" xr:uid="{00000000-0006-0000-0400-000007000000}">
      <text>
        <r>
          <rPr>
            <b/>
            <sz val="9"/>
            <color indexed="81"/>
            <rFont val="Segoe UI"/>
            <family val="2"/>
          </rPr>
          <t>Informar a quantidade de lugares do veículo, conforme consta no projeto.</t>
        </r>
      </text>
    </comment>
    <comment ref="F34" authorId="0" shapeId="0" xr:uid="{00000000-0006-0000-0400-000008000000}">
      <text>
        <r>
          <rPr>
            <b/>
            <sz val="9"/>
            <color indexed="81"/>
            <rFont val="Segoe UI"/>
            <family val="2"/>
          </rPr>
          <t>Informar a quantidade de veículos.</t>
        </r>
      </text>
    </comment>
    <comment ref="G34" authorId="0" shapeId="0" xr:uid="{00000000-0006-0000-0400-000009000000}">
      <text>
        <r>
          <rPr>
            <b/>
            <sz val="9"/>
            <color indexed="81"/>
            <rFont val="Segoe UI"/>
            <family val="2"/>
          </rPr>
          <t xml:space="preserve">Informar o valor do veículo.
</t>
        </r>
      </text>
    </comment>
    <comment ref="F35" authorId="0" shapeId="0" xr:uid="{00000000-0006-0000-0400-00000A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veículo.</t>
        </r>
      </text>
    </comment>
    <comment ref="G35" authorId="0" shapeId="0" xr:uid="{00000000-0006-0000-0400-00000B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8" authorId="0" shapeId="0" xr:uid="{00000000-0006-0000-0400-00000C000000}">
      <text>
        <r>
          <rPr>
            <b/>
            <sz val="9"/>
            <color indexed="81"/>
            <rFont val="Segoe UI"/>
            <family val="2"/>
          </rPr>
          <t>Informar a quantidade de Km percorridos por dia, conforme consta no projeto.</t>
        </r>
      </text>
    </comment>
    <comment ref="F39" authorId="0" shapeId="0" xr:uid="{00000000-0006-0000-0400-00000D000000}">
      <text>
        <r>
          <rPr>
            <b/>
            <sz val="9"/>
            <color indexed="81"/>
            <rFont val="Segoe UI"/>
            <family val="2"/>
          </rPr>
          <t>Informar o número de dias rodados por mês, conforme consta no projeto.</t>
        </r>
      </text>
    </comment>
    <comment ref="C42" authorId="1" shapeId="0" xr:uid="{00000000-0006-0000-0400-00000E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D52" authorId="1" shapeId="0" xr:uid="{00000000-0006-0000-0400-00000F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58" authorId="1" shapeId="0" xr:uid="{00000000-0006-0000-0400-000010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65" authorId="1" shapeId="0" xr:uid="{00000000-0006-0000-0400-000011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67" authorId="1" shapeId="0" xr:uid="{00000000-0006-0000-0400-000012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72" authorId="1" shapeId="0" xr:uid="{00000000-0006-0000-0400-00001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84" authorId="1" shapeId="0" xr:uid="{00000000-0006-0000-0400-000014000000}">
      <text>
        <r>
          <rPr>
            <sz val="9"/>
            <color indexed="81"/>
            <rFont val="Tahoma"/>
            <family val="2"/>
          </rPr>
          <t>Percentual buscado automaticamente no plano "Depr.", no qual cada empresa poderá, caso haja interesse ou necessidade, adequar os percentuais à sua realidade.</t>
        </r>
      </text>
    </comment>
    <comment ref="D91" authorId="1" shapeId="0" xr:uid="{00000000-0006-0000-0400-00001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1" authorId="0" shapeId="0" xr:uid="{00000000-0006-0000-0400-00001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02" authorId="1" shapeId="0" xr:uid="{00000000-0006-0000-0400-000017000000}">
      <text>
        <r>
          <rPr>
            <sz val="9"/>
            <color indexed="81"/>
            <rFont val="Tahoma"/>
            <family val="2"/>
          </rPr>
          <t xml:space="preserve">Informar o valor do licenciamento anual do veículo
</t>
        </r>
      </text>
    </comment>
    <comment ref="E103" authorId="1" shapeId="0" xr:uid="{00000000-0006-0000-0400-00001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04" authorId="1" shapeId="0" xr:uid="{00000000-0006-0000-0400-000019000000}">
      <text>
        <r>
          <rPr>
            <sz val="9"/>
            <color indexed="81"/>
            <rFont val="Tahoma"/>
            <family val="2"/>
          </rPr>
          <t xml:space="preserve">Informar o valor do seguro contra acidentes em favor dos pacientes
</t>
        </r>
      </text>
    </comment>
    <comment ref="E105" authorId="1" shapeId="0" xr:uid="{00000000-0006-0000-0400-00001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06" authorId="1" shapeId="0" xr:uid="{00000000-0006-0000-0400-00001B000000}">
      <text>
        <r>
          <rPr>
            <sz val="9"/>
            <color indexed="81"/>
            <rFont val="Tahoma"/>
            <family val="2"/>
          </rPr>
          <t>Informar o valor da  aferição do RECEFITUR para o ano.</t>
        </r>
      </text>
    </comment>
    <comment ref="E108" authorId="0" shapeId="0" xr:uid="{00000000-0006-0000-0400-00001C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16" authorId="2" shapeId="0" xr:uid="{00000000-0006-0000-0400-00001D000000}">
      <text>
        <r>
          <rPr>
            <sz val="9"/>
            <color indexed="81"/>
            <rFont val="Segoe UI"/>
            <family val="2"/>
          </rPr>
          <t>Informar preço unitario</t>
        </r>
      </text>
    </comment>
    <comment ref="D118" authorId="1" shapeId="0" xr:uid="{00000000-0006-0000-0400-00001E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18" authorId="1" shapeId="0" xr:uid="{00000000-0006-0000-0400-00001F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20" authorId="1" shapeId="0" xr:uid="{00000000-0006-0000-0400-000020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20" authorId="1" shapeId="0" xr:uid="{00000000-0006-0000-0400-000021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22" authorId="1" shapeId="0" xr:uid="{00000000-0006-0000-0400-000022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22" authorId="1" shapeId="0" xr:uid="{00000000-0006-0000-0400-000023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24" authorId="1" shapeId="0" xr:uid="{00000000-0006-0000-0400-000024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24" authorId="1" shapeId="0" xr:uid="{00000000-0006-0000-0400-000025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30" authorId="1" shapeId="0" xr:uid="{00000000-0006-0000-0400-000026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rodado.</t>
        </r>
      </text>
    </comment>
    <comment ref="D131" authorId="0" shapeId="0" xr:uid="{00000000-0006-0000-0400-000027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31" authorId="1" shapeId="0" xr:uid="{00000000-0006-0000-0400-000028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E132" authorId="0" shapeId="0" xr:uid="{00000000-0006-0000-0400-000029000000}">
      <text>
        <r>
          <rPr>
            <b/>
            <sz val="9"/>
            <color indexed="81"/>
            <rFont val="Segoe UI"/>
            <family val="2"/>
          </rPr>
          <t xml:space="preserve">Informar o custo com pedágios em um dia.
</t>
        </r>
      </text>
    </comment>
    <comment ref="D137" authorId="1" shapeId="0" xr:uid="{00000000-0006-0000-0400-00002A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37" authorId="1" shapeId="0" xr:uid="{00000000-0006-0000-0400-00002B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D138" authorId="1" shapeId="0" xr:uid="{00000000-0006-0000-0400-00002C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E139" authorId="1" shapeId="0" xr:uid="{00000000-0006-0000-0400-00002D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D140" authorId="1" shapeId="0" xr:uid="{00000000-0006-0000-0400-00002E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a primeira vida mais as recapagens, em km.
</t>
        </r>
      </text>
    </comment>
    <comment ref="E145" authorId="2" shapeId="0" xr:uid="{00000000-0006-0000-0400-00002F000000}">
      <text>
        <r>
          <rPr>
            <sz val="9"/>
            <color indexed="81"/>
            <rFont val="Segoe UI"/>
            <family val="2"/>
          </rPr>
          <t>Informar o valor</t>
        </r>
      </text>
    </comment>
    <comment ref="E146" authorId="2" shapeId="0" xr:uid="{00000000-0006-0000-0400-000030000000}">
      <text>
        <r>
          <rPr>
            <sz val="9"/>
            <color indexed="81"/>
            <rFont val="Segoe UI"/>
            <family val="2"/>
          </rPr>
          <t xml:space="preserve">Informar o valor
</t>
        </r>
      </text>
    </comment>
    <comment ref="D153" authorId="1" shapeId="0" xr:uid="{00000000-0006-0000-0400-000031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3" authorId="1" shapeId="0" xr:uid="{00000000-0006-0000-0400-000032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54" authorId="1" shapeId="0" xr:uid="{00000000-0006-0000-0400-00003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4" authorId="1" shapeId="0" xr:uid="{00000000-0006-0000-0400-000034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55" authorId="1" shapeId="0" xr:uid="{00000000-0006-0000-0400-000035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5" authorId="1" shapeId="0" xr:uid="{00000000-0006-0000-0400-000036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56" authorId="0" shapeId="0" xr:uid="{00000000-0006-0000-0400-000037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56" authorId="1" shapeId="0" xr:uid="{00000000-0006-0000-0400-000038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57" authorId="1" shapeId="0" xr:uid="{00000000-0006-0000-0400-000039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7" authorId="1" shapeId="0" xr:uid="{00000000-0006-0000-0400-00003A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66" authorId="1" shapeId="0" xr:uid="{00000000-0006-0000-0400-00003B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180" authorId="1" shapeId="0" xr:uid="{00000000-0006-0000-0400-00003C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194" authorId="1" shapeId="0" xr:uid="{00000000-0006-0000-0400-00003D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04" authorId="0" shapeId="0" xr:uid="{00000000-0006-0000-0400-00003E000000}">
      <text>
        <r>
          <rPr>
            <b/>
            <sz val="9"/>
            <color indexed="81"/>
            <rFont val="Segoe UI"/>
            <family val="2"/>
          </rPr>
          <t>Com base no faturamento Bruto dos últimos 12 meses, informar a faixa de faturamento bruto , conforme Anexo III do Simples Nacional.</t>
        </r>
      </text>
    </comment>
    <comment ref="D207" authorId="1" shapeId="0" xr:uid="{00000000-0006-0000-0400-00003F000000}">
      <text>
        <r>
          <rPr>
            <sz val="9"/>
            <color indexed="81"/>
            <rFont val="Tahoma"/>
            <family val="2"/>
          </rPr>
          <t xml:space="preserve">Quando RBA12 for até R$ 180.000,00 a aliquota é de 6,00%, conforme Anexo III do Simples Nacional.
Para valores superiores a R$ 180.000,00 aplicar a fórmula: 
(RBA12 x ALIQ) – PD / RBA12.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Clauber Bridi</author>
    <author>Win 11</author>
  </authors>
  <commentList>
    <comment ref="B3" authorId="0" shapeId="0" xr:uid="{00000000-0006-0000-05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5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5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F30" authorId="0" shapeId="0" xr:uid="{00000000-0006-0000-0500-000004000000}">
      <text>
        <r>
          <rPr>
            <b/>
            <sz val="9"/>
            <color indexed="81"/>
            <rFont val="Segoe UI"/>
            <family val="2"/>
          </rPr>
          <t>Informar a quantidade de motoristas.</t>
        </r>
      </text>
    </comment>
    <comment ref="G30" authorId="0" shapeId="0" xr:uid="{00000000-0006-0000-0500-000005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4" authorId="0" shapeId="0" xr:uid="{00000000-0006-0000-0500-000006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4" authorId="0" shapeId="0" xr:uid="{00000000-0006-0000-0500-000007000000}">
      <text>
        <r>
          <rPr>
            <b/>
            <sz val="9"/>
            <color indexed="81"/>
            <rFont val="Segoe UI"/>
            <family val="2"/>
          </rPr>
          <t>Informar a quantidade de lugares do veículo, conforme consta no projeto.</t>
        </r>
      </text>
    </comment>
    <comment ref="F34" authorId="0" shapeId="0" xr:uid="{00000000-0006-0000-0500-000008000000}">
      <text>
        <r>
          <rPr>
            <b/>
            <sz val="9"/>
            <color indexed="81"/>
            <rFont val="Segoe UI"/>
            <family val="2"/>
          </rPr>
          <t>Informar a quantidade de veículos.</t>
        </r>
      </text>
    </comment>
    <comment ref="G34" authorId="0" shapeId="0" xr:uid="{00000000-0006-0000-0500-000009000000}">
      <text>
        <r>
          <rPr>
            <b/>
            <sz val="9"/>
            <color indexed="81"/>
            <rFont val="Segoe UI"/>
            <family val="2"/>
          </rPr>
          <t xml:space="preserve">Informar o valor do veículo.
</t>
        </r>
      </text>
    </comment>
    <comment ref="F35" authorId="0" shapeId="0" xr:uid="{00000000-0006-0000-0500-00000A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veículo.</t>
        </r>
      </text>
    </comment>
    <comment ref="G35" authorId="0" shapeId="0" xr:uid="{00000000-0006-0000-0500-00000B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8" authorId="0" shapeId="0" xr:uid="{00000000-0006-0000-0500-00000C000000}">
      <text>
        <r>
          <rPr>
            <b/>
            <sz val="9"/>
            <color indexed="81"/>
            <rFont val="Segoe UI"/>
            <family val="2"/>
          </rPr>
          <t>Informar a quantidade de Km percorridos por dia, conforme consta no projeto.</t>
        </r>
      </text>
    </comment>
    <comment ref="F39" authorId="0" shapeId="0" xr:uid="{00000000-0006-0000-0500-00000D000000}">
      <text>
        <r>
          <rPr>
            <b/>
            <sz val="9"/>
            <color indexed="81"/>
            <rFont val="Segoe UI"/>
            <family val="2"/>
          </rPr>
          <t>Informar o número de dias rodados por mês, conforme consta no projeto.</t>
        </r>
      </text>
    </comment>
    <comment ref="C42" authorId="1" shapeId="0" xr:uid="{00000000-0006-0000-0500-00000E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D52" authorId="1" shapeId="0" xr:uid="{00000000-0006-0000-0500-00000F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58" authorId="1" shapeId="0" xr:uid="{00000000-0006-0000-0500-000010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65" authorId="1" shapeId="0" xr:uid="{00000000-0006-0000-0500-000011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67" authorId="1" shapeId="0" xr:uid="{00000000-0006-0000-0500-000012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72" authorId="1" shapeId="0" xr:uid="{00000000-0006-0000-0500-00001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84" authorId="1" shapeId="0" xr:uid="{00000000-0006-0000-0500-000014000000}">
      <text>
        <r>
          <rPr>
            <sz val="9"/>
            <color indexed="81"/>
            <rFont val="Tahoma"/>
            <family val="2"/>
          </rPr>
          <t>Percentual buscado automaticamente no plano "Depr.", no qual cada empresa poderá, caso haja interesse ou necessidade, adequar os percentuais à sua realidade.</t>
        </r>
      </text>
    </comment>
    <comment ref="D91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1" authorId="0" shapeId="0" xr:uid="{00000000-0006-0000-0500-00001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02" authorId="1" shapeId="0" xr:uid="{00000000-0006-0000-0500-000017000000}">
      <text>
        <r>
          <rPr>
            <sz val="9"/>
            <color indexed="81"/>
            <rFont val="Tahoma"/>
            <family val="2"/>
          </rPr>
          <t xml:space="preserve">Informar o valor do licenciamento anual do veículo
</t>
        </r>
      </text>
    </comment>
    <comment ref="E103" authorId="1" shapeId="0" xr:uid="{00000000-0006-0000-0500-00001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04" authorId="1" shapeId="0" xr:uid="{00000000-0006-0000-0500-000019000000}">
      <text>
        <r>
          <rPr>
            <sz val="9"/>
            <color indexed="81"/>
            <rFont val="Tahoma"/>
            <family val="2"/>
          </rPr>
          <t xml:space="preserve">Informar o valor do seguro contra acidentes em favor dos pacientes.
</t>
        </r>
      </text>
    </comment>
    <comment ref="E105" authorId="1" shapeId="0" xr:uid="{00000000-0006-0000-0500-00001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06" authorId="1" shapeId="0" xr:uid="{00000000-0006-0000-0500-00001B000000}">
      <text>
        <r>
          <rPr>
            <sz val="9"/>
            <color indexed="81"/>
            <rFont val="Tahoma"/>
            <family val="2"/>
          </rPr>
          <t>Informar o valor da  aferição do RECEFITUR para o ano.</t>
        </r>
      </text>
    </comment>
    <comment ref="E107" authorId="0" shapeId="0" xr:uid="{00000000-0006-0000-0500-00001C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E115" authorId="2" shapeId="0" xr:uid="{00000000-0006-0000-0500-00001D000000}">
      <text>
        <r>
          <rPr>
            <sz val="9"/>
            <color indexed="81"/>
            <rFont val="Segoe UI"/>
            <family val="2"/>
          </rPr>
          <t>Informar o preço unitario</t>
        </r>
      </text>
    </comment>
    <comment ref="D117" authorId="1" shapeId="0" xr:uid="{00000000-0006-0000-0500-00001E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17" authorId="1" shapeId="0" xr:uid="{00000000-0006-0000-0500-00001F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19" authorId="1" shapeId="0" xr:uid="{00000000-0006-0000-0500-000020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19" authorId="1" shapeId="0" xr:uid="{00000000-0006-0000-0500-000021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21" authorId="1" shapeId="0" xr:uid="{00000000-0006-0000-0500-000022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21" authorId="1" shapeId="0" xr:uid="{00000000-0006-0000-0500-000023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23" authorId="1" shapeId="0" xr:uid="{00000000-0006-0000-0500-000024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23" authorId="1" shapeId="0" xr:uid="{00000000-0006-0000-0500-000025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29" authorId="1" shapeId="0" xr:uid="{00000000-0006-0000-0500-000026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rodado.</t>
        </r>
      </text>
    </comment>
    <comment ref="D130" authorId="0" shapeId="0" xr:uid="{00000000-0006-0000-0500-000027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30" authorId="1" shapeId="0" xr:uid="{00000000-0006-0000-0500-000028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E131" authorId="0" shapeId="0" xr:uid="{00000000-0006-0000-0500-000029000000}">
      <text>
        <r>
          <rPr>
            <b/>
            <sz val="9"/>
            <color indexed="81"/>
            <rFont val="Segoe UI"/>
            <family val="2"/>
          </rPr>
          <t xml:space="preserve">Informar o custo com pedágios em um dia.
</t>
        </r>
      </text>
    </comment>
    <comment ref="D136" authorId="1" shapeId="0" xr:uid="{00000000-0006-0000-0500-00002A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36" authorId="1" shapeId="0" xr:uid="{00000000-0006-0000-0500-00002B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D137" authorId="1" shapeId="0" xr:uid="{00000000-0006-0000-0500-00002C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E138" authorId="1" shapeId="0" xr:uid="{00000000-0006-0000-0500-00002D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D139" authorId="1" shapeId="0" xr:uid="{00000000-0006-0000-0500-00002E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a primeira vida mais as recapagens, em km.
</t>
        </r>
      </text>
    </comment>
    <comment ref="E144" authorId="2" shapeId="0" xr:uid="{00000000-0006-0000-0500-00002F000000}">
      <text>
        <r>
          <rPr>
            <sz val="9"/>
            <color indexed="81"/>
            <rFont val="Segoe UI"/>
            <family val="2"/>
          </rPr>
          <t xml:space="preserve">Informar o valor
</t>
        </r>
      </text>
    </comment>
    <comment ref="E145" authorId="2" shapeId="0" xr:uid="{00000000-0006-0000-0500-000030000000}">
      <text>
        <r>
          <rPr>
            <sz val="9"/>
            <color indexed="81"/>
            <rFont val="Segoe UI"/>
            <family val="2"/>
          </rPr>
          <t>Informar o valor</t>
        </r>
      </text>
    </comment>
    <comment ref="D152" authorId="1" shapeId="0" xr:uid="{00000000-0006-0000-0500-000031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2" authorId="1" shapeId="0" xr:uid="{00000000-0006-0000-0500-000032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53" authorId="1" shapeId="0" xr:uid="{00000000-0006-0000-0500-00003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3" authorId="1" shapeId="0" xr:uid="{00000000-0006-0000-0500-000034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54" authorId="1" shapeId="0" xr:uid="{00000000-0006-0000-0500-000035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4" authorId="1" shapeId="0" xr:uid="{00000000-0006-0000-0500-000036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55" authorId="0" shapeId="0" xr:uid="{00000000-0006-0000-0500-000037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55" authorId="1" shapeId="0" xr:uid="{00000000-0006-0000-0500-000038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56" authorId="1" shapeId="0" xr:uid="{00000000-0006-0000-0500-000039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6" authorId="1" shapeId="0" xr:uid="{00000000-0006-0000-0500-00003A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65" authorId="1" shapeId="0" xr:uid="{00000000-0006-0000-0500-00003B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179" authorId="1" shapeId="0" xr:uid="{00000000-0006-0000-0500-00003C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193" authorId="1" shapeId="0" xr:uid="{00000000-0006-0000-0500-00003D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03" authorId="0" shapeId="0" xr:uid="{00000000-0006-0000-0500-00003E000000}">
      <text>
        <r>
          <rPr>
            <b/>
            <sz val="9"/>
            <color indexed="81"/>
            <rFont val="Segoe UI"/>
            <family val="2"/>
          </rPr>
          <t>Com base no faturamento Bruto dos últimos 12 meses, informar a faixa de faturamento bruto , conforme Anexo III do Simples Nacional.</t>
        </r>
      </text>
    </comment>
    <comment ref="D206" authorId="1" shapeId="0" xr:uid="{00000000-0006-0000-0500-00003F000000}">
      <text>
        <r>
          <rPr>
            <sz val="9"/>
            <color indexed="81"/>
            <rFont val="Tahoma"/>
            <family val="2"/>
          </rPr>
          <t xml:space="preserve">Quando RBA12 for até R$ 180.000,00 a aliquota é de 6,00%, conforme Anexo III do Simples Nacional.
Para valores superiores a R$ 180.000,00 aplicar a fórmula: 
(RBA12 x ALIQ) – PD / RBA12.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Clauber Bridi</author>
    <author>Win 11</author>
  </authors>
  <commentList>
    <comment ref="B3" authorId="0" shapeId="0" xr:uid="{00000000-0006-0000-06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6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6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F30" authorId="0" shapeId="0" xr:uid="{00000000-0006-0000-0600-000004000000}">
      <text>
        <r>
          <rPr>
            <b/>
            <sz val="9"/>
            <color indexed="81"/>
            <rFont val="Segoe UI"/>
            <family val="2"/>
          </rPr>
          <t>Informar a quantidade de motoristas.</t>
        </r>
      </text>
    </comment>
    <comment ref="G30" authorId="0" shapeId="0" xr:uid="{00000000-0006-0000-0600-000005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4" authorId="0" shapeId="0" xr:uid="{00000000-0006-0000-0600-000006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4" authorId="0" shapeId="0" xr:uid="{00000000-0006-0000-0600-000007000000}">
      <text>
        <r>
          <rPr>
            <b/>
            <sz val="9"/>
            <color indexed="81"/>
            <rFont val="Segoe UI"/>
            <family val="2"/>
          </rPr>
          <t>Informar a quantidade de lugares do veículo, conforme consta no projeto.</t>
        </r>
      </text>
    </comment>
    <comment ref="F34" authorId="0" shapeId="0" xr:uid="{00000000-0006-0000-0600-000008000000}">
      <text>
        <r>
          <rPr>
            <b/>
            <sz val="9"/>
            <color indexed="81"/>
            <rFont val="Segoe UI"/>
            <family val="2"/>
          </rPr>
          <t>Informar a quantidade de veículos.</t>
        </r>
      </text>
    </comment>
    <comment ref="G34" authorId="0" shapeId="0" xr:uid="{00000000-0006-0000-0600-000009000000}">
      <text>
        <r>
          <rPr>
            <b/>
            <sz val="9"/>
            <color indexed="81"/>
            <rFont val="Segoe UI"/>
            <family val="2"/>
          </rPr>
          <t xml:space="preserve">Informar o valor do veículo.
</t>
        </r>
      </text>
    </comment>
    <comment ref="F35" authorId="0" shapeId="0" xr:uid="{00000000-0006-0000-0600-00000A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veículo.</t>
        </r>
      </text>
    </comment>
    <comment ref="G35" authorId="0" shapeId="0" xr:uid="{00000000-0006-0000-0600-00000B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8" authorId="0" shapeId="0" xr:uid="{00000000-0006-0000-0600-00000C000000}">
      <text>
        <r>
          <rPr>
            <b/>
            <sz val="9"/>
            <color indexed="81"/>
            <rFont val="Segoe UI"/>
            <family val="2"/>
          </rPr>
          <t>Informar a quantidade de Km percorridos por dia, conforme consta no projeto.</t>
        </r>
      </text>
    </comment>
    <comment ref="F39" authorId="0" shapeId="0" xr:uid="{00000000-0006-0000-0600-00000D000000}">
      <text>
        <r>
          <rPr>
            <b/>
            <sz val="9"/>
            <color indexed="81"/>
            <rFont val="Segoe UI"/>
            <family val="2"/>
          </rPr>
          <t>Informar o número de dias rodados por mês, conforme consta no projeto.</t>
        </r>
      </text>
    </comment>
    <comment ref="C42" authorId="1" shapeId="0" xr:uid="{00000000-0006-0000-0600-00000E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D52" authorId="1" shapeId="0" xr:uid="{00000000-0006-0000-0600-00000F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58" authorId="1" shapeId="0" xr:uid="{00000000-0006-0000-0600-000010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65" authorId="1" shapeId="0" xr:uid="{00000000-0006-0000-0600-000011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67" authorId="1" shapeId="0" xr:uid="{00000000-0006-0000-0600-000012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72" authorId="1" shapeId="0" xr:uid="{00000000-0006-0000-0600-00001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84" authorId="1" shapeId="0" xr:uid="{00000000-0006-0000-0600-000014000000}">
      <text>
        <r>
          <rPr>
            <sz val="9"/>
            <color indexed="81"/>
            <rFont val="Tahoma"/>
            <family val="2"/>
          </rPr>
          <t>Percentual buscado automaticamente no plano "Depr.", no qual cada empresa poderá, caso haja interesse ou necessidade, adequar os percentuais à sua realidade.</t>
        </r>
      </text>
    </comment>
    <comment ref="D91" authorId="1" shapeId="0" xr:uid="{00000000-0006-0000-0600-00001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1" authorId="0" shapeId="0" xr:uid="{00000000-0006-0000-0600-00001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02" authorId="1" shapeId="0" xr:uid="{00000000-0006-0000-0600-000017000000}">
      <text>
        <r>
          <rPr>
            <sz val="9"/>
            <color indexed="81"/>
            <rFont val="Tahoma"/>
            <family val="2"/>
          </rPr>
          <t xml:space="preserve">Informar o valor do licenciamento anual do veículo
</t>
        </r>
      </text>
    </comment>
    <comment ref="E103" authorId="1" shapeId="0" xr:uid="{00000000-0006-0000-0600-00001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04" authorId="1" shapeId="0" xr:uid="{00000000-0006-0000-0600-000019000000}">
      <text>
        <r>
          <rPr>
            <sz val="9"/>
            <color indexed="81"/>
            <rFont val="Tahoma"/>
            <family val="2"/>
          </rPr>
          <t xml:space="preserve">Informar o valor do seguro contra acidentes em favor dos pacientes
</t>
        </r>
      </text>
    </comment>
    <comment ref="E105" authorId="1" shapeId="0" xr:uid="{00000000-0006-0000-0600-00001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06" authorId="1" shapeId="0" xr:uid="{00000000-0006-0000-0600-00001B000000}">
      <text>
        <r>
          <rPr>
            <sz val="9"/>
            <color indexed="81"/>
            <rFont val="Tahoma"/>
            <family val="2"/>
          </rPr>
          <t>Informar o valor da  aferição do RECEFITUR para o ano.</t>
        </r>
      </text>
    </comment>
    <comment ref="E108" authorId="0" shapeId="0" xr:uid="{00000000-0006-0000-0600-00001C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16" authorId="2" shapeId="0" xr:uid="{00000000-0006-0000-0600-00001D000000}">
      <text>
        <r>
          <rPr>
            <sz val="9"/>
            <color indexed="81"/>
            <rFont val="Segoe UI"/>
            <family val="2"/>
          </rPr>
          <t>Informar preço unitario</t>
        </r>
      </text>
    </comment>
    <comment ref="D118" authorId="1" shapeId="0" xr:uid="{00000000-0006-0000-0600-00001E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18" authorId="1" shapeId="0" xr:uid="{00000000-0006-0000-0600-00001F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20" authorId="1" shapeId="0" xr:uid="{00000000-0006-0000-0600-000020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20" authorId="1" shapeId="0" xr:uid="{00000000-0006-0000-0600-000021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22" authorId="1" shapeId="0" xr:uid="{00000000-0006-0000-0600-000022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22" authorId="1" shapeId="0" xr:uid="{00000000-0006-0000-0600-000023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24" authorId="1" shapeId="0" xr:uid="{00000000-0006-0000-0600-000024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24" authorId="1" shapeId="0" xr:uid="{00000000-0006-0000-0600-000025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30" authorId="1" shapeId="0" xr:uid="{00000000-0006-0000-0600-000026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rodado.</t>
        </r>
      </text>
    </comment>
    <comment ref="D131" authorId="0" shapeId="0" xr:uid="{00000000-0006-0000-0600-000027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31" authorId="1" shapeId="0" xr:uid="{00000000-0006-0000-0600-000028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E132" authorId="0" shapeId="0" xr:uid="{00000000-0006-0000-0600-000029000000}">
      <text>
        <r>
          <rPr>
            <b/>
            <sz val="9"/>
            <color indexed="81"/>
            <rFont val="Segoe UI"/>
            <family val="2"/>
          </rPr>
          <t xml:space="preserve">Informar o custo com pedágios em um dia.
</t>
        </r>
      </text>
    </comment>
    <comment ref="D137" authorId="1" shapeId="0" xr:uid="{00000000-0006-0000-0600-00002A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37" authorId="1" shapeId="0" xr:uid="{00000000-0006-0000-0600-00002B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D138" authorId="1" shapeId="0" xr:uid="{00000000-0006-0000-0600-00002C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E139" authorId="1" shapeId="0" xr:uid="{00000000-0006-0000-0600-00002D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D140" authorId="1" shapeId="0" xr:uid="{00000000-0006-0000-0600-00002E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a primeira vida mais as recapagens, em km.
</t>
        </r>
      </text>
    </comment>
    <comment ref="E145" authorId="2" shapeId="0" xr:uid="{00000000-0006-0000-0600-00002F000000}">
      <text>
        <r>
          <rPr>
            <sz val="9"/>
            <color indexed="81"/>
            <rFont val="Segoe UI"/>
            <family val="2"/>
          </rPr>
          <t>Informar o valor</t>
        </r>
      </text>
    </comment>
    <comment ref="E146" authorId="2" shapeId="0" xr:uid="{00000000-0006-0000-0600-000030000000}">
      <text>
        <r>
          <rPr>
            <sz val="9"/>
            <color indexed="81"/>
            <rFont val="Segoe UI"/>
            <family val="2"/>
          </rPr>
          <t xml:space="preserve">Informar o valor
</t>
        </r>
      </text>
    </comment>
    <comment ref="D153" authorId="1" shapeId="0" xr:uid="{00000000-0006-0000-0600-000031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3" authorId="1" shapeId="0" xr:uid="{00000000-0006-0000-0600-000032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54" authorId="1" shapeId="0" xr:uid="{00000000-0006-0000-0600-00003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4" authorId="1" shapeId="0" xr:uid="{00000000-0006-0000-0600-000034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55" authorId="1" shapeId="0" xr:uid="{00000000-0006-0000-0600-000035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5" authorId="1" shapeId="0" xr:uid="{00000000-0006-0000-0600-000036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56" authorId="0" shapeId="0" xr:uid="{00000000-0006-0000-0600-000037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56" authorId="1" shapeId="0" xr:uid="{00000000-0006-0000-0600-000038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57" authorId="1" shapeId="0" xr:uid="{00000000-0006-0000-0600-000039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7" authorId="1" shapeId="0" xr:uid="{00000000-0006-0000-0600-00003A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66" authorId="1" shapeId="0" xr:uid="{00000000-0006-0000-0600-00003B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180" authorId="1" shapeId="0" xr:uid="{00000000-0006-0000-0600-00003C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194" authorId="1" shapeId="0" xr:uid="{00000000-0006-0000-0600-00003D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04" authorId="0" shapeId="0" xr:uid="{00000000-0006-0000-0600-00003E000000}">
      <text>
        <r>
          <rPr>
            <b/>
            <sz val="9"/>
            <color indexed="81"/>
            <rFont val="Segoe UI"/>
            <family val="2"/>
          </rPr>
          <t>Com base no faturamento Bruto dos últimos 12 meses, informar a faixa de faturamento bruto , conforme Anexo III do Simples Nacional.</t>
        </r>
      </text>
    </comment>
    <comment ref="D207" authorId="1" shapeId="0" xr:uid="{00000000-0006-0000-0600-00003F000000}">
      <text>
        <r>
          <rPr>
            <sz val="9"/>
            <color indexed="81"/>
            <rFont val="Tahoma"/>
            <family val="2"/>
          </rPr>
          <t xml:space="preserve">Quando RBA12 for até R$ 180.000,00 a aliquota é de 6,00%, conforme Anexo III do Simples Nacional.
Para valores superiores a R$ 180.000,00 aplicar a fórmula: 
(RBA12 x ALIQ) – PD / RBA12.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4" authorId="0" shapeId="0" xr:uid="{00000000-0006-0000-0700-000001000000}">
      <text>
        <r>
          <rPr>
            <b/>
            <sz val="9"/>
            <color indexed="81"/>
            <rFont val="Segoe UI"/>
            <family val="2"/>
          </rPr>
          <t>Preencher os campos que assim o requeiram, com os percentuais legais, conforme seu regime de tributação e os demais com a incidência que ocorre na sua empresa.</t>
        </r>
      </text>
    </comment>
    <comment ref="C33" authorId="0" shapeId="0" xr:uid="{00000000-0006-0000-0700-000002000000}">
      <text>
        <r>
          <rPr>
            <b/>
            <sz val="9"/>
            <color indexed="81"/>
            <rFont val="Segoe UI"/>
            <family val="2"/>
          </rPr>
          <t>Preencher os campos que assim o requeiram, com os percentuais legais, conforme seu regime de tributação e os demais com a incidência que ocorre na sua empresa.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4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E4" authorId="0" shapeId="0" xr:uid="{00000000-0006-0000-0800-000002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C5" authorId="0" shapeId="0" xr:uid="{00000000-0006-0000-0800-000003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00000000-0006-0000-0800-000004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0" shapeId="0" xr:uid="{00000000-0006-0000-0800-000005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6" authorId="0" shapeId="0" xr:uid="{00000000-0006-0000-0800-000006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 shapeId="0" xr:uid="{00000000-0006-0000-0800-000007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7" authorId="0" shapeId="0" xr:uid="{00000000-0006-0000-0800-000008000000}">
      <text>
        <r>
          <rPr>
            <b/>
            <sz val="9"/>
            <color indexed="81"/>
            <rFont val="Tahoma"/>
            <family val="2"/>
          </rPr>
          <t>Informar o percentual de ICMS, de acordo com a legislação tributária para transporte intermunicipal.
Base reduzida para 20%,aplica alíquota de 12,00% = 2,40%.</t>
        </r>
      </text>
    </comment>
    <comment ref="C8" authorId="0" shapeId="0" xr:uid="{00000000-0006-0000-0800-000009000000}">
      <text>
        <r>
          <rPr>
            <b/>
            <sz val="9"/>
            <color indexed="81"/>
            <rFont val="Tahoma"/>
            <family val="2"/>
          </rPr>
          <t>Informar o somatório percentual  do PIS e da COFINS, conforme seu regime de tributação: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8" authorId="0" shapeId="0" xr:uid="{00000000-0006-0000-0800-00000A000000}">
      <text>
        <r>
          <rPr>
            <b/>
            <sz val="9"/>
            <color indexed="81"/>
            <rFont val="Tahoma"/>
            <family val="2"/>
          </rPr>
          <t>Informar o somatório percentual  do PIS e da COFINS, conforme seu regime de tributação: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800-00000B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E17" authorId="0" shapeId="0" xr:uid="{00000000-0006-0000-0800-00000C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C18" authorId="0" shapeId="0" xr:uid="{00000000-0006-0000-0800-00000D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8" authorId="0" shapeId="0" xr:uid="{00000000-0006-0000-0800-00000E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 xr:uid="{00000000-0006-0000-0800-00000F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9" authorId="0" shapeId="0" xr:uid="{00000000-0006-0000-0800-000010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00000000-0006-0000-0800-000011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0" authorId="0" shapeId="0" xr:uid="{00000000-0006-0000-0800-000012000000}">
      <text>
        <r>
          <rPr>
            <b/>
            <sz val="9"/>
            <color indexed="81"/>
            <rFont val="Tahoma"/>
            <family val="2"/>
          </rPr>
          <t>Informar o percentual de ICMS, de acordo com a legislação tributária para transporte intermunicipal.
Base reduzida para 20%,aplica alíquota de 12,00% = 2,40%.</t>
        </r>
      </text>
    </comment>
    <comment ref="C21" authorId="0" shapeId="0" xr:uid="{00000000-0006-0000-0800-000013000000}">
      <text>
        <r>
          <rPr>
            <b/>
            <sz val="9"/>
            <color indexed="81"/>
            <rFont val="Tahoma"/>
            <family val="2"/>
          </rPr>
          <t>Informar o somatório percentual  do PIS e da COFINS, conforme seu regime de tributação: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1" authorId="0" shapeId="0" xr:uid="{00000000-0006-0000-0800-000014000000}">
      <text>
        <r>
          <rPr>
            <b/>
            <sz val="9"/>
            <color indexed="81"/>
            <rFont val="Tahoma"/>
            <family val="2"/>
          </rPr>
          <t>Informar o somatório percentual  do PIS e da COFINS, conforme seu regime de tributação: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00000000-0006-0000-0800-000015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E30" authorId="0" shapeId="0" xr:uid="{00000000-0006-0000-0800-000016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C31" authorId="0" shapeId="0" xr:uid="{00000000-0006-0000-0800-000017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1" authorId="0" shapeId="0" xr:uid="{00000000-0006-0000-0800-000018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00000000-0006-0000-0800-000019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0" shapeId="0" xr:uid="{00000000-0006-0000-0800-00001A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<sst xmlns="http://schemas.openxmlformats.org/spreadsheetml/2006/main" count="2543" uniqueCount="303">
  <si>
    <t>%</t>
  </si>
  <si>
    <t>Soma</t>
  </si>
  <si>
    <t>Encargos Sociais</t>
  </si>
  <si>
    <t>Total do Efetivo</t>
  </si>
  <si>
    <t>homem</t>
  </si>
  <si>
    <t>mês</t>
  </si>
  <si>
    <t>vale</t>
  </si>
  <si>
    <t>unidade</t>
  </si>
  <si>
    <t>IPVA</t>
  </si>
  <si>
    <t>Seguro contra terceiros</t>
  </si>
  <si>
    <t>Impostos e seguros mensais</t>
  </si>
  <si>
    <t>Custo de óleo diesel / km rodado</t>
  </si>
  <si>
    <t>km/l</t>
  </si>
  <si>
    <t>km</t>
  </si>
  <si>
    <t>Custo mensal com óleo do motor</t>
  </si>
  <si>
    <t>Custo mensal com óleo da transmissão</t>
  </si>
  <si>
    <t>Custo mensal com óleo hidráulico</t>
  </si>
  <si>
    <t>Custo mensal com graxa</t>
  </si>
  <si>
    <t>km/jogo</t>
  </si>
  <si>
    <t>R$</t>
  </si>
  <si>
    <t>Quantidade</t>
  </si>
  <si>
    <t>INSS</t>
  </si>
  <si>
    <t>FGTS</t>
  </si>
  <si>
    <t>1. Mão-de-obra</t>
  </si>
  <si>
    <t>Custo mensal com pneus</t>
  </si>
  <si>
    <t>Total de mão-de-obra (postos de trabalho)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</si>
  <si>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</si>
  <si>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</si>
  <si>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</si>
  <si>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</si>
  <si>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Administração Central</t>
  </si>
  <si>
    <t>AC</t>
  </si>
  <si>
    <t>Seguros/Riscos/Garantias</t>
  </si>
  <si>
    <t>SRG</t>
  </si>
  <si>
    <t>Lucro</t>
  </si>
  <si>
    <t>L</t>
  </si>
  <si>
    <t>T</t>
  </si>
  <si>
    <t>Tributos - PIS/COFINS</t>
  </si>
  <si>
    <t>Fórmula para o cálculo do BDI:</t>
  </si>
  <si>
    <t>Resultado do cálculo do BDI:</t>
  </si>
  <si>
    <t>Vale Transporte</t>
  </si>
  <si>
    <t>Dias Trabalhados por mês</t>
  </si>
  <si>
    <t>dia</t>
  </si>
  <si>
    <t>anos</t>
  </si>
  <si>
    <t>R$/km rodado</t>
  </si>
  <si>
    <t>Código</t>
  </si>
  <si>
    <t>Descrição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</si>
  <si>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</si>
  <si>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</si>
  <si>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</si>
  <si>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</si>
  <si>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</si>
  <si>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</si>
  <si>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</si>
  <si>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</si>
  <si>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</si>
  <si>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</si>
  <si>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</si>
  <si>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</si>
  <si>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</si>
  <si>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</si>
  <si>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</si>
  <si>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</si>
  <si>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</si>
  <si>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</si>
  <si>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</si>
  <si>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</si>
  <si>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</si>
  <si>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</si>
  <si>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</si>
  <si>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</si>
  <si>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Auxilio acidente de trabalho</t>
  </si>
  <si>
    <t>B</t>
  </si>
  <si>
    <t>SOMA GRUPO B</t>
  </si>
  <si>
    <t>C1</t>
  </si>
  <si>
    <t>Aviso prévio indenizado</t>
  </si>
  <si>
    <t>Depósito rescisão sem justa causa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</si>
  <si>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</si>
  <si>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</si>
  <si>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</si>
  <si>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</si>
  <si>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</si>
  <si>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</si>
  <si>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</si>
  <si>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</si>
  <si>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Descrição do Item</t>
  </si>
  <si>
    <t>Taxa de juros anual nominal</t>
  </si>
  <si>
    <t>C2</t>
  </si>
  <si>
    <t>B3</t>
  </si>
  <si>
    <t>Custo Mensal com Ferramentas e Materiais de Consumo (R$/mês)</t>
  </si>
  <si>
    <t>Custo unitário</t>
  </si>
  <si>
    <t>Total por Motorista</t>
  </si>
  <si>
    <t>Custo com consumos/km rodado</t>
  </si>
  <si>
    <t>Consumo</t>
  </si>
  <si>
    <t>Total da frota</t>
  </si>
  <si>
    <t>Reincidência de FGTS sobre aviso prévio indenizado</t>
  </si>
  <si>
    <t>Nº do processo:</t>
  </si>
  <si>
    <t>Motorista</t>
  </si>
  <si>
    <t>Motorista (Vlr líq. desc. 6,% s/piso sal.)</t>
  </si>
  <si>
    <t>Férias (com adicional de férias)</t>
  </si>
  <si>
    <t>13º Salário</t>
  </si>
  <si>
    <t>Previdenciários s/Férias e 13º</t>
  </si>
  <si>
    <t>Custo Mensal com Mão-de-obra (R$/mês) - LUCRO REAL E PRESUMIDO</t>
  </si>
  <si>
    <t>Custo Mensal com Mão-de-obra (R$/mês) - SIMPLES NACIONAL</t>
  </si>
  <si>
    <t>B.D.I. PARA EMPRESAS DO SIMPLES NACIONAL</t>
  </si>
  <si>
    <t>Valor %</t>
  </si>
  <si>
    <t>Total</t>
  </si>
  <si>
    <t>B.D.I. PARA EMPRESAS DO LUCRO PRESUMIDO</t>
  </si>
  <si>
    <t>B.D.I. PARA EMPRESAS DO LUCRO REAL</t>
  </si>
  <si>
    <t>LUCRO REAL</t>
  </si>
  <si>
    <t>LUCRO PRESUMIDO</t>
  </si>
  <si>
    <t>Custo
(R$/mês)</t>
  </si>
  <si>
    <t>AV %</t>
  </si>
  <si>
    <t>SIMPLES NAC.</t>
  </si>
  <si>
    <t>Fórmula para o cálculo do BDI - Sem impostos</t>
  </si>
  <si>
    <t>Resultado cálculo do BDI - Sem impostos</t>
  </si>
  <si>
    <t>Receita Bruta Total em 12 (doze) meses</t>
  </si>
  <si>
    <t>Base = SN1</t>
  </si>
  <si>
    <t>Enquadramento no Anexo III da lei do Simples Nacional</t>
  </si>
  <si>
    <t>Formas de Tributação</t>
  </si>
  <si>
    <t>Composição BDI - Benefícios e Desp. Indiretas</t>
  </si>
  <si>
    <t>Tributos</t>
  </si>
  <si>
    <t>CUSTO TOTAL MENSAL C/CUSTOS E DESPESAS OPERACIONAIS - LUCRO REAL E PRESUMIDO (R$/mês)</t>
  </si>
  <si>
    <t>CUSTO TOTAL MENSAL C/CUSTOS E DESPESAS OPERACIONAIS - SIMPLES NACIONAL (R$/mês)</t>
  </si>
  <si>
    <t>Custo de aquisição do veículo</t>
  </si>
  <si>
    <r>
      <t xml:space="preserve">Custo jg. compl. </t>
    </r>
    <r>
      <rPr>
        <sz val="10"/>
        <rFont val="Arial"/>
        <family val="2"/>
      </rPr>
      <t>/ km rodado</t>
    </r>
  </si>
  <si>
    <t>Piso da categoria</t>
  </si>
  <si>
    <t>Depreciação do veículo</t>
  </si>
  <si>
    <t>Custo com lavagens</t>
  </si>
  <si>
    <t>Mês</t>
  </si>
  <si>
    <t>Custo com manutenção e lavagens</t>
  </si>
  <si>
    <t>R$/Mês</t>
  </si>
  <si>
    <t>Vida útil do veícuo</t>
  </si>
  <si>
    <t>Depreciação mensal veículos</t>
  </si>
  <si>
    <t>Custo do veículo</t>
  </si>
  <si>
    <t>Remuneração mensal de capital do veículo</t>
  </si>
  <si>
    <t>Total por veículo</t>
  </si>
  <si>
    <t>Quilometragem mensal</t>
  </si>
  <si>
    <t>Custo Mensal com Veículos (R$/mês)</t>
  </si>
  <si>
    <t>5.1. Benefícios e despesas indiretas</t>
  </si>
  <si>
    <t>Km</t>
  </si>
  <si>
    <t>R$/Km</t>
  </si>
  <si>
    <t>R$ / mês</t>
  </si>
  <si>
    <t>Capacidade
(Lugares)</t>
  </si>
  <si>
    <t>Valor
(R$)</t>
  </si>
  <si>
    <t>Distância percorrida</t>
  </si>
  <si>
    <t>Dias</t>
  </si>
  <si>
    <t>Km por dia</t>
  </si>
  <si>
    <t>Km por mês</t>
  </si>
  <si>
    <t>3. Ferramentas e Materiais de Consumo</t>
  </si>
  <si>
    <t>4. Benefícios e Desp. Ind. - BDI - LUCRO REAL</t>
  </si>
  <si>
    <t>4.1. Benefícios e despesas indiretas</t>
  </si>
  <si>
    <t>4.2. CUSTO MENSAL COM BDI (R$/mês) - LUCRO REAL</t>
  </si>
  <si>
    <t>4.3. PREÇO MENSAL TOTAL (R$/mês)  - LUCRO REAL  =  "A"</t>
  </si>
  <si>
    <r>
      <t>4.4- Quantidade de Km percorridos por mês = "</t>
    </r>
    <r>
      <rPr>
        <b/>
        <sz val="10"/>
        <rFont val="Arial"/>
        <family val="2"/>
      </rPr>
      <t>B</t>
    </r>
    <r>
      <rPr>
        <sz val="10"/>
        <rFont val="Arial"/>
        <family val="2"/>
      </rPr>
      <t>"</t>
    </r>
  </si>
  <si>
    <t>4.5. PREÇO POR QUILOMETRO PERCORRIDO - LUCRO REAL = [A/B]</t>
  </si>
  <si>
    <t>5. Benefícios e Desp. Ind. - BDI - LUCRO PRESUMIDO</t>
  </si>
  <si>
    <t>5.2. CUSTO MENSAL COM BDI (R$/mês) - LUCRO PRESUMIDO</t>
  </si>
  <si>
    <t>5.3. PREÇO MENSAL TOTAL (R$/mês)  - LUCRO PRESUMIDO  =  "AA"</t>
  </si>
  <si>
    <r>
      <t>5.4- Quantidade de Km percorridos por mês = "</t>
    </r>
    <r>
      <rPr>
        <b/>
        <sz val="10"/>
        <rFont val="Arial"/>
        <family val="2"/>
      </rPr>
      <t>BB</t>
    </r>
    <r>
      <rPr>
        <sz val="10"/>
        <rFont val="Arial"/>
        <family val="2"/>
      </rPr>
      <t>"</t>
    </r>
  </si>
  <si>
    <t>5.5. PREÇO POR QUILOMETRO PERCORRIDO - LUCRO PRESUMIDO = [AA/BB]</t>
  </si>
  <si>
    <t>6. Benef. Desp. Ind. + Impostos - SIMPLES NACIONAL</t>
  </si>
  <si>
    <t>6.1. Benefícios e despesas indiretas (sem impostos)</t>
  </si>
  <si>
    <t>6.2.CUSTO MENSAL COM BDI - Sem Impostos (R$/mês) - SIMPLES NACIONAL</t>
  </si>
  <si>
    <t>6.3. CUSTO MENSAL TOTAL - Sem Imposots (R$/mês)  - SIMPLES NACIONAL  =  "SN1"</t>
  </si>
  <si>
    <t>6.4. Impostos alíquota única</t>
  </si>
  <si>
    <t>6.5. PREÇO MENSAL TOTAL (R$/mês)  - SIMPLES NACIONAL  =  "SN2"</t>
  </si>
  <si>
    <r>
      <t>6.6. Quantidade de Km percorridos por mês = "</t>
    </r>
    <r>
      <rPr>
        <b/>
        <sz val="10"/>
        <rFont val="Arial"/>
        <family val="2"/>
      </rPr>
      <t>BB</t>
    </r>
    <r>
      <rPr>
        <sz val="10"/>
        <rFont val="Arial"/>
        <family val="2"/>
      </rPr>
      <t>"</t>
    </r>
  </si>
  <si>
    <t>6.7. PREÇO POR QUILOMETRO PERCORRIDO - SIMPLES NACIONAL = [SN2/BB]</t>
  </si>
  <si>
    <t>Custo de manutenção do veículo</t>
  </si>
  <si>
    <t>pçs / mês</t>
  </si>
  <si>
    <t>Recipiente térmico para água (5L) - 1 pç/ano</t>
  </si>
  <si>
    <t>Vassoura - 3 pçs/ano</t>
  </si>
  <si>
    <t>Balde - 2 pçs/ano</t>
  </si>
  <si>
    <t>Alcool Gel 70% - 4 litros / mês</t>
  </si>
  <si>
    <t>Panos - 4 pçs / mês</t>
  </si>
  <si>
    <t>Consumo médio (Km / litro) e Valor do litro (R$)</t>
  </si>
  <si>
    <t>Vistorias Técnicas</t>
  </si>
  <si>
    <t>{[(1+AC+SRG) x (1+L)] / (1-T)} -1</t>
  </si>
  <si>
    <t>{[(1+AC+SRG) x (1+L)]} -1</t>
  </si>
  <si>
    <t>Composição do BDI - Benefícios e Desp. Ind. - Sem Impostos</t>
  </si>
  <si>
    <t xml:space="preserve">Composição dos Encargos Sociais </t>
  </si>
  <si>
    <t>Empresas Lucro Real e Lucro Presumido</t>
  </si>
  <si>
    <t>Vida útil do 
Veículo</t>
  </si>
  <si>
    <t>PLANILHA DE COMPOSIÇÃO DE CUSTOS E FORMAÇÃO DE PREÇO</t>
  </si>
  <si>
    <t>PREÇO TOTAL MÊS (R$/Mês)</t>
  </si>
  <si>
    <t>PREÇO POR QUILOMETRO (R$/Km)</t>
  </si>
  <si>
    <t>Litros / mês</t>
  </si>
  <si>
    <t>Investimento médio total do veículo</t>
  </si>
  <si>
    <t>2. Veículos</t>
  </si>
  <si>
    <t>2.1 Depreciação</t>
  </si>
  <si>
    <t>2.2 Remuneração do Capital</t>
  </si>
  <si>
    <t>2.3. Impostos e Seguros</t>
  </si>
  <si>
    <t>2.4. Consumos</t>
  </si>
  <si>
    <t>2.5. Manutenção</t>
  </si>
  <si>
    <t>2.6. Pneus</t>
  </si>
  <si>
    <t>Valor residual do veículo proposto (Vr)</t>
  </si>
  <si>
    <t>Valor do veículo proposto (Vo)</t>
  </si>
  <si>
    <t>Empresas do Simples Nacional</t>
  </si>
  <si>
    <t>GRUPO A - Identificação</t>
  </si>
  <si>
    <t>GRUPO B - Orçamento Sintético</t>
  </si>
  <si>
    <t>C1- Mão-de-obra</t>
  </si>
  <si>
    <t>C2- Veículos</t>
  </si>
  <si>
    <t>C3- Distâncias</t>
  </si>
  <si>
    <t>CÁLCULOS (itenização numérica)</t>
  </si>
  <si>
    <t>Item</t>
  </si>
  <si>
    <t>Custo de óleo do motor /10.000 km rodados</t>
  </si>
  <si>
    <t>l/10.000 km</t>
  </si>
  <si>
    <t>Custo de óleo da transmissão /100.000 km</t>
  </si>
  <si>
    <t>l/100.000 km</t>
  </si>
  <si>
    <t>l/80.000 km</t>
  </si>
  <si>
    <t>Custo de óleo hidráulico / 80.000 km</t>
  </si>
  <si>
    <t>kg/10.000 km</t>
  </si>
  <si>
    <t>Custo de graxa /10.000 km rodados</t>
  </si>
  <si>
    <t>Data:</t>
  </si>
  <si>
    <t>GRUPO C - Informações sobre</t>
  </si>
  <si>
    <t/>
  </si>
  <si>
    <t>Provisão Multas FGTS (40% s/FGTS)</t>
  </si>
  <si>
    <t>Sigla</t>
  </si>
  <si>
    <t>Municipal
(%)</t>
  </si>
  <si>
    <t>Intermunicipal
(%)</t>
  </si>
  <si>
    <t>Tributos - (ISS p/Municipal) e (ICMS p/Interm.)</t>
  </si>
  <si>
    <t>Nº Licitação:</t>
  </si>
  <si>
    <t>1.1. Motorista</t>
  </si>
  <si>
    <t>1.1. Motorista - EMPRESA LUCRO REAL E PRESUMIDO</t>
  </si>
  <si>
    <t>1.1.1- Motorista - EMPRESA SIMPLES NACIONAL</t>
  </si>
  <si>
    <t>1.2. Vale Transporte</t>
  </si>
  <si>
    <t>1.3. Vale-refeição (diário)</t>
  </si>
  <si>
    <t>Veículo:</t>
  </si>
  <si>
    <t>Serviço:</t>
  </si>
  <si>
    <t>De R$ 180.000,01 até R$ 360.000,00</t>
  </si>
  <si>
    <t>Motorista (Café e Almoço)</t>
  </si>
  <si>
    <t>Licenciamento</t>
  </si>
  <si>
    <t>Número de recapagens por pneu</t>
  </si>
  <si>
    <t>Custo de recapagem</t>
  </si>
  <si>
    <t>2.5. Manutenção e Pedágios</t>
  </si>
  <si>
    <t>Custo com pedágios</t>
  </si>
  <si>
    <t>Dias rodados por mês</t>
  </si>
  <si>
    <t>Van com 21 lugares</t>
  </si>
  <si>
    <t>Depreciação Referencial TCE/RS (%)</t>
  </si>
  <si>
    <t>Idade do veículo (ano)</t>
  </si>
  <si>
    <t>Depreciação Média</t>
  </si>
  <si>
    <t>Residual</t>
  </si>
  <si>
    <t>Microônibus com 28 lugares</t>
  </si>
  <si>
    <t>RECEFITUR DAER</t>
  </si>
  <si>
    <t>2.7. Rastreador GPS</t>
  </si>
  <si>
    <t>Mensalidade</t>
  </si>
  <si>
    <t>Custo mensal com GPS</t>
  </si>
  <si>
    <t>Taxa depre- ciação Anual</t>
  </si>
  <si>
    <t>Seguro contra acidentes (pacientes)</t>
  </si>
  <si>
    <t>Taxa de habilitação (Anual = R$ 149,00)</t>
  </si>
  <si>
    <t>Adicional noturno</t>
  </si>
  <si>
    <t>Nº hs/ mês</t>
  </si>
  <si>
    <t>Custo mensal com óleo diesel S-10</t>
  </si>
  <si>
    <t>Descanso Semanal Remunerado (DSR) - Ad.Not.</t>
  </si>
  <si>
    <t>Aferição do tacógrafo</t>
  </si>
  <si>
    <t>C4- Fatores</t>
  </si>
  <si>
    <t>Aplicação</t>
  </si>
  <si>
    <t xml:space="preserve">Fator de utilização (FU) </t>
  </si>
  <si>
    <t>Motoristas</t>
  </si>
  <si>
    <t>Equipe, Vale transporte e vale alimentação</t>
  </si>
  <si>
    <t>Fator de utilização</t>
  </si>
  <si>
    <t>Custo do jogo de pneus 215 / 75 R17,5"</t>
  </si>
  <si>
    <t>Custo de ARLA / km rodado</t>
  </si>
  <si>
    <t>Custo mensal com ARLA</t>
  </si>
  <si>
    <t>Transporte de Pacientes Santa Cruz</t>
  </si>
  <si>
    <t>Locação de veículo dois dias por mês</t>
  </si>
  <si>
    <t>diesel BS10</t>
  </si>
  <si>
    <t>Transporte de Pacientes SANTA MARIA</t>
  </si>
  <si>
    <t>7032-2024</t>
  </si>
  <si>
    <t>Ônibus com 52 lugares</t>
  </si>
  <si>
    <t>Transporte de Pacientes CANDELÁRIA</t>
  </si>
  <si>
    <t>DIESEL S500</t>
  </si>
  <si>
    <t>TEMPO DESLOCAMENTO 2 HORAS</t>
  </si>
  <si>
    <t>TEMPO COM PACIENTES 2 HORAS</t>
  </si>
  <si>
    <t xml:space="preserve">Veículo mod. Volare Attack 8  23/24-Diesel- veículo locado </t>
  </si>
  <si>
    <t>Até 180.000,00</t>
  </si>
  <si>
    <t>Veículo mod. Volare Fretamento W9 - D9 23/24-Diesel</t>
  </si>
  <si>
    <t>TOTAL - METADE DO DIA</t>
  </si>
  <si>
    <t>Transporte de Pacientes SANTA CRUZ DO SUL</t>
  </si>
  <si>
    <t xml:space="preserve">LOCAÇÃO - veículo para 7 dias </t>
  </si>
  <si>
    <t>sete dias de manhã e a tarde</t>
  </si>
  <si>
    <t>catorze viagens</t>
  </si>
  <si>
    <t>Veículo mod. Sprinter 517 chassi longo ano 2024-Diesel</t>
  </si>
  <si>
    <t>sete dias</t>
  </si>
  <si>
    <t xml:space="preserve">Transporte de Pacientes CACHOEIRA DO SUL </t>
  </si>
  <si>
    <t xml:space="preserve">LOCAÇÃO - veículo para 1 dia </t>
  </si>
  <si>
    <t>Venâncio</t>
  </si>
  <si>
    <t>Candelária</t>
  </si>
  <si>
    <t>Cabrais</t>
  </si>
  <si>
    <t>Sta Maria</t>
  </si>
  <si>
    <t xml:space="preserve">Venâncio </t>
  </si>
  <si>
    <t>Candelaria</t>
  </si>
  <si>
    <t>IDA E VOLTA</t>
  </si>
  <si>
    <t>273/1128,96</t>
  </si>
  <si>
    <t>Dias rodados por mês ( 7 dias x 2 viagens ao dia)</t>
  </si>
  <si>
    <t>até R$ 180.000,00</t>
  </si>
  <si>
    <t>7032-2024 e 10360-2024</t>
  </si>
  <si>
    <t>Transporte de Pacientes Candelária</t>
  </si>
  <si>
    <t>duas praças de pedágio</t>
  </si>
  <si>
    <t xml:space="preserve">Dias rodados por mês </t>
  </si>
  <si>
    <t>Veículo Marcopolo Volare Attack 9- fretamento  ano 2024</t>
  </si>
  <si>
    <t>Van com 33 lugares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</si>
</sst>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_(* #,##0.0000_);_(* \(#,##0.0000\);_(* &quot;-&quot;??_);_(@_)"/>
    <numFmt numFmtId="170" formatCode="00"/>
    <numFmt numFmtId="171" formatCode="0.0"/>
  </numFmts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4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28">
    <xf numFmtId="0" fontId="0" fillId="0" borderId="0" xfId="0"/>
    <xf numFmtId="0" fontId="10" fillId="0" borderId="0" xfId="0" applyFont="1"/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65" fontId="10" fillId="0" borderId="0" xfId="3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165" fontId="10" fillId="0" borderId="2" xfId="3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65" fontId="10" fillId="0" borderId="1" xfId="3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165" fontId="7" fillId="0" borderId="6" xfId="3" applyFont="1" applyBorder="1" applyAlignment="1">
      <alignment vertical="center"/>
    </xf>
    <xf numFmtId="165" fontId="7" fillId="0" borderId="7" xfId="3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165" fontId="10" fillId="0" borderId="6" xfId="3" applyFont="1" applyBorder="1" applyAlignment="1">
      <alignment vertical="center"/>
    </xf>
    <xf numFmtId="165" fontId="10" fillId="0" borderId="7" xfId="3" applyFont="1" applyBorder="1" applyAlignment="1">
      <alignment vertical="center"/>
    </xf>
    <xf numFmtId="165" fontId="7" fillId="0" borderId="0" xfId="3" applyFont="1" applyBorder="1" applyAlignment="1">
      <alignment horizontal="center" vertical="center"/>
    </xf>
    <xf numFmtId="165" fontId="7" fillId="0" borderId="0" xfId="3" applyFont="1" applyBorder="1" applyAlignment="1">
      <alignment vertical="center"/>
    </xf>
    <xf numFmtId="166" fontId="10" fillId="0" borderId="1" xfId="3" applyNumberFormat="1" applyFont="1" applyBorder="1" applyAlignment="1">
      <alignment vertical="center"/>
    </xf>
    <xf numFmtId="165" fontId="7" fillId="0" borderId="10" xfId="3" applyFont="1" applyBorder="1" applyAlignment="1">
      <alignment horizontal="center" vertical="center"/>
    </xf>
    <xf numFmtId="165" fontId="10" fillId="0" borderId="1" xfId="3" applyFont="1" applyBorder="1" applyAlignment="1">
      <alignment vertical="center"/>
    </xf>
    <xf numFmtId="0" fontId="8" fillId="0" borderId="0" xfId="0" applyFont="1" applyAlignment="1">
      <alignment vertical="center"/>
    </xf>
    <xf numFmtId="165" fontId="8" fillId="0" borderId="0" xfId="3" applyFont="1" applyBorder="1" applyAlignment="1">
      <alignment vertical="center"/>
    </xf>
    <xf numFmtId="10" fontId="0" fillId="0" borderId="13" xfId="2" applyNumberFormat="1" applyFont="1" applyBorder="1" applyAlignment="1">
      <alignment vertical="center"/>
    </xf>
    <xf numFmtId="165" fontId="10" fillId="0" borderId="0" xfId="3" applyFont="1" applyBorder="1" applyAlignment="1">
      <alignment vertical="center"/>
    </xf>
    <xf numFmtId="4" fontId="7" fillId="0" borderId="27" xfId="0" applyNumberFormat="1" applyFont="1" applyBorder="1" applyAlignment="1">
      <alignment vertical="center"/>
    </xf>
    <xf numFmtId="0" fontId="0" fillId="0" borderId="27" xfId="0" applyBorder="1" applyAlignment="1">
      <alignment vertical="center"/>
    </xf>
    <xf numFmtId="1" fontId="7" fillId="0" borderId="29" xfId="3" applyNumberFormat="1" applyFont="1" applyBorder="1" applyAlignment="1">
      <alignment horizontal="center" vertical="center"/>
    </xf>
    <xf numFmtId="165" fontId="10" fillId="0" borderId="1" xfId="3" applyFont="1" applyFill="1" applyBorder="1" applyAlignment="1">
      <alignment horizontal="center" vertical="center"/>
    </xf>
    <xf numFmtId="166" fontId="10" fillId="0" borderId="1" xfId="3" applyNumberFormat="1" applyFont="1" applyBorder="1" applyAlignment="1">
      <alignment horizontal="center" vertical="center"/>
    </xf>
    <xf numFmtId="166" fontId="10" fillId="0" borderId="1" xfId="3" applyNumberFormat="1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165" fontId="7" fillId="0" borderId="1" xfId="3" applyFont="1" applyBorder="1" applyAlignment="1">
      <alignment horizontal="center" vertical="center"/>
    </xf>
    <xf numFmtId="165" fontId="7" fillId="0" borderId="3" xfId="3" applyFont="1" applyBorder="1" applyAlignment="1">
      <alignment horizontal="center" vertical="center"/>
    </xf>
    <xf numFmtId="10" fontId="7" fillId="0" borderId="13" xfId="2" applyNumberFormat="1" applyFont="1" applyBorder="1" applyAlignment="1">
      <alignment vertical="center"/>
    </xf>
    <xf numFmtId="165" fontId="7" fillId="0" borderId="33" xfId="3" applyFont="1" applyBorder="1" applyAlignment="1">
      <alignment vertical="center"/>
    </xf>
    <xf numFmtId="4" fontId="7" fillId="0" borderId="0" xfId="0" applyNumberFormat="1" applyFont="1" applyAlignment="1">
      <alignment vertical="center"/>
    </xf>
    <xf numFmtId="165" fontId="10" fillId="0" borderId="34" xfId="3" applyFont="1" applyBorder="1" applyAlignment="1">
      <alignment vertical="center"/>
    </xf>
    <xf numFmtId="165" fontId="10" fillId="3" borderId="1" xfId="3" applyFont="1" applyFill="1" applyBorder="1" applyAlignment="1">
      <alignment horizontal="center" vertical="center"/>
    </xf>
    <xf numFmtId="9" fontId="7" fillId="0" borderId="16" xfId="2" applyFont="1" applyBorder="1" applyAlignment="1">
      <alignment vertical="center"/>
    </xf>
    <xf numFmtId="10" fontId="10" fillId="0" borderId="13" xfId="2" applyNumberFormat="1" applyFont="1" applyBorder="1" applyAlignment="1">
      <alignment vertical="center"/>
    </xf>
    <xf numFmtId="0" fontId="9" fillId="0" borderId="0" xfId="0" applyFont="1"/>
    <xf numFmtId="165" fontId="10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21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10" fontId="20" fillId="0" borderId="18" xfId="0" applyNumberFormat="1" applyFont="1" applyBorder="1" applyAlignment="1">
      <alignment horizontal="right" vertical="center"/>
    </xf>
    <xf numFmtId="0" fontId="19" fillId="2" borderId="21" xfId="0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left" vertical="center"/>
    </xf>
    <xf numFmtId="10" fontId="20" fillId="2" borderId="18" xfId="0" applyNumberFormat="1" applyFont="1" applyFill="1" applyBorder="1" applyAlignment="1">
      <alignment horizontal="right" vertical="center"/>
    </xf>
    <xf numFmtId="0" fontId="21" fillId="0" borderId="1" xfId="0" applyFont="1" applyBorder="1" applyAlignment="1">
      <alignment horizontal="left" vertical="center"/>
    </xf>
    <xf numFmtId="0" fontId="22" fillId="0" borderId="0" xfId="0" applyFont="1" applyAlignment="1">
      <alignment horizontal="left" vertical="center"/>
    </xf>
    <xf numFmtId="10" fontId="10" fillId="0" borderId="0" xfId="0" applyNumberFormat="1" applyFont="1"/>
    <xf numFmtId="0" fontId="19" fillId="0" borderId="1" xfId="0" applyFont="1" applyBorder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10" fontId="20" fillId="0" borderId="0" xfId="0" applyNumberFormat="1" applyFont="1" applyAlignment="1">
      <alignment horizontal="right" vertical="center"/>
    </xf>
    <xf numFmtId="10" fontId="19" fillId="0" borderId="0" xfId="0" applyNumberFormat="1" applyFont="1" applyAlignment="1">
      <alignment horizontal="right" vertical="center"/>
    </xf>
    <xf numFmtId="0" fontId="23" fillId="0" borderId="0" xfId="0" applyFont="1" applyAlignment="1">
      <alignment horizontal="justify" vertical="center"/>
    </xf>
    <xf numFmtId="0" fontId="24" fillId="0" borderId="0" xfId="0" applyFont="1"/>
    <xf numFmtId="0" fontId="19" fillId="0" borderId="0" xfId="0" applyFont="1" applyAlignment="1">
      <alignment horizontal="right" vertical="center"/>
    </xf>
    <xf numFmtId="0" fontId="12" fillId="0" borderId="0" xfId="1" applyBorder="1" applyAlignment="1" applyProtection="1">
      <alignment vertical="center"/>
    </xf>
    <xf numFmtId="0" fontId="9" fillId="0" borderId="19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left" vertical="center"/>
    </xf>
    <xf numFmtId="0" fontId="9" fillId="0" borderId="22" xfId="0" applyFont="1" applyBorder="1" applyAlignment="1">
      <alignment horizontal="left" vertical="center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10" fontId="9" fillId="0" borderId="25" xfId="0" applyNumberFormat="1" applyFont="1" applyBorder="1" applyAlignment="1">
      <alignment vertical="center"/>
    </xf>
    <xf numFmtId="0" fontId="9" fillId="0" borderId="26" xfId="0" applyFont="1" applyBorder="1" applyAlignment="1">
      <alignment horizontal="left" vertical="center"/>
    </xf>
    <xf numFmtId="0" fontId="9" fillId="0" borderId="27" xfId="0" applyFont="1" applyBorder="1" applyAlignment="1">
      <alignment horizontal="left" vertical="center"/>
    </xf>
    <xf numFmtId="0" fontId="9" fillId="0" borderId="28" xfId="0" applyFont="1" applyBorder="1" applyAlignment="1">
      <alignment vertical="center"/>
    </xf>
    <xf numFmtId="0" fontId="11" fillId="2" borderId="5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vertical="center"/>
    </xf>
    <xf numFmtId="10" fontId="11" fillId="2" borderId="7" xfId="0" applyNumberFormat="1" applyFont="1" applyFill="1" applyBorder="1" applyAlignment="1">
      <alignment horizontal="center" vertical="center" wrapText="1"/>
    </xf>
    <xf numFmtId="0" fontId="10" fillId="0" borderId="8" xfId="0" applyFont="1" applyBorder="1" applyAlignment="1">
      <alignment vertical="center"/>
    </xf>
    <xf numFmtId="0" fontId="20" fillId="0" borderId="2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65" fontId="7" fillId="0" borderId="8" xfId="3" applyFont="1" applyBorder="1" applyAlignment="1">
      <alignment horizontal="center" vertical="center"/>
    </xf>
    <xf numFmtId="167" fontId="10" fillId="0" borderId="1" xfId="3" applyNumberFormat="1" applyFont="1" applyBorder="1" applyAlignment="1">
      <alignment horizontal="center" vertical="center"/>
    </xf>
    <xf numFmtId="166" fontId="7" fillId="0" borderId="1" xfId="3" applyNumberFormat="1" applyFont="1" applyBorder="1" applyAlignment="1">
      <alignment horizontal="center" vertical="center"/>
    </xf>
    <xf numFmtId="167" fontId="7" fillId="0" borderId="1" xfId="3" applyNumberFormat="1" applyFont="1" applyBorder="1" applyAlignment="1">
      <alignment horizontal="center" vertical="center"/>
    </xf>
    <xf numFmtId="167" fontId="10" fillId="0" borderId="2" xfId="3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3" fillId="0" borderId="0" xfId="4" applyFont="1"/>
    <xf numFmtId="0" fontId="5" fillId="0" borderId="1" xfId="0" applyFont="1" applyBorder="1" applyAlignment="1">
      <alignment horizontal="center" vertical="center"/>
    </xf>
    <xf numFmtId="165" fontId="10" fillId="0" borderId="27" xfId="3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165" fontId="10" fillId="0" borderId="0" xfId="3" applyFont="1" applyBorder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3" fontId="10" fillId="0" borderId="0" xfId="0" applyNumberFormat="1" applyFont="1" applyAlignment="1">
      <alignment vertical="center"/>
    </xf>
    <xf numFmtId="0" fontId="10" fillId="0" borderId="33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5" fillId="0" borderId="38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6" fillId="0" borderId="33" xfId="0" applyFont="1" applyBorder="1" applyAlignment="1">
      <alignment horizontal="left" vertical="center" wrapText="1"/>
    </xf>
    <xf numFmtId="0" fontId="8" fillId="0" borderId="33" xfId="0" applyFont="1" applyBorder="1" applyAlignment="1">
      <alignment vertical="center"/>
    </xf>
    <xf numFmtId="168" fontId="7" fillId="0" borderId="21" xfId="0" applyNumberFormat="1" applyFont="1" applyBorder="1" applyAlignment="1">
      <alignment vertical="center"/>
    </xf>
    <xf numFmtId="168" fontId="0" fillId="0" borderId="21" xfId="0" applyNumberFormat="1" applyBorder="1" applyAlignment="1">
      <alignment vertical="center"/>
    </xf>
    <xf numFmtId="10" fontId="7" fillId="0" borderId="34" xfId="2" applyNumberFormat="1" applyFont="1" applyBorder="1" applyAlignment="1">
      <alignment vertical="center"/>
    </xf>
    <xf numFmtId="0" fontId="7" fillId="6" borderId="34" xfId="0" applyFont="1" applyFill="1" applyBorder="1" applyAlignment="1">
      <alignment vertical="center"/>
    </xf>
    <xf numFmtId="165" fontId="7" fillId="0" borderId="17" xfId="3" applyFont="1" applyBorder="1" applyAlignment="1">
      <alignment horizontal="center" vertical="center" wrapText="1"/>
    </xf>
    <xf numFmtId="10" fontId="7" fillId="6" borderId="13" xfId="2" applyNumberFormat="1" applyFont="1" applyFill="1" applyBorder="1" applyAlignment="1">
      <alignment vertical="center"/>
    </xf>
    <xf numFmtId="0" fontId="7" fillId="6" borderId="13" xfId="0" applyFont="1" applyFill="1" applyBorder="1" applyAlignment="1">
      <alignment vertical="center"/>
    </xf>
    <xf numFmtId="0" fontId="7" fillId="6" borderId="21" xfId="0" applyFont="1" applyFill="1" applyBorder="1" applyAlignment="1">
      <alignment vertical="center"/>
    </xf>
    <xf numFmtId="0" fontId="7" fillId="6" borderId="18" xfId="0" applyFont="1" applyFill="1" applyBorder="1" applyAlignment="1">
      <alignment vertical="center"/>
    </xf>
    <xf numFmtId="168" fontId="7" fillId="6" borderId="21" xfId="0" applyNumberFormat="1" applyFont="1" applyFill="1" applyBorder="1" applyAlignment="1">
      <alignment vertical="center"/>
    </xf>
    <xf numFmtId="168" fontId="7" fillId="6" borderId="37" xfId="0" applyNumberFormat="1" applyFont="1" applyFill="1" applyBorder="1" applyAlignment="1">
      <alignment vertical="center"/>
    </xf>
    <xf numFmtId="10" fontId="7" fillId="6" borderId="34" xfId="2" applyNumberFormat="1" applyFont="1" applyFill="1" applyBorder="1" applyAlignment="1">
      <alignment vertical="center"/>
    </xf>
    <xf numFmtId="0" fontId="7" fillId="6" borderId="37" xfId="0" applyFont="1" applyFill="1" applyBorder="1" applyAlignment="1">
      <alignment vertical="center"/>
    </xf>
    <xf numFmtId="168" fontId="7" fillId="0" borderId="43" xfId="0" applyNumberFormat="1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10" fillId="0" borderId="24" xfId="3" applyFont="1" applyBorder="1" applyAlignment="1">
      <alignment vertical="center"/>
    </xf>
    <xf numFmtId="0" fontId="10" fillId="0" borderId="44" xfId="0" applyFont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165" fontId="10" fillId="0" borderId="20" xfId="3" applyFont="1" applyBorder="1" applyAlignment="1">
      <alignment horizontal="center" vertical="center"/>
    </xf>
    <xf numFmtId="0" fontId="7" fillId="0" borderId="26" xfId="0" applyFont="1" applyBorder="1" applyAlignment="1">
      <alignment vertical="center"/>
    </xf>
    <xf numFmtId="0" fontId="7" fillId="0" borderId="27" xfId="0" applyFont="1" applyBorder="1" applyAlignment="1">
      <alignment vertical="center"/>
    </xf>
    <xf numFmtId="165" fontId="7" fillId="0" borderId="27" xfId="3" applyFont="1" applyBorder="1" applyAlignment="1">
      <alignment vertical="center"/>
    </xf>
    <xf numFmtId="164" fontId="7" fillId="5" borderId="5" xfId="0" applyNumberFormat="1" applyFont="1" applyFill="1" applyBorder="1" applyAlignment="1">
      <alignment vertical="center"/>
    </xf>
    <xf numFmtId="165" fontId="8" fillId="0" borderId="23" xfId="3" applyFont="1" applyFill="1" applyBorder="1" applyAlignment="1">
      <alignment horizontal="left" vertical="center"/>
    </xf>
    <xf numFmtId="165" fontId="7" fillId="0" borderId="33" xfId="3" applyFont="1" applyBorder="1" applyAlignment="1">
      <alignment horizontal="left" vertical="center"/>
    </xf>
    <xf numFmtId="165" fontId="10" fillId="0" borderId="25" xfId="3" applyFont="1" applyBorder="1" applyAlignment="1">
      <alignment vertical="center"/>
    </xf>
    <xf numFmtId="165" fontId="10" fillId="0" borderId="11" xfId="3" applyFont="1" applyBorder="1" applyAlignment="1">
      <alignment vertical="center"/>
    </xf>
    <xf numFmtId="165" fontId="10" fillId="0" borderId="46" xfId="3" applyFont="1" applyBorder="1" applyAlignment="1">
      <alignment vertical="center"/>
    </xf>
    <xf numFmtId="165" fontId="7" fillId="0" borderId="46" xfId="3" applyFont="1" applyBorder="1" applyAlignment="1">
      <alignment vertical="center"/>
    </xf>
    <xf numFmtId="165" fontId="7" fillId="0" borderId="34" xfId="3" applyFont="1" applyFill="1" applyBorder="1" applyAlignment="1">
      <alignment vertical="center"/>
    </xf>
    <xf numFmtId="165" fontId="10" fillId="0" borderId="46" xfId="3" applyFont="1" applyBorder="1" applyAlignment="1">
      <alignment horizontal="center" vertical="center"/>
    </xf>
    <xf numFmtId="165" fontId="10" fillId="0" borderId="11" xfId="3" applyFont="1" applyBorder="1" applyAlignment="1">
      <alignment horizontal="center" vertical="center"/>
    </xf>
    <xf numFmtId="165" fontId="7" fillId="0" borderId="46" xfId="3" applyFont="1" applyBorder="1" applyAlignment="1">
      <alignment horizontal="center" vertical="center"/>
    </xf>
    <xf numFmtId="165" fontId="7" fillId="0" borderId="34" xfId="3" applyFont="1" applyFill="1" applyBorder="1" applyAlignment="1">
      <alignment horizontal="center" vertical="center"/>
    </xf>
    <xf numFmtId="165" fontId="10" fillId="0" borderId="11" xfId="3" applyFont="1" applyFill="1" applyBorder="1" applyAlignment="1">
      <alignment horizontal="center" vertical="center"/>
    </xf>
    <xf numFmtId="165" fontId="10" fillId="0" borderId="46" xfId="3" applyFont="1" applyFill="1" applyBorder="1" applyAlignment="1">
      <alignment horizontal="center" vertical="center"/>
    </xf>
    <xf numFmtId="165" fontId="7" fillId="0" borderId="25" xfId="3" applyFont="1" applyFill="1" applyBorder="1" applyAlignment="1">
      <alignment horizontal="center" vertical="center"/>
    </xf>
    <xf numFmtId="165" fontId="8" fillId="0" borderId="25" xfId="3" applyFont="1" applyBorder="1" applyAlignment="1">
      <alignment vertical="center"/>
    </xf>
    <xf numFmtId="165" fontId="7" fillId="0" borderId="25" xfId="3" applyFont="1" applyBorder="1" applyAlignment="1">
      <alignment vertical="center"/>
    </xf>
    <xf numFmtId="165" fontId="8" fillId="0" borderId="34" xfId="3" applyFont="1" applyBorder="1" applyAlignment="1">
      <alignment vertical="center"/>
    </xf>
    <xf numFmtId="0" fontId="7" fillId="0" borderId="43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165" fontId="7" fillId="0" borderId="7" xfId="3" applyFont="1" applyFill="1" applyBorder="1" applyAlignment="1">
      <alignment horizontal="right" vertical="center"/>
    </xf>
    <xf numFmtId="165" fontId="5" fillId="0" borderId="9" xfId="3" applyFont="1" applyFill="1" applyBorder="1" applyAlignment="1">
      <alignment vertical="center"/>
    </xf>
    <xf numFmtId="165" fontId="7" fillId="0" borderId="8" xfId="3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165" fontId="7" fillId="0" borderId="2" xfId="3" applyFont="1" applyBorder="1" applyAlignment="1">
      <alignment horizontal="center" vertical="center"/>
    </xf>
    <xf numFmtId="165" fontId="7" fillId="0" borderId="47" xfId="3" applyFont="1" applyBorder="1" applyAlignment="1">
      <alignment horizontal="center" vertical="center"/>
    </xf>
    <xf numFmtId="165" fontId="7" fillId="0" borderId="1" xfId="3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5" fontId="5" fillId="0" borderId="2" xfId="3" applyFont="1" applyBorder="1" applyAlignment="1">
      <alignment horizontal="center" vertical="center"/>
    </xf>
    <xf numFmtId="165" fontId="5" fillId="0" borderId="34" xfId="3" applyFont="1" applyBorder="1" applyAlignment="1">
      <alignment vertical="center"/>
    </xf>
    <xf numFmtId="0" fontId="5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165" fontId="7" fillId="0" borderId="29" xfId="3" applyFont="1" applyBorder="1" applyAlignment="1">
      <alignment horizontal="center" vertical="center"/>
    </xf>
    <xf numFmtId="165" fontId="10" fillId="0" borderId="48" xfId="3" applyFont="1" applyBorder="1" applyAlignment="1">
      <alignment vertical="center"/>
    </xf>
    <xf numFmtId="0" fontId="0" fillId="0" borderId="48" xfId="0" applyBorder="1" applyAlignment="1">
      <alignment vertical="center"/>
    </xf>
    <xf numFmtId="165" fontId="7" fillId="0" borderId="16" xfId="3" applyFont="1" applyBorder="1" applyAlignment="1">
      <alignment horizontal="center" vertical="center"/>
    </xf>
    <xf numFmtId="165" fontId="5" fillId="0" borderId="26" xfId="3" applyFont="1" applyBorder="1" applyAlignment="1">
      <alignment vertical="center"/>
    </xf>
    <xf numFmtId="165" fontId="7" fillId="0" borderId="11" xfId="3" applyFont="1" applyBorder="1" applyAlignment="1">
      <alignment horizontal="center" vertical="center"/>
    </xf>
    <xf numFmtId="165" fontId="7" fillId="0" borderId="11" xfId="3" applyFont="1" applyBorder="1" applyAlignment="1">
      <alignment horizontal="center" vertical="center" wrapText="1"/>
    </xf>
    <xf numFmtId="1" fontId="10" fillId="0" borderId="6" xfId="3" applyNumberFormat="1" applyFont="1" applyBorder="1" applyAlignment="1">
      <alignment horizontal="center" vertical="center"/>
    </xf>
    <xf numFmtId="1" fontId="10" fillId="0" borderId="7" xfId="3" applyNumberFormat="1" applyFont="1" applyBorder="1" applyAlignment="1">
      <alignment horizontal="center" vertical="center"/>
    </xf>
    <xf numFmtId="165" fontId="7" fillId="0" borderId="35" xfId="3" applyFont="1" applyBorder="1" applyAlignment="1">
      <alignment vertical="center"/>
    </xf>
    <xf numFmtId="165" fontId="10" fillId="0" borderId="32" xfId="3" applyFont="1" applyFill="1" applyBorder="1" applyAlignment="1">
      <alignment horizontal="center" vertical="center"/>
    </xf>
    <xf numFmtId="165" fontId="7" fillId="0" borderId="30" xfId="3" applyFont="1" applyBorder="1" applyAlignment="1">
      <alignment horizontal="center" vertical="center" wrapText="1"/>
    </xf>
    <xf numFmtId="1" fontId="5" fillId="0" borderId="31" xfId="3" applyNumberFormat="1" applyFont="1" applyFill="1" applyBorder="1" applyAlignment="1">
      <alignment horizontal="center" vertical="center"/>
    </xf>
    <xf numFmtId="1" fontId="10" fillId="0" borderId="31" xfId="3" applyNumberFormat="1" applyFont="1" applyFill="1" applyBorder="1" applyAlignment="1">
      <alignment horizontal="center" vertical="center"/>
    </xf>
    <xf numFmtId="1" fontId="5" fillId="0" borderId="1" xfId="3" applyNumberFormat="1" applyFont="1" applyFill="1" applyBorder="1" applyAlignment="1">
      <alignment horizontal="center" vertical="center"/>
    </xf>
    <xf numFmtId="10" fontId="10" fillId="0" borderId="1" xfId="2" applyNumberFormat="1" applyFont="1" applyFill="1" applyBorder="1" applyAlignment="1">
      <alignment horizontal="center" vertical="center"/>
    </xf>
    <xf numFmtId="165" fontId="10" fillId="0" borderId="31" xfId="3" applyFont="1" applyFill="1" applyBorder="1" applyAlignment="1">
      <alignment horizontal="center" vertical="center"/>
    </xf>
    <xf numFmtId="165" fontId="7" fillId="0" borderId="18" xfId="3" applyFont="1" applyFill="1" applyBorder="1" applyAlignment="1">
      <alignment horizontal="center" vertical="center"/>
    </xf>
    <xf numFmtId="165" fontId="10" fillId="0" borderId="2" xfId="3" applyFont="1" applyFill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165" fontId="7" fillId="0" borderId="30" xfId="3" applyFont="1" applyBorder="1" applyAlignment="1">
      <alignment horizontal="center" vertical="center"/>
    </xf>
    <xf numFmtId="3" fontId="7" fillId="0" borderId="1" xfId="0" applyNumberFormat="1" applyFont="1" applyBorder="1" applyAlignment="1">
      <alignment vertical="center"/>
    </xf>
    <xf numFmtId="165" fontId="0" fillId="0" borderId="40" xfId="3" applyFont="1" applyBorder="1" applyAlignment="1">
      <alignment vertical="center"/>
    </xf>
    <xf numFmtId="165" fontId="0" fillId="0" borderId="41" xfId="3" applyFont="1" applyBorder="1" applyAlignment="1">
      <alignment vertical="center"/>
    </xf>
    <xf numFmtId="165" fontId="10" fillId="0" borderId="41" xfId="3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165" fontId="10" fillId="0" borderId="2" xfId="0" applyNumberFormat="1" applyFont="1" applyBorder="1" applyAlignment="1">
      <alignment horizontal="center" vertical="center"/>
    </xf>
    <xf numFmtId="165" fontId="5" fillId="0" borderId="1" xfId="3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9" fillId="0" borderId="52" xfId="4" applyFont="1" applyBorder="1"/>
    <xf numFmtId="0" fontId="9" fillId="0" borderId="54" xfId="4" applyFont="1" applyBorder="1"/>
    <xf numFmtId="165" fontId="7" fillId="5" borderId="40" xfId="3" applyFont="1" applyFill="1" applyBorder="1" applyAlignment="1">
      <alignment vertical="center"/>
    </xf>
    <xf numFmtId="165" fontId="5" fillId="0" borderId="41" xfId="3" applyFont="1" applyBorder="1" applyAlignment="1">
      <alignment vertical="center"/>
    </xf>
    <xf numFmtId="10" fontId="19" fillId="0" borderId="0" xfId="0" applyNumberFormat="1" applyFont="1" applyAlignment="1">
      <alignment horizontal="left" vertical="center"/>
    </xf>
    <xf numFmtId="0" fontId="19" fillId="6" borderId="22" xfId="0" applyFont="1" applyFill="1" applyBorder="1" applyAlignment="1">
      <alignment horizontal="left" vertical="center"/>
    </xf>
    <xf numFmtId="0" fontId="20" fillId="6" borderId="31" xfId="0" applyFont="1" applyFill="1" applyBorder="1" applyAlignment="1">
      <alignment horizontal="left" vertical="center"/>
    </xf>
    <xf numFmtId="10" fontId="20" fillId="6" borderId="32" xfId="0" applyNumberFormat="1" applyFont="1" applyFill="1" applyBorder="1" applyAlignment="1">
      <alignment horizontal="right" vertical="center"/>
    </xf>
    <xf numFmtId="165" fontId="5" fillId="0" borderId="27" xfId="3" applyFont="1" applyBorder="1" applyAlignment="1">
      <alignment vertical="center"/>
    </xf>
    <xf numFmtId="0" fontId="5" fillId="0" borderId="57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165" fontId="7" fillId="0" borderId="0" xfId="3" applyFont="1" applyBorder="1" applyAlignment="1">
      <alignment horizontal="left" vertical="center"/>
    </xf>
    <xf numFmtId="0" fontId="18" fillId="0" borderId="6" xfId="0" applyFont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4" fontId="0" fillId="0" borderId="6" xfId="0" applyNumberFormat="1" applyBorder="1" applyAlignment="1">
      <alignment vertical="center"/>
    </xf>
    <xf numFmtId="165" fontId="0" fillId="0" borderId="6" xfId="3" applyFont="1" applyFill="1" applyBorder="1" applyAlignment="1">
      <alignment vertical="center"/>
    </xf>
    <xf numFmtId="0" fontId="0" fillId="0" borderId="7" xfId="0" applyBorder="1" applyAlignment="1">
      <alignment vertical="center"/>
    </xf>
    <xf numFmtId="0" fontId="11" fillId="0" borderId="38" xfId="4" applyFont="1" applyBorder="1" applyAlignment="1">
      <alignment horizontal="left" vertical="center"/>
    </xf>
    <xf numFmtId="0" fontId="11" fillId="0" borderId="39" xfId="4" applyFont="1" applyBorder="1" applyAlignment="1">
      <alignment horizontal="center" vertical="center" wrapText="1"/>
    </xf>
    <xf numFmtId="0" fontId="9" fillId="0" borderId="62" xfId="4" applyFont="1" applyBorder="1"/>
    <xf numFmtId="0" fontId="11" fillId="6" borderId="5" xfId="4" applyFont="1" applyFill="1" applyBorder="1"/>
    <xf numFmtId="0" fontId="13" fillId="0" borderId="6" xfId="4" applyFont="1" applyBorder="1"/>
    <xf numFmtId="10" fontId="11" fillId="6" borderId="16" xfId="4" applyNumberFormat="1" applyFont="1" applyFill="1" applyBorder="1" applyAlignment="1">
      <alignment horizontal="right"/>
    </xf>
    <xf numFmtId="0" fontId="9" fillId="0" borderId="0" xfId="4" applyFont="1" applyAlignment="1">
      <alignment horizontal="left"/>
    </xf>
    <xf numFmtId="169" fontId="10" fillId="0" borderId="1" xfId="3" applyNumberFormat="1" applyFont="1" applyBorder="1" applyAlignment="1">
      <alignment horizontal="center" vertical="center"/>
    </xf>
    <xf numFmtId="165" fontId="8" fillId="6" borderId="5" xfId="3" applyFont="1" applyFill="1" applyBorder="1" applyAlignment="1">
      <alignment vertical="center"/>
    </xf>
    <xf numFmtId="165" fontId="8" fillId="6" borderId="6" xfId="3" applyFont="1" applyFill="1" applyBorder="1" applyAlignment="1">
      <alignment vertical="center"/>
    </xf>
    <xf numFmtId="165" fontId="8" fillId="6" borderId="7" xfId="3" applyFont="1" applyFill="1" applyBorder="1" applyAlignment="1">
      <alignment vertical="center"/>
    </xf>
    <xf numFmtId="0" fontId="14" fillId="6" borderId="15" xfId="0" applyFont="1" applyFill="1" applyBorder="1" applyAlignment="1">
      <alignment horizontal="center" vertical="center"/>
    </xf>
    <xf numFmtId="165" fontId="14" fillId="6" borderId="15" xfId="3" applyFont="1" applyFill="1" applyBorder="1" applyAlignment="1">
      <alignment horizontal="center" vertical="center"/>
    </xf>
    <xf numFmtId="165" fontId="14" fillId="6" borderId="11" xfId="3" applyFont="1" applyFill="1" applyBorder="1" applyAlignment="1">
      <alignment horizontal="center" vertical="center"/>
    </xf>
    <xf numFmtId="165" fontId="7" fillId="6" borderId="50" xfId="3" applyFont="1" applyFill="1" applyBorder="1" applyAlignment="1">
      <alignment horizontal="center" vertical="center"/>
    </xf>
    <xf numFmtId="0" fontId="14" fillId="6" borderId="14" xfId="0" applyFont="1" applyFill="1" applyBorder="1" applyAlignment="1">
      <alignment horizontal="center" vertical="center"/>
    </xf>
    <xf numFmtId="0" fontId="14" fillId="6" borderId="35" xfId="0" applyFont="1" applyFill="1" applyBorder="1" applyAlignment="1">
      <alignment horizontal="center" vertical="center"/>
    </xf>
    <xf numFmtId="165" fontId="7" fillId="6" borderId="4" xfId="3" applyFont="1" applyFill="1" applyBorder="1" applyAlignment="1">
      <alignment vertical="center"/>
    </xf>
    <xf numFmtId="165" fontId="7" fillId="6" borderId="4" xfId="3" applyFont="1" applyFill="1" applyBorder="1" applyAlignment="1">
      <alignment horizontal="center" vertical="center"/>
    </xf>
    <xf numFmtId="165" fontId="7" fillId="6" borderId="40" xfId="3" applyFont="1" applyFill="1" applyBorder="1" applyAlignment="1">
      <alignment vertical="center"/>
    </xf>
    <xf numFmtId="165" fontId="7" fillId="6" borderId="40" xfId="3" applyFont="1" applyFill="1" applyBorder="1" applyAlignment="1">
      <alignment horizontal="center" vertical="center"/>
    </xf>
    <xf numFmtId="0" fontId="7" fillId="0" borderId="45" xfId="4" applyFont="1" applyBorder="1" applyAlignment="1">
      <alignment horizontal="right"/>
    </xf>
    <xf numFmtId="0" fontId="7" fillId="0" borderId="23" xfId="4" applyFont="1" applyBorder="1" applyAlignment="1">
      <alignment horizontal="right"/>
    </xf>
    <xf numFmtId="0" fontId="18" fillId="0" borderId="5" xfId="0" applyFont="1" applyBorder="1" applyAlignment="1">
      <alignment horizontal="right"/>
    </xf>
    <xf numFmtId="0" fontId="9" fillId="0" borderId="1" xfId="0" applyFont="1" applyBorder="1" applyAlignment="1">
      <alignment horizontal="center" vertical="center"/>
    </xf>
    <xf numFmtId="165" fontId="8" fillId="0" borderId="6" xfId="3" applyFont="1" applyFill="1" applyBorder="1" applyAlignment="1">
      <alignment vertical="center"/>
    </xf>
    <xf numFmtId="165" fontId="8" fillId="0" borderId="7" xfId="3" applyFont="1" applyFill="1" applyBorder="1" applyAlignment="1">
      <alignment vertical="center"/>
    </xf>
    <xf numFmtId="165" fontId="10" fillId="0" borderId="0" xfId="3" applyFont="1" applyFill="1" applyBorder="1" applyAlignment="1">
      <alignment horizontal="right" vertical="center"/>
    </xf>
    <xf numFmtId="165" fontId="5" fillId="0" borderId="0" xfId="3" applyFont="1" applyFill="1" applyBorder="1" applyAlignment="1">
      <alignment horizontal="right" vertical="center"/>
    </xf>
    <xf numFmtId="0" fontId="7" fillId="7" borderId="24" xfId="4" applyFont="1" applyFill="1" applyBorder="1" applyAlignment="1">
      <alignment horizontal="left"/>
    </xf>
    <xf numFmtId="1" fontId="10" fillId="7" borderId="10" xfId="3" applyNumberFormat="1" applyFont="1" applyFill="1" applyBorder="1" applyAlignment="1">
      <alignment horizontal="center" vertical="center"/>
    </xf>
    <xf numFmtId="165" fontId="10" fillId="7" borderId="39" xfId="3" applyFont="1" applyFill="1" applyBorder="1" applyAlignment="1">
      <alignment horizontal="center" vertical="center"/>
    </xf>
    <xf numFmtId="165" fontId="10" fillId="7" borderId="18" xfId="3" applyFont="1" applyFill="1" applyBorder="1" applyAlignment="1">
      <alignment horizontal="center" vertical="center"/>
    </xf>
    <xf numFmtId="1" fontId="10" fillId="7" borderId="1" xfId="3" applyNumberFormat="1" applyFont="1" applyFill="1" applyBorder="1" applyAlignment="1">
      <alignment horizontal="center" vertical="center"/>
    </xf>
    <xf numFmtId="165" fontId="10" fillId="7" borderId="1" xfId="3" applyFont="1" applyFill="1" applyBorder="1" applyAlignment="1">
      <alignment horizontal="center" vertical="center"/>
    </xf>
    <xf numFmtId="165" fontId="10" fillId="7" borderId="31" xfId="3" applyFont="1" applyFill="1" applyBorder="1" applyAlignment="1">
      <alignment horizontal="center" vertical="center"/>
    </xf>
    <xf numFmtId="165" fontId="10" fillId="7" borderId="0" xfId="3" applyFont="1" applyFill="1" applyBorder="1" applyAlignment="1">
      <alignment vertical="center"/>
    </xf>
    <xf numFmtId="2" fontId="10" fillId="7" borderId="1" xfId="0" applyNumberFormat="1" applyFont="1" applyFill="1" applyBorder="1" applyAlignment="1">
      <alignment horizontal="center" vertical="center"/>
    </xf>
    <xf numFmtId="4" fontId="10" fillId="7" borderId="1" xfId="0" applyNumberFormat="1" applyFont="1" applyFill="1" applyBorder="1" applyAlignment="1">
      <alignment horizontal="center" vertical="center"/>
    </xf>
    <xf numFmtId="165" fontId="10" fillId="7" borderId="2" xfId="3" applyFont="1" applyFill="1" applyBorder="1" applyAlignment="1">
      <alignment horizontal="center" vertical="center"/>
    </xf>
    <xf numFmtId="165" fontId="5" fillId="7" borderId="2" xfId="3" applyFont="1" applyFill="1" applyBorder="1" applyAlignment="1">
      <alignment horizontal="center" vertical="center"/>
    </xf>
    <xf numFmtId="166" fontId="5" fillId="7" borderId="1" xfId="3" applyNumberFormat="1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4" fontId="10" fillId="7" borderId="1" xfId="3" applyNumberFormat="1" applyFont="1" applyFill="1" applyBorder="1" applyAlignment="1">
      <alignment horizontal="center" vertical="center"/>
    </xf>
    <xf numFmtId="165" fontId="10" fillId="7" borderId="20" xfId="3" applyFont="1" applyFill="1" applyBorder="1" applyAlignment="1">
      <alignment horizontal="center" vertical="center"/>
    </xf>
    <xf numFmtId="165" fontId="8" fillId="0" borderId="6" xfId="3" quotePrefix="1" applyFont="1" applyFill="1" applyBorder="1" applyAlignment="1">
      <alignment vertical="center"/>
    </xf>
    <xf numFmtId="165" fontId="10" fillId="0" borderId="0" xfId="3" applyFont="1" applyFill="1" applyBorder="1" applyAlignment="1">
      <alignment vertical="center"/>
    </xf>
    <xf numFmtId="10" fontId="19" fillId="7" borderId="18" xfId="0" applyNumberFormat="1" applyFont="1" applyFill="1" applyBorder="1" applyAlignment="1">
      <alignment horizontal="right" vertical="center"/>
    </xf>
    <xf numFmtId="10" fontId="9" fillId="7" borderId="55" xfId="4" applyNumberFormat="1" applyFont="1" applyFill="1" applyBorder="1" applyAlignment="1">
      <alignment horizontal="right"/>
    </xf>
    <xf numFmtId="10" fontId="9" fillId="7" borderId="10" xfId="0" applyNumberFormat="1" applyFont="1" applyFill="1" applyBorder="1" applyAlignment="1">
      <alignment horizontal="center" vertical="center"/>
    </xf>
    <xf numFmtId="10" fontId="9" fillId="7" borderId="18" xfId="0" applyNumberFormat="1" applyFont="1" applyFill="1" applyBorder="1" applyAlignment="1">
      <alignment horizontal="center" vertical="center"/>
    </xf>
    <xf numFmtId="10" fontId="11" fillId="7" borderId="18" xfId="0" applyNumberFormat="1" applyFont="1" applyFill="1" applyBorder="1" applyAlignment="1">
      <alignment horizontal="center" vertical="center"/>
    </xf>
    <xf numFmtId="10" fontId="9" fillId="7" borderId="32" xfId="0" applyNumberFormat="1" applyFont="1" applyFill="1" applyBorder="1" applyAlignment="1">
      <alignment horizontal="center" vertical="center"/>
    </xf>
    <xf numFmtId="10" fontId="9" fillId="0" borderId="63" xfId="8" applyNumberFormat="1" applyFont="1" applyFill="1" applyBorder="1"/>
    <xf numFmtId="10" fontId="19" fillId="0" borderId="18" xfId="0" applyNumberFormat="1" applyFont="1" applyBorder="1" applyAlignment="1">
      <alignment horizontal="right" vertical="center"/>
    </xf>
    <xf numFmtId="10" fontId="19" fillId="7" borderId="53" xfId="0" applyNumberFormat="1" applyFont="1" applyFill="1" applyBorder="1" applyAlignment="1">
      <alignment horizontal="right" vertical="center"/>
    </xf>
    <xf numFmtId="0" fontId="9" fillId="0" borderId="38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10" fontId="9" fillId="7" borderId="39" xfId="0" applyNumberFormat="1" applyFont="1" applyFill="1" applyBorder="1" applyAlignment="1">
      <alignment horizontal="center" vertical="center"/>
    </xf>
    <xf numFmtId="10" fontId="9" fillId="0" borderId="65" xfId="0" applyNumberFormat="1" applyFont="1" applyBorder="1" applyAlignment="1">
      <alignment horizontal="center" vertical="center"/>
    </xf>
    <xf numFmtId="10" fontId="9" fillId="0" borderId="64" xfId="0" applyNumberFormat="1" applyFont="1" applyBorder="1" applyAlignment="1">
      <alignment horizontal="center" vertical="center"/>
    </xf>
    <xf numFmtId="10" fontId="11" fillId="0" borderId="64" xfId="0" applyNumberFormat="1" applyFont="1" applyBorder="1" applyAlignment="1">
      <alignment horizontal="center" vertical="center"/>
    </xf>
    <xf numFmtId="10" fontId="9" fillId="7" borderId="64" xfId="0" applyNumberFormat="1" applyFont="1" applyFill="1" applyBorder="1" applyAlignment="1">
      <alignment horizontal="center" vertical="center"/>
    </xf>
    <xf numFmtId="10" fontId="9" fillId="0" borderId="50" xfId="0" applyNumberFormat="1" applyFont="1" applyBorder="1" applyAlignment="1">
      <alignment horizontal="center" vertical="center"/>
    </xf>
    <xf numFmtId="0" fontId="9" fillId="0" borderId="33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34" xfId="0" applyFont="1" applyBorder="1" applyAlignment="1">
      <alignment vertical="center"/>
    </xf>
    <xf numFmtId="0" fontId="11" fillId="2" borderId="14" xfId="0" applyFont="1" applyFill="1" applyBorder="1" applyAlignment="1">
      <alignment vertical="center" wrapText="1"/>
    </xf>
    <xf numFmtId="0" fontId="9" fillId="2" borderId="15" xfId="0" applyFont="1" applyFill="1" applyBorder="1" applyAlignment="1">
      <alignment vertical="center"/>
    </xf>
    <xf numFmtId="10" fontId="11" fillId="2" borderId="16" xfId="0" applyNumberFormat="1" applyFont="1" applyFill="1" applyBorder="1" applyAlignment="1">
      <alignment horizontal="center" vertical="center" wrapText="1"/>
    </xf>
    <xf numFmtId="10" fontId="9" fillId="0" borderId="40" xfId="0" applyNumberFormat="1" applyFont="1" applyBorder="1" applyAlignment="1">
      <alignment vertical="center"/>
    </xf>
    <xf numFmtId="0" fontId="9" fillId="0" borderId="42" xfId="0" applyFont="1" applyBorder="1" applyAlignment="1">
      <alignment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 wrapText="1"/>
    </xf>
    <xf numFmtId="10" fontId="11" fillId="2" borderId="4" xfId="0" applyNumberFormat="1" applyFont="1" applyFill="1" applyBorder="1" applyAlignment="1">
      <alignment horizontal="center" vertical="center" wrapText="1"/>
    </xf>
    <xf numFmtId="0" fontId="0" fillId="0" borderId="42" xfId="0" applyBorder="1"/>
    <xf numFmtId="10" fontId="9" fillId="0" borderId="66" xfId="0" applyNumberFormat="1" applyFont="1" applyBorder="1" applyAlignment="1">
      <alignment horizontal="center" vertical="center"/>
    </xf>
    <xf numFmtId="165" fontId="7" fillId="0" borderId="0" xfId="3" applyFont="1" applyAlignment="1">
      <alignment vertical="center"/>
    </xf>
    <xf numFmtId="1" fontId="10" fillId="0" borderId="27" xfId="3" applyNumberFormat="1" applyFont="1" applyBorder="1" applyAlignment="1">
      <alignment horizontal="center" vertical="center"/>
    </xf>
    <xf numFmtId="1" fontId="10" fillId="0" borderId="28" xfId="3" applyNumberFormat="1" applyFont="1" applyBorder="1" applyAlignment="1">
      <alignment horizontal="center" vertical="center"/>
    </xf>
    <xf numFmtId="165" fontId="10" fillId="7" borderId="32" xfId="3" applyFont="1" applyFill="1" applyBorder="1" applyAlignment="1">
      <alignment horizontal="center" vertical="center"/>
    </xf>
    <xf numFmtId="169" fontId="7" fillId="6" borderId="50" xfId="3" applyNumberFormat="1" applyFont="1" applyFill="1" applyBorder="1" applyAlignment="1">
      <alignment horizontal="center" vertical="center"/>
    </xf>
    <xf numFmtId="165" fontId="5" fillId="7" borderId="20" xfId="3" applyFont="1" applyFill="1" applyBorder="1" applyAlignment="1">
      <alignment horizontal="center" vertical="center"/>
    </xf>
    <xf numFmtId="168" fontId="7" fillId="5" borderId="5" xfId="0" applyNumberFormat="1" applyFont="1" applyFill="1" applyBorder="1" applyAlignment="1">
      <alignment vertical="center"/>
    </xf>
    <xf numFmtId="0" fontId="18" fillId="0" borderId="67" xfId="0" applyFont="1" applyBorder="1" applyAlignment="1">
      <alignment vertical="center"/>
    </xf>
    <xf numFmtId="0" fontId="5" fillId="0" borderId="44" xfId="0" applyFont="1" applyBorder="1" applyAlignment="1">
      <alignment horizontal="left" vertical="center"/>
    </xf>
    <xf numFmtId="0" fontId="0" fillId="0" borderId="57" xfId="0" applyBorder="1" applyAlignment="1">
      <alignment horizontal="left" vertical="center"/>
    </xf>
    <xf numFmtId="165" fontId="5" fillId="0" borderId="2" xfId="3" applyFont="1" applyFill="1" applyBorder="1" applyAlignment="1">
      <alignment horizontal="center" vertical="center"/>
    </xf>
    <xf numFmtId="166" fontId="5" fillId="0" borderId="1" xfId="3" applyNumberFormat="1" applyFont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3" fontId="5" fillId="7" borderId="1" xfId="0" applyNumberFormat="1" applyFont="1" applyFill="1" applyBorder="1" applyAlignment="1">
      <alignment horizontal="center" vertical="center"/>
    </xf>
    <xf numFmtId="166" fontId="5" fillId="0" borderId="1" xfId="3" applyNumberFormat="1" applyFont="1" applyFill="1" applyBorder="1" applyAlignment="1">
      <alignment horizontal="center" vertical="center"/>
    </xf>
    <xf numFmtId="165" fontId="5" fillId="7" borderId="0" xfId="3" applyFont="1" applyFill="1" applyAlignment="1">
      <alignment vertical="center"/>
    </xf>
    <xf numFmtId="10" fontId="7" fillId="0" borderId="16" xfId="2" applyNumberFormat="1" applyFont="1" applyBorder="1" applyAlignment="1">
      <alignment vertical="center"/>
    </xf>
    <xf numFmtId="10" fontId="7" fillId="0" borderId="16" xfId="2" applyNumberFormat="1" applyFont="1" applyFill="1" applyBorder="1" applyAlignment="1">
      <alignment vertical="center"/>
    </xf>
    <xf numFmtId="10" fontId="10" fillId="0" borderId="13" xfId="2" applyNumberFormat="1" applyFont="1" applyFill="1" applyBorder="1" applyAlignment="1">
      <alignment vertical="center"/>
    </xf>
    <xf numFmtId="10" fontId="7" fillId="0" borderId="13" xfId="2" applyNumberFormat="1" applyFont="1" applyFill="1" applyBorder="1" applyAlignment="1">
      <alignment vertical="center"/>
    </xf>
    <xf numFmtId="0" fontId="5" fillId="0" borderId="12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43" fontId="0" fillId="0" borderId="0" xfId="0" applyNumberFormat="1" applyAlignment="1">
      <alignment vertical="center"/>
    </xf>
    <xf numFmtId="0" fontId="5" fillId="0" borderId="0" xfId="4"/>
    <xf numFmtId="0" fontId="20" fillId="0" borderId="21" xfId="4" applyFont="1" applyBorder="1" applyAlignment="1">
      <alignment horizontal="center" vertical="center"/>
    </xf>
    <xf numFmtId="0" fontId="20" fillId="0" borderId="1" xfId="4" applyFont="1" applyBorder="1" applyAlignment="1">
      <alignment horizontal="center" vertical="center"/>
    </xf>
    <xf numFmtId="0" fontId="19" fillId="0" borderId="68" xfId="4" applyFont="1" applyBorder="1" applyAlignment="1">
      <alignment horizontal="center" vertical="center"/>
    </xf>
    <xf numFmtId="2" fontId="19" fillId="0" borderId="69" xfId="4" applyNumberFormat="1" applyFont="1" applyBorder="1" applyAlignment="1">
      <alignment horizontal="center" vertical="center"/>
    </xf>
    <xf numFmtId="0" fontId="19" fillId="0" borderId="70" xfId="4" applyFont="1" applyBorder="1" applyAlignment="1">
      <alignment horizontal="center" vertical="center"/>
    </xf>
    <xf numFmtId="2" fontId="19" fillId="0" borderId="71" xfId="4" applyNumberFormat="1" applyFont="1" applyBorder="1" applyAlignment="1">
      <alignment horizontal="center" vertical="center"/>
    </xf>
    <xf numFmtId="0" fontId="10" fillId="0" borderId="75" xfId="0" applyFont="1" applyBorder="1" applyAlignment="1">
      <alignment vertical="center"/>
    </xf>
    <xf numFmtId="0" fontId="10" fillId="0" borderId="74" xfId="0" applyFont="1" applyBorder="1" applyAlignment="1">
      <alignment vertical="center"/>
    </xf>
    <xf numFmtId="165" fontId="10" fillId="0" borderId="74" xfId="3" applyFont="1" applyBorder="1" applyAlignment="1">
      <alignment horizontal="right" vertical="center"/>
    </xf>
    <xf numFmtId="165" fontId="7" fillId="0" borderId="18" xfId="3" applyFont="1" applyBorder="1" applyAlignment="1">
      <alignment horizontal="center" vertical="center"/>
    </xf>
    <xf numFmtId="0" fontId="7" fillId="0" borderId="3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165" fontId="7" fillId="0" borderId="41" xfId="3" applyFont="1" applyFill="1" applyBorder="1" applyAlignment="1">
      <alignment horizontal="center" vertical="center"/>
    </xf>
    <xf numFmtId="0" fontId="20" fillId="0" borderId="72" xfId="4" applyFont="1" applyBorder="1" applyAlignment="1">
      <alignment horizontal="center" vertical="center"/>
    </xf>
    <xf numFmtId="2" fontId="20" fillId="0" borderId="73" xfId="4" applyNumberFormat="1" applyFont="1" applyBorder="1" applyAlignment="1">
      <alignment horizontal="center" vertical="center"/>
    </xf>
    <xf numFmtId="43" fontId="10" fillId="0" borderId="0" xfId="0" applyNumberFormat="1" applyFont="1" applyAlignment="1">
      <alignment vertical="center"/>
    </xf>
    <xf numFmtId="0" fontId="0" fillId="0" borderId="48" xfId="0" applyBorder="1" applyAlignment="1">
      <alignment horizontal="left" vertical="center"/>
    </xf>
    <xf numFmtId="171" fontId="10" fillId="0" borderId="1" xfId="0" applyNumberFormat="1" applyFont="1" applyBorder="1" applyAlignment="1">
      <alignment horizontal="center" vertical="center"/>
    </xf>
    <xf numFmtId="43" fontId="4" fillId="0" borderId="0" xfId="7" applyNumberFormat="1"/>
    <xf numFmtId="10" fontId="5" fillId="0" borderId="0" xfId="2" applyNumberFormat="1" applyFont="1"/>
    <xf numFmtId="43" fontId="5" fillId="0" borderId="0" xfId="0" applyNumberFormat="1" applyFont="1" applyAlignment="1">
      <alignment vertical="center"/>
    </xf>
    <xf numFmtId="165" fontId="1" fillId="0" borderId="0" xfId="3" applyFont="1" applyFill="1"/>
    <xf numFmtId="0" fontId="4" fillId="0" borderId="0" xfId="7"/>
    <xf numFmtId="165" fontId="30" fillId="0" borderId="0" xfId="3" applyFont="1" applyFill="1" applyAlignment="1">
      <alignment vertical="center"/>
    </xf>
    <xf numFmtId="0" fontId="5" fillId="0" borderId="21" xfId="0" applyFont="1" applyBorder="1" applyAlignment="1">
      <alignment vertical="center"/>
    </xf>
    <xf numFmtId="10" fontId="0" fillId="0" borderId="0" xfId="2" applyNumberFormat="1" applyFont="1" applyAlignment="1">
      <alignment vertical="center"/>
    </xf>
    <xf numFmtId="165" fontId="7" fillId="0" borderId="26" xfId="3" applyFont="1" applyBorder="1" applyAlignment="1">
      <alignment vertical="center"/>
    </xf>
    <xf numFmtId="10" fontId="7" fillId="0" borderId="7" xfId="2" applyNumberFormat="1" applyFont="1" applyFill="1" applyBorder="1" applyAlignment="1">
      <alignment vertical="center"/>
    </xf>
    <xf numFmtId="0" fontId="7" fillId="0" borderId="7" xfId="0" applyFont="1" applyBorder="1" applyAlignment="1">
      <alignment vertical="center"/>
    </xf>
    <xf numFmtId="169" fontId="5" fillId="0" borderId="49" xfId="3" applyNumberFormat="1" applyFont="1" applyBorder="1" applyAlignment="1">
      <alignment vertical="center"/>
    </xf>
    <xf numFmtId="0" fontId="5" fillId="0" borderId="49" xfId="0" applyFont="1" applyBorder="1" applyAlignment="1">
      <alignment vertical="center"/>
    </xf>
    <xf numFmtId="165" fontId="5" fillId="0" borderId="9" xfId="3" applyFont="1" applyFill="1" applyBorder="1" applyAlignment="1">
      <alignment horizontal="right" vertical="center"/>
    </xf>
    <xf numFmtId="165" fontId="0" fillId="0" borderId="0" xfId="3" applyFont="1" applyAlignment="1">
      <alignment vertical="center"/>
    </xf>
    <xf numFmtId="10" fontId="0" fillId="0" borderId="0" xfId="2" quotePrefix="1" applyNumberFormat="1" applyFont="1" applyAlignment="1">
      <alignment vertical="center"/>
    </xf>
    <xf numFmtId="0" fontId="0" fillId="0" borderId="13" xfId="0" applyBorder="1" applyAlignment="1">
      <alignment horizontal="left" vertical="center"/>
    </xf>
    <xf numFmtId="165" fontId="5" fillId="0" borderId="12" xfId="3" applyFont="1" applyBorder="1" applyAlignment="1">
      <alignment horizontal="left" vertical="center"/>
    </xf>
    <xf numFmtId="167" fontId="10" fillId="7" borderId="2" xfId="3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10" fontId="10" fillId="0" borderId="0" xfId="0" applyNumberFormat="1" applyFont="1" applyAlignment="1">
      <alignment vertical="center"/>
    </xf>
    <xf numFmtId="165" fontId="7" fillId="7" borderId="31" xfId="3" applyFont="1" applyFill="1" applyBorder="1" applyAlignment="1">
      <alignment horizontal="center" vertical="center"/>
    </xf>
    <xf numFmtId="168" fontId="5" fillId="0" borderId="21" xfId="0" applyNumberFormat="1" applyFont="1" applyBorder="1" applyAlignment="1">
      <alignment vertical="center"/>
    </xf>
    <xf numFmtId="0" fontId="5" fillId="0" borderId="12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14" fillId="6" borderId="5" xfId="0" applyFont="1" applyFill="1" applyBorder="1" applyAlignment="1">
      <alignment horizontal="left" vertical="center"/>
    </xf>
    <xf numFmtId="0" fontId="0" fillId="6" borderId="35" xfId="0" applyFill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165" fontId="7" fillId="5" borderId="5" xfId="3" applyFont="1" applyFill="1" applyBorder="1" applyAlignment="1">
      <alignment horizontal="center" vertical="center"/>
    </xf>
    <xf numFmtId="165" fontId="7" fillId="5" borderId="7" xfId="3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7" fillId="7" borderId="33" xfId="0" applyFont="1" applyFill="1" applyBorder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5" fillId="0" borderId="49" xfId="0" applyFont="1" applyBorder="1" applyAlignment="1">
      <alignment horizontal="left" vertical="center"/>
    </xf>
    <xf numFmtId="165" fontId="8" fillId="6" borderId="5" xfId="3" applyFont="1" applyFill="1" applyBorder="1" applyAlignment="1">
      <alignment horizontal="left" vertical="center"/>
    </xf>
    <xf numFmtId="165" fontId="8" fillId="6" borderId="6" xfId="3" applyFont="1" applyFill="1" applyBorder="1" applyAlignment="1">
      <alignment horizontal="left" vertical="center"/>
    </xf>
    <xf numFmtId="165" fontId="8" fillId="6" borderId="7" xfId="3" applyFont="1" applyFill="1" applyBorder="1" applyAlignment="1">
      <alignment horizontal="left" vertical="center"/>
    </xf>
    <xf numFmtId="0" fontId="26" fillId="0" borderId="5" xfId="4" applyFont="1" applyBorder="1" applyAlignment="1">
      <alignment horizontal="center" vertical="center" wrapText="1"/>
    </xf>
    <xf numFmtId="0" fontId="26" fillId="0" borderId="6" xfId="4" applyFont="1" applyBorder="1" applyAlignment="1">
      <alignment horizontal="center" vertical="center" wrapText="1"/>
    </xf>
    <xf numFmtId="0" fontId="26" fillId="0" borderId="7" xfId="4" applyFont="1" applyBorder="1" applyAlignment="1">
      <alignment horizontal="center" vertical="center" wrapText="1"/>
    </xf>
    <xf numFmtId="0" fontId="27" fillId="7" borderId="6" xfId="4" applyFont="1" applyFill="1" applyBorder="1" applyAlignment="1">
      <alignment horizontal="left" vertical="center"/>
    </xf>
    <xf numFmtId="0" fontId="27" fillId="7" borderId="35" xfId="4" applyFont="1" applyFill="1" applyBorder="1" applyAlignment="1">
      <alignment horizontal="left" vertical="center"/>
    </xf>
    <xf numFmtId="0" fontId="27" fillId="7" borderId="7" xfId="4" applyFont="1" applyFill="1" applyBorder="1" applyAlignment="1">
      <alignment horizontal="left" vertical="center"/>
    </xf>
    <xf numFmtId="165" fontId="7" fillId="0" borderId="5" xfId="3" applyFont="1" applyFill="1" applyBorder="1" applyAlignment="1">
      <alignment horizontal="center" vertical="center" wrapText="1"/>
    </xf>
    <xf numFmtId="165" fontId="7" fillId="0" borderId="7" xfId="3" applyFont="1" applyFill="1" applyBorder="1" applyAlignment="1">
      <alignment horizontal="center" vertical="center" wrapText="1"/>
    </xf>
    <xf numFmtId="170" fontId="18" fillId="0" borderId="6" xfId="0" applyNumberFormat="1" applyFont="1" applyBorder="1" applyAlignment="1">
      <alignment horizontal="left" vertical="center"/>
    </xf>
    <xf numFmtId="165" fontId="7" fillId="0" borderId="12" xfId="3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65" fontId="14" fillId="0" borderId="12" xfId="3" applyFont="1" applyBorder="1" applyAlignment="1">
      <alignment horizontal="left" vertical="center"/>
    </xf>
    <xf numFmtId="165" fontId="5" fillId="0" borderId="12" xfId="3" applyFont="1" applyBorder="1" applyAlignment="1">
      <alignment horizontal="left" vertical="center"/>
    </xf>
    <xf numFmtId="165" fontId="7" fillId="0" borderId="67" xfId="3" applyFont="1" applyBorder="1" applyAlignment="1">
      <alignment horizontal="center" vertical="center"/>
    </xf>
    <xf numFmtId="165" fontId="7" fillId="0" borderId="6" xfId="3" applyFont="1" applyBorder="1" applyAlignment="1">
      <alignment horizontal="center" vertical="center"/>
    </xf>
    <xf numFmtId="165" fontId="7" fillId="0" borderId="7" xfId="3" applyFont="1" applyBorder="1" applyAlignment="1">
      <alignment horizontal="center" vertical="center"/>
    </xf>
    <xf numFmtId="165" fontId="7" fillId="0" borderId="5" xfId="3" applyFont="1" applyFill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65" fontId="7" fillId="0" borderId="5" xfId="3" applyFont="1" applyBorder="1" applyAlignment="1">
      <alignment horizontal="left" vertical="center"/>
    </xf>
    <xf numFmtId="165" fontId="7" fillId="0" borderId="6" xfId="3" applyFont="1" applyBorder="1" applyAlignment="1">
      <alignment horizontal="left" vertical="center"/>
    </xf>
    <xf numFmtId="165" fontId="7" fillId="0" borderId="17" xfId="3" applyFont="1" applyBorder="1" applyAlignment="1">
      <alignment horizontal="left" vertical="center"/>
    </xf>
    <xf numFmtId="165" fontId="7" fillId="0" borderId="36" xfId="3" applyFont="1" applyBorder="1" applyAlignment="1">
      <alignment horizontal="left" vertical="center"/>
    </xf>
    <xf numFmtId="165" fontId="13" fillId="0" borderId="12" xfId="3" applyFont="1" applyBorder="1" applyAlignment="1">
      <alignment horizontal="left" vertical="center"/>
    </xf>
    <xf numFmtId="165" fontId="0" fillId="0" borderId="12" xfId="3" applyFont="1" applyBorder="1" applyAlignment="1">
      <alignment horizontal="left" vertical="center"/>
    </xf>
    <xf numFmtId="165" fontId="14" fillId="0" borderId="51" xfId="3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165" fontId="5" fillId="0" borderId="51" xfId="3" applyFont="1" applyFill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165" fontId="5" fillId="0" borderId="12" xfId="3" applyFont="1" applyFill="1" applyBorder="1" applyAlignment="1">
      <alignment horizontal="left" vertical="center"/>
    </xf>
    <xf numFmtId="165" fontId="5" fillId="0" borderId="17" xfId="3" applyFont="1" applyBorder="1" applyAlignment="1">
      <alignment horizontal="left" vertical="center"/>
    </xf>
    <xf numFmtId="0" fontId="0" fillId="0" borderId="60" xfId="0" applyBorder="1" applyAlignment="1">
      <alignment horizontal="left" vertical="center"/>
    </xf>
    <xf numFmtId="165" fontId="7" fillId="0" borderId="51" xfId="3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7" fillId="0" borderId="58" xfId="0" applyFont="1" applyBorder="1" applyAlignment="1">
      <alignment horizontal="left" vertical="center"/>
    </xf>
    <xf numFmtId="165" fontId="7" fillId="0" borderId="12" xfId="3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18" fillId="6" borderId="19" xfId="0" applyFont="1" applyFill="1" applyBorder="1" applyAlignment="1">
      <alignment horizontal="center" vertical="center"/>
    </xf>
    <xf numFmtId="0" fontId="18" fillId="6" borderId="20" xfId="0" applyFont="1" applyFill="1" applyBorder="1" applyAlignment="1">
      <alignment horizontal="center" vertical="center"/>
    </xf>
    <xf numFmtId="0" fontId="18" fillId="6" borderId="10" xfId="0" applyFont="1" applyFill="1" applyBorder="1" applyAlignment="1">
      <alignment horizontal="center" vertical="center"/>
    </xf>
    <xf numFmtId="0" fontId="18" fillId="6" borderId="38" xfId="0" applyFont="1" applyFill="1" applyBorder="1" applyAlignment="1">
      <alignment horizontal="center" vertical="center"/>
    </xf>
    <xf numFmtId="0" fontId="18" fillId="6" borderId="2" xfId="0" applyFont="1" applyFill="1" applyBorder="1" applyAlignment="1">
      <alignment horizontal="center" vertical="center"/>
    </xf>
    <xf numFmtId="0" fontId="18" fillId="6" borderId="39" xfId="0" applyFont="1" applyFill="1" applyBorder="1" applyAlignment="1">
      <alignment horizontal="center" vertical="center"/>
    </xf>
    <xf numFmtId="0" fontId="18" fillId="6" borderId="5" xfId="0" applyFont="1" applyFill="1" applyBorder="1" applyAlignment="1">
      <alignment horizontal="center" vertical="center"/>
    </xf>
    <xf numFmtId="0" fontId="18" fillId="6" borderId="6" xfId="0" applyFont="1" applyFill="1" applyBorder="1" applyAlignment="1">
      <alignment horizontal="center" vertical="center"/>
    </xf>
    <xf numFmtId="0" fontId="18" fillId="6" borderId="7" xfId="0" applyFont="1" applyFill="1" applyBorder="1" applyAlignment="1">
      <alignment horizontal="center" vertical="center"/>
    </xf>
    <xf numFmtId="4" fontId="25" fillId="0" borderId="5" xfId="0" applyNumberFormat="1" applyFont="1" applyBorder="1" applyAlignment="1">
      <alignment horizontal="center" vertical="center"/>
    </xf>
    <xf numFmtId="4" fontId="25" fillId="0" borderId="6" xfId="0" applyNumberFormat="1" applyFont="1" applyBorder="1" applyAlignment="1">
      <alignment horizontal="center" vertical="center"/>
    </xf>
    <xf numFmtId="4" fontId="25" fillId="0" borderId="7" xfId="0" applyNumberFormat="1" applyFont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left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8" fillId="0" borderId="1" xfId="4" applyFont="1" applyBorder="1" applyAlignment="1">
      <alignment horizontal="center" vertical="center"/>
    </xf>
  </cellXfs>
  <cellStyles count="14">
    <cellStyle name="Hiperlink" xfId="1" builtinId="8"/>
    <cellStyle name="Normal" xfId="0" builtinId="0"/>
    <cellStyle name="Normal 2" xfId="7" xr:uid="{00000000-0005-0000-0000-000002000000}"/>
    <cellStyle name="Normal 3" xfId="4" xr:uid="{00000000-0005-0000-0000-000003000000}"/>
    <cellStyle name="Normal 4" xfId="10" xr:uid="{00000000-0005-0000-0000-000004000000}"/>
    <cellStyle name="Normal 5" xfId="11" xr:uid="{00000000-0005-0000-0000-000005000000}"/>
    <cellStyle name="Porcentagem" xfId="2" builtinId="5"/>
    <cellStyle name="Porcentagem 2" xfId="8" xr:uid="{00000000-0005-0000-0000-000007000000}"/>
    <cellStyle name="Porcentagem 3" xfId="9" xr:uid="{00000000-0005-0000-0000-000008000000}"/>
    <cellStyle name="Porcentagem 4" xfId="13" xr:uid="{00000000-0005-0000-0000-000009000000}"/>
    <cellStyle name="Separador de milhares 3" xfId="5" xr:uid="{00000000-0005-0000-0000-00000A000000}"/>
    <cellStyle name="Vírgula" xfId="3" builtinId="3"/>
    <cellStyle name="Vírgula 2" xfId="6" xr:uid="{00000000-0005-0000-0000-00000C000000}"/>
    <cellStyle name="Vírgula 3" xfId="12" xr:uid="{00000000-0005-0000-0000-00000D000000}"/>
  </cellStyles>
  <dxfs count="0"/>
  <tableStyles count="0" defaultTableStyle="TableStyleMedium2" defaultPivotStyle="PivotStyleLight16"/>
  <colors>
    <mruColors>
      <color rgb="FFFFFF99"/>
      <color rgb="FF66FFFF"/>
      <color rgb="FF00FF00"/>
      <color rgb="FFFF66FF"/>
      <color rgb="FFFF3399"/>
      <color rgb="FFCCFFCC"/>
      <color rgb="FFFF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27"/>
  <sheetViews>
    <sheetView topLeftCell="A85" zoomScale="110" zoomScaleNormal="110" zoomScaleSheetLayoutView="110" workbookViewId="0">
      <selection activeCell="C42" sqref="C42"/>
    </sheetView>
  </sheetViews>
  <sheetFormatPr defaultColWidth="9.140625" defaultRowHeight="12.75" x14ac:dyDescent="0.2"/>
  <cols>
    <col min="1" max="1" width="17.85546875" style="4" customWidth="1"/>
    <col min="2" max="2" width="26.85546875" style="4" customWidth="1"/>
    <col min="3" max="3" width="14.14062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4.140625" style="5" bestFit="1" customWidth="1"/>
    <col min="8" max="8" width="8.28515625" style="5" customWidth="1"/>
    <col min="9" max="9" width="14.42578125" style="4" customWidth="1"/>
    <col min="10" max="11" width="10.5703125" style="4" bestFit="1" customWidth="1"/>
    <col min="12" max="16384" width="9.140625" style="4"/>
  </cols>
  <sheetData>
    <row r="1" spans="1:8" s="88" customFormat="1" ht="23.25" customHeight="1" thickBot="1" x14ac:dyDescent="0.25">
      <c r="A1" s="370" t="s">
        <v>184</v>
      </c>
      <c r="B1" s="371"/>
      <c r="C1" s="371"/>
      <c r="D1" s="371"/>
      <c r="E1" s="371"/>
      <c r="F1" s="371"/>
      <c r="G1" s="371"/>
      <c r="H1" s="372"/>
    </row>
    <row r="2" spans="1:8" s="2" customFormat="1" ht="15.75" customHeight="1" thickBot="1" x14ac:dyDescent="0.25">
      <c r="A2" s="215" t="s">
        <v>199</v>
      </c>
      <c r="B2" s="216"/>
      <c r="C2" s="252" t="s">
        <v>216</v>
      </c>
      <c r="D2" s="232"/>
      <c r="E2" s="232"/>
      <c r="F2" s="232"/>
      <c r="G2" s="232"/>
      <c r="H2" s="233"/>
    </row>
    <row r="3" spans="1:8" s="88" customFormat="1" ht="23.25" customHeight="1" thickBot="1" x14ac:dyDescent="0.25">
      <c r="A3" s="229" t="s">
        <v>96</v>
      </c>
      <c r="B3" s="236" t="s">
        <v>269</v>
      </c>
      <c r="C3" s="228" t="s">
        <v>222</v>
      </c>
      <c r="D3" s="373"/>
      <c r="E3" s="374"/>
      <c r="F3" s="228" t="s">
        <v>214</v>
      </c>
      <c r="G3" s="373"/>
      <c r="H3" s="375"/>
    </row>
    <row r="4" spans="1:8" s="3" customFormat="1" ht="18.75" thickBot="1" x14ac:dyDescent="0.3">
      <c r="A4" s="230" t="s">
        <v>228</v>
      </c>
      <c r="B4" s="378" t="s">
        <v>243</v>
      </c>
      <c r="C4" s="378"/>
      <c r="D4" s="293" t="s">
        <v>229</v>
      </c>
      <c r="E4" s="347" t="s">
        <v>268</v>
      </c>
      <c r="F4" s="200"/>
      <c r="G4" s="200"/>
      <c r="H4" s="201"/>
    </row>
    <row r="5" spans="1:8" s="2" customFormat="1" ht="10.9" customHeight="1" thickBot="1" x14ac:dyDescent="0.25">
      <c r="A5" s="202"/>
      <c r="B5" s="203"/>
      <c r="C5" s="204"/>
      <c r="D5" s="204"/>
      <c r="E5" s="205"/>
      <c r="F5" s="205"/>
      <c r="G5" s="205"/>
      <c r="H5" s="206"/>
    </row>
    <row r="6" spans="1:8" s="2" customFormat="1" ht="15.75" customHeight="1" thickBot="1" x14ac:dyDescent="0.25">
      <c r="A6" s="215" t="s">
        <v>200</v>
      </c>
      <c r="B6" s="216"/>
      <c r="C6" s="216"/>
      <c r="D6" s="216"/>
      <c r="E6" s="216"/>
      <c r="F6" s="216"/>
      <c r="G6" s="216"/>
      <c r="H6" s="217"/>
    </row>
    <row r="7" spans="1:8" s="2" customFormat="1" ht="16.5" thickBot="1" x14ac:dyDescent="0.25">
      <c r="A7" s="126" t="s">
        <v>119</v>
      </c>
      <c r="B7" s="126"/>
      <c r="C7" s="376" t="s">
        <v>109</v>
      </c>
      <c r="D7" s="377"/>
      <c r="E7" s="376" t="s">
        <v>110</v>
      </c>
      <c r="F7" s="377"/>
      <c r="G7" s="376" t="s">
        <v>113</v>
      </c>
      <c r="H7" s="377"/>
    </row>
    <row r="8" spans="1:8" s="2" customFormat="1" ht="28.5" customHeight="1" x14ac:dyDescent="0.2">
      <c r="A8" s="390" t="s">
        <v>85</v>
      </c>
      <c r="B8" s="391"/>
      <c r="C8" s="106" t="s">
        <v>111</v>
      </c>
      <c r="D8" s="22" t="s">
        <v>112</v>
      </c>
      <c r="E8" s="106" t="s">
        <v>111</v>
      </c>
      <c r="F8" s="22" t="s">
        <v>112</v>
      </c>
      <c r="G8" s="106" t="s">
        <v>111</v>
      </c>
      <c r="H8" s="22" t="s">
        <v>112</v>
      </c>
    </row>
    <row r="9" spans="1:8" s="6" customFormat="1" ht="15.75" customHeight="1" x14ac:dyDescent="0.2">
      <c r="A9" s="379" t="str">
        <f>A45</f>
        <v>1. Mão-de-obra</v>
      </c>
      <c r="B9" s="380"/>
      <c r="C9" s="102">
        <f>+G76</f>
        <v>475.04200000000003</v>
      </c>
      <c r="D9" s="37">
        <f>SUM(D10:D12)</f>
        <v>0.1013</v>
      </c>
      <c r="E9" s="102">
        <f>G76</f>
        <v>475.04200000000003</v>
      </c>
      <c r="F9" s="37">
        <f>SUM(F10:F12)</f>
        <v>0.10766901256072751</v>
      </c>
      <c r="G9" s="102">
        <f>G77</f>
        <v>389.44100000000003</v>
      </c>
      <c r="H9" s="37">
        <f>SUM(H10:H12)</f>
        <v>9.0500000000000011E-2</v>
      </c>
    </row>
    <row r="10" spans="1:8" s="2" customFormat="1" ht="15.75" customHeight="1" x14ac:dyDescent="0.2">
      <c r="A10" s="392" t="s">
        <v>223</v>
      </c>
      <c r="B10" s="380"/>
      <c r="C10" s="103">
        <f>G55</f>
        <v>386.43200000000002</v>
      </c>
      <c r="D10" s="26">
        <f>ROUND(IFERROR(C10/$C$25,0),4)</f>
        <v>8.2400000000000001E-2</v>
      </c>
      <c r="E10" s="103">
        <f t="shared" ref="E10:E21" si="0">C10</f>
        <v>386.43200000000002</v>
      </c>
      <c r="F10" s="26">
        <f>(IFERROR(E10/$E$25,0))</f>
        <v>8.7585417419653533E-2</v>
      </c>
      <c r="G10" s="103">
        <f>G61</f>
        <v>300.83100000000002</v>
      </c>
      <c r="H10" s="26">
        <f t="shared" ref="H10:H20" si="1">ROUND(IFERROR(G10/$G$25,0),4)</f>
        <v>6.9900000000000004E-2</v>
      </c>
    </row>
    <row r="11" spans="1:8" s="2" customFormat="1" ht="15.75" customHeight="1" x14ac:dyDescent="0.2">
      <c r="A11" s="393" t="str">
        <f>A63</f>
        <v>1.2. Vale Transporte</v>
      </c>
      <c r="B11" s="380"/>
      <c r="C11" s="103">
        <f>G68</f>
        <v>10.61</v>
      </c>
      <c r="D11" s="26">
        <f>ROUND(IFERROR(C11/$C$25,0),4)</f>
        <v>2.3E-3</v>
      </c>
      <c r="E11" s="103">
        <f t="shared" si="0"/>
        <v>10.61</v>
      </c>
      <c r="F11" s="26">
        <f>(IFERROR(E11/$E$25,0))</f>
        <v>2.404773100629668E-3</v>
      </c>
      <c r="G11" s="103">
        <f t="shared" ref="G11:G20" si="2">E11</f>
        <v>10.61</v>
      </c>
      <c r="H11" s="26">
        <f t="shared" si="1"/>
        <v>2.5000000000000001E-3</v>
      </c>
    </row>
    <row r="12" spans="1:8" s="2" customFormat="1" ht="15.75" customHeight="1" x14ac:dyDescent="0.2">
      <c r="A12" s="393" t="str">
        <f>A70</f>
        <v>1.3. Vale-refeição (diário)</v>
      </c>
      <c r="B12" s="380"/>
      <c r="C12" s="103">
        <f>G73</f>
        <v>78</v>
      </c>
      <c r="D12" s="26">
        <f>ROUND(IFERROR(C12/$C$25,0),4)</f>
        <v>1.66E-2</v>
      </c>
      <c r="E12" s="103">
        <f t="shared" si="0"/>
        <v>78</v>
      </c>
      <c r="F12" s="26">
        <f>(IFERROR(E12/$E$25,0))</f>
        <v>1.7678822040444308E-2</v>
      </c>
      <c r="G12" s="103">
        <f t="shared" si="2"/>
        <v>78</v>
      </c>
      <c r="H12" s="26">
        <f t="shared" si="1"/>
        <v>1.8100000000000002E-2</v>
      </c>
    </row>
    <row r="13" spans="1:8" s="6" customFormat="1" ht="15.75" customHeight="1" x14ac:dyDescent="0.2">
      <c r="A13" s="379" t="str">
        <f>A79</f>
        <v>2. Veículos</v>
      </c>
      <c r="B13" s="380"/>
      <c r="C13" s="102">
        <f>+G149</f>
        <v>2969.4166666666665</v>
      </c>
      <c r="D13" s="37">
        <f>SUM(D14:D20)</f>
        <v>0.63290000000000002</v>
      </c>
      <c r="E13" s="102">
        <f t="shared" si="0"/>
        <v>2969.4166666666665</v>
      </c>
      <c r="F13" s="37">
        <f>SUM(F14:F20)</f>
        <v>0.67302293351191467</v>
      </c>
      <c r="G13" s="102">
        <f t="shared" si="2"/>
        <v>2969.4166666666665</v>
      </c>
      <c r="H13" s="37">
        <f>SUM(H14:H20)</f>
        <v>0.68989999999999996</v>
      </c>
    </row>
    <row r="14" spans="1:8" s="2" customFormat="1" ht="15.75" customHeight="1" x14ac:dyDescent="0.2">
      <c r="A14" s="382" t="str">
        <f>A80</f>
        <v>2.1 Depreciação</v>
      </c>
      <c r="B14" s="380"/>
      <c r="C14" s="103">
        <f>G86</f>
        <v>0</v>
      </c>
      <c r="D14" s="43">
        <f t="shared" ref="D14:D22" si="3">ROUND(IFERROR(C14/$C$25,0),4)</f>
        <v>0</v>
      </c>
      <c r="E14" s="103">
        <f t="shared" si="0"/>
        <v>0</v>
      </c>
      <c r="F14" s="43">
        <f t="shared" ref="F14:F21" si="4">(IFERROR(E14/$E$25,0))</f>
        <v>0</v>
      </c>
      <c r="G14" s="103">
        <f t="shared" si="2"/>
        <v>0</v>
      </c>
      <c r="H14" s="26">
        <f t="shared" si="1"/>
        <v>0</v>
      </c>
    </row>
    <row r="15" spans="1:8" s="2" customFormat="1" ht="15.75" customHeight="1" x14ac:dyDescent="0.2">
      <c r="A15" s="382" t="str">
        <f>A88</f>
        <v>2.2 Remuneração do Capital</v>
      </c>
      <c r="B15" s="380"/>
      <c r="C15" s="103">
        <f>G97</f>
        <v>0</v>
      </c>
      <c r="D15" s="43">
        <f t="shared" si="3"/>
        <v>0</v>
      </c>
      <c r="E15" s="103">
        <f t="shared" si="0"/>
        <v>0</v>
      </c>
      <c r="F15" s="43">
        <f t="shared" si="4"/>
        <v>0</v>
      </c>
      <c r="G15" s="103">
        <f t="shared" si="2"/>
        <v>0</v>
      </c>
      <c r="H15" s="26">
        <f t="shared" si="1"/>
        <v>0</v>
      </c>
    </row>
    <row r="16" spans="1:8" s="2" customFormat="1" ht="15.75" customHeight="1" x14ac:dyDescent="0.2">
      <c r="A16" s="382" t="str">
        <f>A99</f>
        <v>2.3. Impostos e Seguros</v>
      </c>
      <c r="B16" s="380"/>
      <c r="C16" s="103">
        <f>G109</f>
        <v>1433.05</v>
      </c>
      <c r="D16" s="43">
        <f t="shared" si="3"/>
        <v>0.3054</v>
      </c>
      <c r="E16" s="103">
        <f t="shared" si="0"/>
        <v>1433.05</v>
      </c>
      <c r="F16" s="43">
        <f t="shared" si="4"/>
        <v>0.32480302468023997</v>
      </c>
      <c r="G16" s="103">
        <f t="shared" si="2"/>
        <v>1433.05</v>
      </c>
      <c r="H16" s="26">
        <f t="shared" si="1"/>
        <v>0.33300000000000002</v>
      </c>
    </row>
    <row r="17" spans="1:10" s="2" customFormat="1" ht="15.75" customHeight="1" x14ac:dyDescent="0.2">
      <c r="A17" s="382" t="str">
        <f>A111</f>
        <v>2.4. Consumos</v>
      </c>
      <c r="B17" s="380"/>
      <c r="C17" s="103">
        <f>G126</f>
        <v>664.2</v>
      </c>
      <c r="D17" s="43">
        <f t="shared" si="3"/>
        <v>0.1416</v>
      </c>
      <c r="E17" s="103">
        <f t="shared" si="0"/>
        <v>664.2</v>
      </c>
      <c r="F17" s="43">
        <f t="shared" si="4"/>
        <v>0.15054196922132193</v>
      </c>
      <c r="G17" s="103">
        <f t="shared" si="2"/>
        <v>664.2</v>
      </c>
      <c r="H17" s="26">
        <f t="shared" si="1"/>
        <v>0.15429999999999999</v>
      </c>
    </row>
    <row r="18" spans="1:10" s="2" customFormat="1" ht="15.75" customHeight="1" x14ac:dyDescent="0.2">
      <c r="A18" s="382" t="str">
        <f>A128</f>
        <v>2.5. Manutenção</v>
      </c>
      <c r="B18" s="380"/>
      <c r="C18" s="103">
        <f>G133</f>
        <v>719.7</v>
      </c>
      <c r="D18" s="304">
        <f t="shared" si="3"/>
        <v>0.15340000000000001</v>
      </c>
      <c r="E18" s="103">
        <f t="shared" si="0"/>
        <v>719.7</v>
      </c>
      <c r="F18" s="43">
        <f t="shared" si="4"/>
        <v>0.16312113105779191</v>
      </c>
      <c r="G18" s="103">
        <f t="shared" si="2"/>
        <v>719.7</v>
      </c>
      <c r="H18" s="26">
        <f t="shared" si="1"/>
        <v>0.16719999999999999</v>
      </c>
    </row>
    <row r="19" spans="1:10" s="2" customFormat="1" ht="15.75" customHeight="1" x14ac:dyDescent="0.2">
      <c r="A19" s="382" t="str">
        <f>A135</f>
        <v>2.6. Pneus</v>
      </c>
      <c r="B19" s="380"/>
      <c r="C19" s="103">
        <f>G141</f>
        <v>80.06</v>
      </c>
      <c r="D19" s="43">
        <f t="shared" si="3"/>
        <v>1.7100000000000001E-2</v>
      </c>
      <c r="E19" s="103">
        <f t="shared" si="0"/>
        <v>80.06</v>
      </c>
      <c r="F19" s="43">
        <f t="shared" si="4"/>
        <v>1.8145724263563735E-2</v>
      </c>
      <c r="G19" s="103">
        <f t="shared" si="2"/>
        <v>80.06</v>
      </c>
      <c r="H19" s="26">
        <f t="shared" si="1"/>
        <v>1.8599999999999998E-2</v>
      </c>
    </row>
    <row r="20" spans="1:10" s="2" customFormat="1" ht="15.75" customHeight="1" x14ac:dyDescent="0.2">
      <c r="A20" s="345" t="str">
        <f>A143</f>
        <v>2.7. Rastreador GPS</v>
      </c>
      <c r="B20" s="344"/>
      <c r="C20" s="103">
        <f>G147</f>
        <v>72.406666666666666</v>
      </c>
      <c r="D20" s="43">
        <f t="shared" si="3"/>
        <v>1.54E-2</v>
      </c>
      <c r="E20" s="103">
        <f t="shared" si="0"/>
        <v>72.406666666666666</v>
      </c>
      <c r="F20" s="43">
        <f t="shared" si="4"/>
        <v>1.6411084288997062E-2</v>
      </c>
      <c r="G20" s="103">
        <f t="shared" si="2"/>
        <v>72.406666666666666</v>
      </c>
      <c r="H20" s="26">
        <f t="shared" si="1"/>
        <v>1.6799999999999999E-2</v>
      </c>
    </row>
    <row r="21" spans="1:10" s="6" customFormat="1" ht="15.75" customHeight="1" x14ac:dyDescent="0.2">
      <c r="A21" s="379" t="str">
        <f>A151</f>
        <v>3. Ferramentas e Materiais de Consumo</v>
      </c>
      <c r="B21" s="380"/>
      <c r="C21" s="102">
        <f>+G159</f>
        <v>100.5</v>
      </c>
      <c r="D21" s="37">
        <f t="shared" si="3"/>
        <v>2.1399999999999999E-2</v>
      </c>
      <c r="E21" s="102">
        <f t="shared" si="0"/>
        <v>100.5</v>
      </c>
      <c r="F21" s="37">
        <f t="shared" si="4"/>
        <v>2.277848224441863E-2</v>
      </c>
      <c r="G21" s="102">
        <f>E21</f>
        <v>100.5</v>
      </c>
      <c r="H21" s="37">
        <f>ROUND(IFERROR(G21/$G$25,0),4)</f>
        <v>2.3400000000000001E-2</v>
      </c>
    </row>
    <row r="22" spans="1:10" s="6" customFormat="1" ht="15.75" customHeight="1" x14ac:dyDescent="0.2">
      <c r="A22" s="381" t="str">
        <f>A164</f>
        <v>4. Benefícios e Desp. Ind. - BDI - LUCRO REAL</v>
      </c>
      <c r="B22" s="380"/>
      <c r="C22" s="102">
        <f>+G169</f>
        <v>1146.79</v>
      </c>
      <c r="D22" s="37">
        <f t="shared" si="3"/>
        <v>0.24440000000000001</v>
      </c>
      <c r="E22" s="109"/>
      <c r="F22" s="105"/>
      <c r="G22" s="111"/>
      <c r="H22" s="108"/>
    </row>
    <row r="23" spans="1:10" s="6" customFormat="1" ht="15.75" customHeight="1" x14ac:dyDescent="0.2">
      <c r="A23" s="381" t="str">
        <f>A177</f>
        <v>5. Benefícios e Desp. Ind. - BDI - LUCRO PRESUMIDO</v>
      </c>
      <c r="B23" s="380"/>
      <c r="C23" s="111"/>
      <c r="D23" s="107"/>
      <c r="E23" s="102">
        <f>G183</f>
        <v>867.1</v>
      </c>
      <c r="F23" s="37">
        <f>(IFERROR(E23/$E$25,0))</f>
        <v>0.19652957168293925</v>
      </c>
      <c r="G23" s="111"/>
      <c r="H23" s="110"/>
    </row>
    <row r="24" spans="1:10" s="6" customFormat="1" ht="15.75" customHeight="1" thickBot="1" x14ac:dyDescent="0.25">
      <c r="A24" s="394" t="str">
        <f>A191</f>
        <v>6. Benef. Desp. Ind. + Impostos - SIMPLES NACIONAL</v>
      </c>
      <c r="B24" s="395"/>
      <c r="C24" s="112"/>
      <c r="D24" s="113"/>
      <c r="E24" s="114"/>
      <c r="F24" s="105"/>
      <c r="G24" s="115">
        <f>G194+G207</f>
        <v>843.8599999999999</v>
      </c>
      <c r="H24" s="104">
        <f>ROUND(IFERROR(G24/$G$25,0),4)</f>
        <v>0.1961</v>
      </c>
    </row>
    <row r="25" spans="1:10" s="2" customFormat="1" ht="15.75" customHeight="1" thickBot="1" x14ac:dyDescent="0.25">
      <c r="A25" s="388" t="s">
        <v>185</v>
      </c>
      <c r="B25" s="396"/>
      <c r="C25" s="125">
        <f>C9+C13+C21+C22</f>
        <v>4691.7486666666664</v>
      </c>
      <c r="D25" s="303">
        <f>D9+D13+D21+D22</f>
        <v>1</v>
      </c>
      <c r="E25" s="125">
        <f>E9+E13+E21+E23</f>
        <v>4412.0586666666668</v>
      </c>
      <c r="F25" s="302">
        <f>F9+F13+F21+F23</f>
        <v>1</v>
      </c>
      <c r="G25" s="292">
        <f>G9+G13+G21+G24</f>
        <v>4303.2176666666664</v>
      </c>
      <c r="H25" s="302">
        <f>H9+H13+H21+H24</f>
        <v>0.99990000000000001</v>
      </c>
      <c r="I25" s="342"/>
      <c r="J25" s="343"/>
    </row>
    <row r="26" spans="1:10" s="2" customFormat="1" ht="15.75" customHeight="1" thickBot="1" x14ac:dyDescent="0.25">
      <c r="A26" s="388" t="s">
        <v>186</v>
      </c>
      <c r="B26" s="396"/>
      <c r="C26" s="125">
        <f>G175</f>
        <v>5.8210281224152185</v>
      </c>
      <c r="D26" s="42"/>
      <c r="E26" s="125">
        <f>G189</f>
        <v>5.4740181968569068</v>
      </c>
      <c r="F26" s="42"/>
      <c r="G26" s="125">
        <f>G214</f>
        <v>5.3389837741759507</v>
      </c>
      <c r="H26" s="42"/>
      <c r="J26" s="335"/>
    </row>
    <row r="27" spans="1:10" ht="13.5" thickBot="1" x14ac:dyDescent="0.25">
      <c r="A27" s="116"/>
      <c r="B27" s="117"/>
      <c r="C27" s="117"/>
      <c r="D27" s="117"/>
      <c r="E27" s="118"/>
      <c r="F27" s="118"/>
      <c r="G27" s="128"/>
      <c r="H27" s="179"/>
    </row>
    <row r="28" spans="1:10" s="2" customFormat="1" ht="15" customHeight="1" thickBot="1" x14ac:dyDescent="0.25">
      <c r="A28" s="367" t="s">
        <v>215</v>
      </c>
      <c r="B28" s="368"/>
      <c r="C28" s="368"/>
      <c r="D28" s="368"/>
      <c r="E28" s="368"/>
      <c r="F28" s="368"/>
      <c r="G28" s="369"/>
      <c r="H28" s="180"/>
    </row>
    <row r="29" spans="1:10" s="2" customFormat="1" ht="15" customHeight="1" thickBot="1" x14ac:dyDescent="0.25">
      <c r="A29" s="388" t="s">
        <v>201</v>
      </c>
      <c r="B29" s="387"/>
      <c r="C29" s="14"/>
      <c r="D29" s="14"/>
      <c r="E29" s="166"/>
      <c r="F29" s="160" t="s">
        <v>20</v>
      </c>
      <c r="G29" s="160" t="s">
        <v>142</v>
      </c>
      <c r="H29" s="180"/>
    </row>
    <row r="30" spans="1:10" s="2" customFormat="1" ht="15" customHeight="1" x14ac:dyDescent="0.2">
      <c r="A30" s="401" t="s">
        <v>97</v>
      </c>
      <c r="B30" s="402"/>
      <c r="C30" s="158"/>
      <c r="D30" s="158"/>
      <c r="E30" s="159"/>
      <c r="F30" s="237">
        <v>1</v>
      </c>
      <c r="G30" s="238">
        <v>2265</v>
      </c>
      <c r="H30" s="181"/>
      <c r="I30" s="308"/>
      <c r="J30" s="308"/>
    </row>
    <row r="31" spans="1:10" s="2" customFormat="1" ht="15" customHeight="1" thickBot="1" x14ac:dyDescent="0.25">
      <c r="A31" s="403" t="s">
        <v>25</v>
      </c>
      <c r="B31" s="404"/>
      <c r="C31" s="28"/>
      <c r="D31" s="28"/>
      <c r="E31" s="29"/>
      <c r="F31" s="30">
        <f>SUM(F30:F30)</f>
        <v>1</v>
      </c>
      <c r="G31" s="157">
        <f>SUM(G30:G30)</f>
        <v>2265</v>
      </c>
      <c r="H31" s="181"/>
    </row>
    <row r="32" spans="1:10" s="2" customFormat="1" ht="15" customHeight="1" thickBot="1" x14ac:dyDescent="0.25">
      <c r="A32" s="38"/>
      <c r="B32" s="20"/>
      <c r="C32" s="39"/>
      <c r="D32" s="27"/>
      <c r="E32" s="17"/>
      <c r="F32" s="17"/>
      <c r="G32" s="18"/>
      <c r="H32" s="181"/>
    </row>
    <row r="33" spans="1:10" s="2" customFormat="1" ht="33" customHeight="1" x14ac:dyDescent="0.2">
      <c r="A33" s="399" t="s">
        <v>202</v>
      </c>
      <c r="B33" s="405"/>
      <c r="C33" s="168" t="s">
        <v>183</v>
      </c>
      <c r="D33" s="168" t="s">
        <v>248</v>
      </c>
      <c r="E33" s="168" t="s">
        <v>143</v>
      </c>
      <c r="F33" s="177" t="s">
        <v>20</v>
      </c>
      <c r="G33" s="163" t="s">
        <v>144</v>
      </c>
      <c r="H33" s="181"/>
    </row>
    <row r="34" spans="1:10" s="2" customFormat="1" ht="27" customHeight="1" x14ac:dyDescent="0.2">
      <c r="A34" s="406" t="s">
        <v>275</v>
      </c>
      <c r="B34" s="407"/>
      <c r="C34" s="240">
        <v>10</v>
      </c>
      <c r="D34" s="172">
        <f>1/C34</f>
        <v>0.1</v>
      </c>
      <c r="E34" s="240">
        <v>28</v>
      </c>
      <c r="F34" s="241">
        <v>1</v>
      </c>
      <c r="G34" s="239">
        <v>468912</v>
      </c>
      <c r="H34" s="181"/>
    </row>
    <row r="35" spans="1:10" s="2" customFormat="1" ht="15" customHeight="1" thickBot="1" x14ac:dyDescent="0.25">
      <c r="A35" s="397" t="s">
        <v>176</v>
      </c>
      <c r="B35" s="398"/>
      <c r="C35" s="170"/>
      <c r="D35" s="173"/>
      <c r="E35" s="169" t="s">
        <v>267</v>
      </c>
      <c r="F35" s="242">
        <v>7.5</v>
      </c>
      <c r="G35" s="289">
        <v>5.54</v>
      </c>
      <c r="H35" s="181"/>
    </row>
    <row r="36" spans="1:10" s="2" customFormat="1" ht="15" customHeight="1" thickBot="1" x14ac:dyDescent="0.25">
      <c r="A36" s="161"/>
      <c r="B36" s="195"/>
      <c r="C36" s="90"/>
      <c r="D36" s="90"/>
      <c r="E36" s="90"/>
      <c r="F36" s="287"/>
      <c r="G36" s="288"/>
      <c r="H36" s="181"/>
    </row>
    <row r="37" spans="1:10" s="2" customFormat="1" x14ac:dyDescent="0.2">
      <c r="A37" s="399" t="s">
        <v>203</v>
      </c>
      <c r="B37" s="357"/>
      <c r="C37" s="177" t="s">
        <v>27</v>
      </c>
      <c r="D37" s="168"/>
      <c r="E37" s="168"/>
      <c r="F37" s="177" t="s">
        <v>147</v>
      </c>
      <c r="G37" s="162" t="s">
        <v>148</v>
      </c>
      <c r="H37" s="190"/>
    </row>
    <row r="38" spans="1:10" s="2" customFormat="1" ht="15" customHeight="1" x14ac:dyDescent="0.2">
      <c r="A38" s="400" t="s">
        <v>145</v>
      </c>
      <c r="B38" s="352"/>
      <c r="C38" s="171" t="s">
        <v>140</v>
      </c>
      <c r="D38" s="172"/>
      <c r="E38" s="172"/>
      <c r="F38" s="241">
        <v>403</v>
      </c>
      <c r="G38" s="174">
        <f>F38*F39</f>
        <v>806</v>
      </c>
      <c r="H38" s="181"/>
      <c r="I38" s="308">
        <f>G38*12</f>
        <v>9672</v>
      </c>
      <c r="J38" s="308"/>
    </row>
    <row r="39" spans="1:10" s="2" customFormat="1" ht="15" customHeight="1" thickBot="1" x14ac:dyDescent="0.25">
      <c r="A39" s="397" t="s">
        <v>237</v>
      </c>
      <c r="B39" s="398"/>
      <c r="C39" s="169" t="s">
        <v>146</v>
      </c>
      <c r="D39" s="170"/>
      <c r="E39" s="170"/>
      <c r="F39" s="349">
        <v>2</v>
      </c>
      <c r="G39" s="167"/>
      <c r="H39" s="181"/>
    </row>
    <row r="40" spans="1:10" s="2" customFormat="1" ht="15" customHeight="1" thickBot="1" x14ac:dyDescent="0.25">
      <c r="A40" s="161"/>
      <c r="B40" s="195"/>
      <c r="C40" s="90"/>
      <c r="D40" s="90"/>
      <c r="E40" s="17"/>
      <c r="F40" s="164"/>
      <c r="G40" s="165"/>
      <c r="H40" s="181"/>
    </row>
    <row r="41" spans="1:10" s="2" customFormat="1" ht="15" customHeight="1" thickBot="1" x14ac:dyDescent="0.25">
      <c r="A41" s="336" t="s">
        <v>256</v>
      </c>
      <c r="B41" s="195"/>
      <c r="C41" s="177" t="s">
        <v>0</v>
      </c>
      <c r="D41" s="383" t="s">
        <v>257</v>
      </c>
      <c r="E41" s="384"/>
      <c r="F41" s="384"/>
      <c r="G41" s="385"/>
      <c r="H41" s="190"/>
    </row>
    <row r="42" spans="1:10" s="6" customFormat="1" ht="15.75" customHeight="1" thickBot="1" x14ac:dyDescent="0.25">
      <c r="A42" s="386" t="s">
        <v>258</v>
      </c>
      <c r="B42" s="387"/>
      <c r="C42" s="337">
        <f>100%/20*F39</f>
        <v>0.1</v>
      </c>
      <c r="D42" s="388" t="s">
        <v>260</v>
      </c>
      <c r="E42" s="389"/>
      <c r="F42" s="389"/>
      <c r="G42" s="338"/>
      <c r="H42" s="190"/>
      <c r="I42" s="2"/>
    </row>
    <row r="43" spans="1:10" s="2" customFormat="1" ht="15" customHeight="1" thickBot="1" x14ac:dyDescent="0.25">
      <c r="A43" s="161"/>
      <c r="B43" s="195"/>
      <c r="C43" s="90"/>
      <c r="D43" s="90"/>
      <c r="E43" s="17"/>
      <c r="F43" s="164"/>
      <c r="G43" s="165"/>
      <c r="H43" s="181"/>
    </row>
    <row r="44" spans="1:10" s="2" customFormat="1" ht="15" customHeight="1" thickBot="1" x14ac:dyDescent="0.25">
      <c r="A44" s="367" t="s">
        <v>204</v>
      </c>
      <c r="B44" s="368"/>
      <c r="C44" s="368"/>
      <c r="D44" s="368"/>
      <c r="E44" s="368"/>
      <c r="F44" s="368"/>
      <c r="G44" s="369"/>
      <c r="H44" s="180"/>
    </row>
    <row r="45" spans="1:10" ht="11.25" customHeight="1" x14ac:dyDescent="0.2">
      <c r="A45" s="97" t="s">
        <v>23</v>
      </c>
      <c r="B45" s="6"/>
      <c r="E45" s="27"/>
      <c r="F45" s="27"/>
      <c r="G45" s="40"/>
      <c r="H45" s="181"/>
    </row>
    <row r="46" spans="1:10" ht="13.5" thickBot="1" x14ac:dyDescent="0.25">
      <c r="A46" s="97" t="s">
        <v>224</v>
      </c>
      <c r="B46" s="6"/>
      <c r="E46" s="27"/>
      <c r="F46" s="27"/>
      <c r="G46" s="40"/>
      <c r="H46" s="181"/>
    </row>
    <row r="47" spans="1:10" s="7" customFormat="1" ht="13.15" customHeight="1" thickBot="1" x14ac:dyDescent="0.25">
      <c r="A47" s="354" t="s">
        <v>26</v>
      </c>
      <c r="B47" s="355"/>
      <c r="C47" s="218" t="s">
        <v>27</v>
      </c>
      <c r="D47" s="218" t="s">
        <v>20</v>
      </c>
      <c r="E47" s="219" t="s">
        <v>90</v>
      </c>
      <c r="F47" s="219" t="s">
        <v>28</v>
      </c>
      <c r="G47" s="220" t="s">
        <v>29</v>
      </c>
      <c r="H47" s="220" t="s">
        <v>141</v>
      </c>
    </row>
    <row r="48" spans="1:10" x14ac:dyDescent="0.2">
      <c r="A48" s="356" t="s">
        <v>126</v>
      </c>
      <c r="B48" s="357"/>
      <c r="C48" s="8" t="s">
        <v>5</v>
      </c>
      <c r="D48" s="8">
        <v>1</v>
      </c>
      <c r="E48" s="175">
        <f>G30</f>
        <v>2265</v>
      </c>
      <c r="F48" s="9">
        <f>D48*E48</f>
        <v>2265</v>
      </c>
      <c r="G48" s="129"/>
      <c r="H48" s="129"/>
    </row>
    <row r="49" spans="1:9" x14ac:dyDescent="0.2">
      <c r="A49" s="294" t="s">
        <v>251</v>
      </c>
      <c r="B49" s="326"/>
      <c r="C49" s="89" t="s">
        <v>252</v>
      </c>
      <c r="D49" s="327"/>
      <c r="E49" s="11">
        <f>(E48/220)*0.2</f>
        <v>2.0590909090909091</v>
      </c>
      <c r="F49" s="9">
        <f>D49*E49</f>
        <v>0</v>
      </c>
      <c r="G49" s="130"/>
      <c r="H49" s="40"/>
    </row>
    <row r="50" spans="1:9" s="155" customFormat="1" ht="13.15" customHeight="1" x14ac:dyDescent="0.2">
      <c r="A50" s="334" t="s">
        <v>254</v>
      </c>
      <c r="C50" s="89" t="s">
        <v>19</v>
      </c>
      <c r="D50" s="184"/>
      <c r="E50" s="184">
        <f>((D49/F39)*5)*(SUM(E49))</f>
        <v>0</v>
      </c>
      <c r="F50" s="184">
        <f>E50</f>
        <v>0</v>
      </c>
      <c r="G50" s="130"/>
      <c r="H50" s="40"/>
      <c r="I50" s="4"/>
    </row>
    <row r="51" spans="1:9" s="6" customFormat="1" x14ac:dyDescent="0.2">
      <c r="A51" s="353" t="s">
        <v>1</v>
      </c>
      <c r="B51" s="361"/>
      <c r="C51" s="91"/>
      <c r="D51" s="91"/>
      <c r="E51" s="19"/>
      <c r="F51" s="35">
        <f>SUM(F48:F50)</f>
        <v>2265</v>
      </c>
      <c r="G51" s="131"/>
      <c r="H51" s="181"/>
    </row>
    <row r="52" spans="1:9" x14ac:dyDescent="0.2">
      <c r="A52" s="364" t="s">
        <v>2</v>
      </c>
      <c r="B52" s="352"/>
      <c r="C52" s="10" t="s">
        <v>0</v>
      </c>
      <c r="D52" s="41">
        <f>'Enc. Soc. - LR-LP e SN'!C$28*100</f>
        <v>70.61</v>
      </c>
      <c r="E52" s="11">
        <f>F51</f>
        <v>2265</v>
      </c>
      <c r="F52" s="11">
        <f>ROUND(E52*D52/100,2)</f>
        <v>1599.32</v>
      </c>
      <c r="G52" s="130"/>
      <c r="H52" s="181"/>
      <c r="I52" s="6"/>
    </row>
    <row r="53" spans="1:9" s="6" customFormat="1" x14ac:dyDescent="0.2">
      <c r="A53" s="353" t="s">
        <v>91</v>
      </c>
      <c r="B53" s="361"/>
      <c r="C53" s="81"/>
      <c r="D53" s="81"/>
      <c r="E53" s="82"/>
      <c r="F53" s="35">
        <f>F51+F52</f>
        <v>3864.3199999999997</v>
      </c>
      <c r="G53" s="131"/>
      <c r="H53" s="181"/>
    </row>
    <row r="54" spans="1:9" ht="13.5" thickBot="1" x14ac:dyDescent="0.25">
      <c r="A54" s="364" t="s">
        <v>3</v>
      </c>
      <c r="B54" s="352"/>
      <c r="C54" s="10" t="s">
        <v>4</v>
      </c>
      <c r="D54" s="176">
        <f>F30</f>
        <v>1</v>
      </c>
      <c r="E54" s="11">
        <f>F53</f>
        <v>3864.3199999999997</v>
      </c>
      <c r="F54" s="11">
        <f>D54*E54</f>
        <v>3864.3199999999997</v>
      </c>
      <c r="G54" s="221">
        <f>F54</f>
        <v>3864.3199999999997</v>
      </c>
      <c r="H54" s="221">
        <f>G54/G$38</f>
        <v>4.7944416873449125</v>
      </c>
      <c r="I54" s="6"/>
    </row>
    <row r="55" spans="1:9" s="155" customFormat="1" ht="13.9" customHeight="1" thickBot="1" x14ac:dyDescent="0.25">
      <c r="A55" s="340"/>
      <c r="B55" s="198"/>
      <c r="C55" s="198"/>
      <c r="D55" s="198"/>
      <c r="E55" s="341" t="s">
        <v>261</v>
      </c>
      <c r="F55" s="339">
        <f>C42</f>
        <v>0.1</v>
      </c>
      <c r="G55" s="221">
        <f>F54*F55</f>
        <v>386.43200000000002</v>
      </c>
      <c r="H55" s="221">
        <f>G55/G$38</f>
        <v>0.47944416873449136</v>
      </c>
      <c r="I55" s="6"/>
    </row>
    <row r="56" spans="1:9" ht="11.25" customHeight="1" x14ac:dyDescent="0.2">
      <c r="A56" s="96"/>
      <c r="E56" s="27"/>
      <c r="F56" s="27"/>
      <c r="G56" s="128"/>
      <c r="H56" s="181"/>
      <c r="I56" s="6"/>
    </row>
    <row r="57" spans="1:9" ht="11.25" customHeight="1" x14ac:dyDescent="0.2">
      <c r="A57" s="97" t="s">
        <v>225</v>
      </c>
      <c r="B57" s="6"/>
      <c r="E57" s="27"/>
      <c r="F57" s="27"/>
      <c r="G57" s="40"/>
      <c r="H57" s="181"/>
      <c r="I57" s="6"/>
    </row>
    <row r="58" spans="1:9" ht="11.25" customHeight="1" x14ac:dyDescent="0.2">
      <c r="A58" s="366" t="s">
        <v>2</v>
      </c>
      <c r="B58" s="352"/>
      <c r="C58" s="89" t="s">
        <v>0</v>
      </c>
      <c r="D58" s="41">
        <f>'Enc. Soc. - LR-LP e SN'!C$38*100</f>
        <v>32.817279999999997</v>
      </c>
      <c r="E58" s="11">
        <f>F51</f>
        <v>2265</v>
      </c>
      <c r="F58" s="11">
        <f>ROUND(E58*D58/100,2)</f>
        <v>743.31</v>
      </c>
      <c r="G58" s="40"/>
      <c r="H58" s="181"/>
      <c r="I58" s="6"/>
    </row>
    <row r="59" spans="1:9" x14ac:dyDescent="0.2">
      <c r="A59" s="353" t="s">
        <v>91</v>
      </c>
      <c r="B59" s="361"/>
      <c r="C59" s="91"/>
      <c r="D59" s="91"/>
      <c r="E59" s="19"/>
      <c r="F59" s="36">
        <f>E58+F58</f>
        <v>3008.31</v>
      </c>
      <c r="G59" s="40"/>
      <c r="H59" s="181"/>
      <c r="I59" s="6"/>
    </row>
    <row r="60" spans="1:9" ht="12.75" customHeight="1" thickBot="1" x14ac:dyDescent="0.25">
      <c r="A60" s="364" t="s">
        <v>3</v>
      </c>
      <c r="B60" s="352"/>
      <c r="C60" s="10" t="s">
        <v>4</v>
      </c>
      <c r="D60" s="10">
        <f>D54</f>
        <v>1</v>
      </c>
      <c r="E60" s="11">
        <f>F59</f>
        <v>3008.31</v>
      </c>
      <c r="F60" s="11">
        <f>D60*E60</f>
        <v>3008.31</v>
      </c>
      <c r="G60" s="221">
        <f>F60</f>
        <v>3008.31</v>
      </c>
      <c r="H60" s="221">
        <f>G60/G$38</f>
        <v>3.732394540942928</v>
      </c>
      <c r="I60" s="6"/>
    </row>
    <row r="61" spans="1:9" s="155" customFormat="1" ht="13.9" customHeight="1" thickBot="1" x14ac:dyDescent="0.25">
      <c r="A61" s="340"/>
      <c r="B61" s="198"/>
      <c r="C61" s="198"/>
      <c r="D61" s="198"/>
      <c r="E61" s="341" t="s">
        <v>261</v>
      </c>
      <c r="F61" s="339">
        <f>F55</f>
        <v>0.1</v>
      </c>
      <c r="G61" s="221">
        <f>F60*F61</f>
        <v>300.83100000000002</v>
      </c>
      <c r="H61" s="221">
        <f>G61/G$38</f>
        <v>0.37323945409429282</v>
      </c>
      <c r="I61" s="6"/>
    </row>
    <row r="62" spans="1:9" ht="11.25" customHeight="1" x14ac:dyDescent="0.2">
      <c r="A62" s="96"/>
      <c r="E62" s="27"/>
      <c r="F62" s="27"/>
      <c r="G62" s="128"/>
      <c r="H62" s="181"/>
      <c r="I62" s="6"/>
    </row>
    <row r="63" spans="1:9" ht="13.5" thickBot="1" x14ac:dyDescent="0.25">
      <c r="A63" s="97" t="s">
        <v>226</v>
      </c>
      <c r="B63" s="6"/>
      <c r="C63" s="93"/>
      <c r="E63" s="4"/>
      <c r="F63" s="4"/>
      <c r="G63" s="40"/>
      <c r="H63" s="181"/>
    </row>
    <row r="64" spans="1:9" ht="13.5" thickBot="1" x14ac:dyDescent="0.25">
      <c r="A64" s="354" t="s">
        <v>26</v>
      </c>
      <c r="B64" s="355"/>
      <c r="C64" s="218" t="s">
        <v>27</v>
      </c>
      <c r="D64" s="218" t="s">
        <v>20</v>
      </c>
      <c r="E64" s="219" t="s">
        <v>90</v>
      </c>
      <c r="F64" s="219" t="s">
        <v>28</v>
      </c>
      <c r="G64" s="220" t="s">
        <v>29</v>
      </c>
      <c r="H64" s="220" t="s">
        <v>141</v>
      </c>
    </row>
    <row r="65" spans="1:9" x14ac:dyDescent="0.2">
      <c r="A65" s="365" t="s">
        <v>40</v>
      </c>
      <c r="B65" s="357"/>
      <c r="C65" s="10" t="s">
        <v>19</v>
      </c>
      <c r="D65" s="32">
        <v>1</v>
      </c>
      <c r="E65" s="243">
        <v>6.05</v>
      </c>
      <c r="F65" s="11"/>
      <c r="G65" s="129"/>
      <c r="H65" s="129"/>
    </row>
    <row r="66" spans="1:9" x14ac:dyDescent="0.2">
      <c r="A66" s="364" t="s">
        <v>41</v>
      </c>
      <c r="B66" s="352"/>
      <c r="C66" s="10" t="s">
        <v>42</v>
      </c>
      <c r="D66" s="21">
        <v>20</v>
      </c>
      <c r="E66" s="11"/>
      <c r="F66" s="11"/>
      <c r="G66" s="130"/>
      <c r="H66" s="181"/>
    </row>
    <row r="67" spans="1:9" ht="13.5" thickBot="1" x14ac:dyDescent="0.25">
      <c r="A67" s="351" t="s">
        <v>98</v>
      </c>
      <c r="B67" s="352"/>
      <c r="C67" s="8" t="s">
        <v>6</v>
      </c>
      <c r="D67" s="21">
        <f>D66*2*(F30)</f>
        <v>40</v>
      </c>
      <c r="E67" s="9">
        <f>IF(E65=0,"",IFERROR((($D$66*2*$E$65)-(F48*0.06*D66/D66))/($D$66*2),"-"))</f>
        <v>2.6524999999999999</v>
      </c>
      <c r="F67" s="9">
        <f>IFERROR(D67*E67,"-")</f>
        <v>106.1</v>
      </c>
      <c r="G67" s="221">
        <f>F67</f>
        <v>106.1</v>
      </c>
      <c r="H67" s="290">
        <f>G67/G$38</f>
        <v>0.13163771712158809</v>
      </c>
    </row>
    <row r="68" spans="1:9" s="155" customFormat="1" ht="13.9" customHeight="1" thickBot="1" x14ac:dyDescent="0.25">
      <c r="A68" s="340"/>
      <c r="B68" s="198"/>
      <c r="C68" s="198"/>
      <c r="D68" s="198"/>
      <c r="E68" s="341" t="s">
        <v>261</v>
      </c>
      <c r="F68" s="339">
        <f>F61</f>
        <v>0.1</v>
      </c>
      <c r="G68" s="221">
        <f>G67*F68</f>
        <v>10.61</v>
      </c>
      <c r="H68" s="221">
        <f>G68/G$38</f>
        <v>1.3163771712158809E-2</v>
      </c>
      <c r="I68" s="6"/>
    </row>
    <row r="69" spans="1:9" ht="11.25" customHeight="1" x14ac:dyDescent="0.2">
      <c r="A69" s="96"/>
      <c r="E69" s="27"/>
      <c r="F69" s="27"/>
      <c r="G69" s="128"/>
      <c r="H69" s="181"/>
    </row>
    <row r="70" spans="1:9" ht="13.5" thickBot="1" x14ac:dyDescent="0.25">
      <c r="A70" s="97" t="s">
        <v>227</v>
      </c>
      <c r="B70" s="6"/>
      <c r="E70" s="27"/>
      <c r="F70" s="27"/>
      <c r="G70" s="132"/>
      <c r="H70" s="181"/>
    </row>
    <row r="71" spans="1:9" ht="13.5" thickBot="1" x14ac:dyDescent="0.25">
      <c r="A71" s="222" t="s">
        <v>26</v>
      </c>
      <c r="B71" s="223"/>
      <c r="C71" s="218" t="s">
        <v>27</v>
      </c>
      <c r="D71" s="218" t="s">
        <v>20</v>
      </c>
      <c r="E71" s="219" t="s">
        <v>90</v>
      </c>
      <c r="F71" s="219" t="s">
        <v>28</v>
      </c>
      <c r="G71" s="220" t="s">
        <v>29</v>
      </c>
      <c r="H71" s="220" t="s">
        <v>141</v>
      </c>
    </row>
    <row r="72" spans="1:9" ht="13.5" thickBot="1" x14ac:dyDescent="0.25">
      <c r="A72" s="351" t="s">
        <v>231</v>
      </c>
      <c r="B72" s="352"/>
      <c r="C72" s="89" t="s">
        <v>7</v>
      </c>
      <c r="D72" s="33">
        <f>D66*(F30)</f>
        <v>20</v>
      </c>
      <c r="E72" s="241">
        <f>13+26</f>
        <v>39</v>
      </c>
      <c r="F72" s="23">
        <f>D72*E72</f>
        <v>780</v>
      </c>
      <c r="G72" s="221">
        <f>F72</f>
        <v>780</v>
      </c>
      <c r="H72" s="221">
        <f>G72/G$38</f>
        <v>0.967741935483871</v>
      </c>
    </row>
    <row r="73" spans="1:9" s="155" customFormat="1" ht="13.9" customHeight="1" thickBot="1" x14ac:dyDescent="0.25">
      <c r="A73" s="340"/>
      <c r="B73" s="198"/>
      <c r="C73" s="198"/>
      <c r="D73" s="198"/>
      <c r="E73" s="341" t="s">
        <v>261</v>
      </c>
      <c r="F73" s="339">
        <f>F68</f>
        <v>0.1</v>
      </c>
      <c r="G73" s="221">
        <f>F72*F73</f>
        <v>78</v>
      </c>
      <c r="H73" s="221">
        <f>G73/G$38</f>
        <v>9.6774193548387094E-2</v>
      </c>
      <c r="I73" s="6"/>
    </row>
    <row r="74" spans="1:9" x14ac:dyDescent="0.2">
      <c r="A74" s="96"/>
      <c r="E74" s="92"/>
      <c r="F74" s="92"/>
      <c r="G74" s="128"/>
      <c r="H74" s="181"/>
    </row>
    <row r="75" spans="1:9" ht="13.5" thickBot="1" x14ac:dyDescent="0.25">
      <c r="A75" s="96"/>
      <c r="E75" s="27"/>
      <c r="F75" s="27"/>
      <c r="G75" s="40"/>
      <c r="H75" s="181"/>
    </row>
    <row r="76" spans="1:9" ht="13.5" thickBot="1" x14ac:dyDescent="0.25">
      <c r="A76" s="12" t="s">
        <v>102</v>
      </c>
      <c r="B76" s="13"/>
      <c r="C76" s="13"/>
      <c r="D76" s="13"/>
      <c r="E76" s="14"/>
      <c r="F76" s="15"/>
      <c r="G76" s="224">
        <f>G55+G68+G73</f>
        <v>475.04200000000003</v>
      </c>
      <c r="H76" s="225">
        <f>G76/G$38</f>
        <v>0.58938213399503725</v>
      </c>
    </row>
    <row r="77" spans="1:9" ht="13.5" thickBot="1" x14ac:dyDescent="0.25">
      <c r="A77" s="12" t="s">
        <v>103</v>
      </c>
      <c r="B77" s="13"/>
      <c r="C77" s="13"/>
      <c r="D77" s="13"/>
      <c r="E77" s="14"/>
      <c r="F77" s="15"/>
      <c r="G77" s="226">
        <f>G61+G68+G73</f>
        <v>389.44100000000003</v>
      </c>
      <c r="H77" s="221">
        <f>G77/G$38</f>
        <v>0.48317741935483877</v>
      </c>
    </row>
    <row r="78" spans="1:9" x14ac:dyDescent="0.2">
      <c r="A78" s="96"/>
      <c r="E78" s="27"/>
      <c r="F78" s="27"/>
      <c r="G78" s="128"/>
      <c r="H78" s="181"/>
    </row>
    <row r="79" spans="1:9" x14ac:dyDescent="0.2">
      <c r="A79" s="97" t="s">
        <v>189</v>
      </c>
      <c r="B79" s="6"/>
      <c r="E79" s="27"/>
      <c r="F79" s="27"/>
      <c r="G79" s="40"/>
      <c r="H79" s="181"/>
    </row>
    <row r="80" spans="1:9" ht="13.5" thickBot="1" x14ac:dyDescent="0.25">
      <c r="A80" s="97" t="s">
        <v>190</v>
      </c>
      <c r="B80" s="6"/>
      <c r="E80" s="27"/>
      <c r="F80" s="27"/>
      <c r="G80" s="40"/>
      <c r="H80" s="181"/>
    </row>
    <row r="81" spans="1:8" ht="13.5" thickBot="1" x14ac:dyDescent="0.25">
      <c r="A81" s="222" t="s">
        <v>26</v>
      </c>
      <c r="B81" s="223"/>
      <c r="C81" s="218" t="s">
        <v>27</v>
      </c>
      <c r="D81" s="218" t="s">
        <v>20</v>
      </c>
      <c r="E81" s="219" t="s">
        <v>90</v>
      </c>
      <c r="F81" s="219" t="s">
        <v>28</v>
      </c>
      <c r="G81" s="220" t="s">
        <v>29</v>
      </c>
      <c r="H81" s="220" t="s">
        <v>141</v>
      </c>
    </row>
    <row r="82" spans="1:8" x14ac:dyDescent="0.2">
      <c r="A82" s="356" t="s">
        <v>124</v>
      </c>
      <c r="B82" s="357"/>
      <c r="C82" s="8" t="s">
        <v>7</v>
      </c>
      <c r="D82" s="8">
        <v>1</v>
      </c>
      <c r="E82" s="175">
        <f>G34</f>
        <v>468912</v>
      </c>
      <c r="F82" s="9">
        <f>D82*E82</f>
        <v>468912</v>
      </c>
      <c r="G82" s="129"/>
      <c r="H82" s="129"/>
    </row>
    <row r="83" spans="1:8" x14ac:dyDescent="0.2">
      <c r="A83" s="351" t="s">
        <v>132</v>
      </c>
      <c r="B83" s="352"/>
      <c r="C83" s="10" t="s">
        <v>43</v>
      </c>
      <c r="D83" s="176">
        <f>C34</f>
        <v>10</v>
      </c>
      <c r="E83" s="31"/>
      <c r="F83" s="11"/>
      <c r="G83" s="130"/>
      <c r="H83" s="181"/>
    </row>
    <row r="84" spans="1:8" x14ac:dyDescent="0.2">
      <c r="A84" s="351" t="s">
        <v>127</v>
      </c>
      <c r="B84" s="352"/>
      <c r="C84" s="10" t="s">
        <v>0</v>
      </c>
      <c r="D84" s="41"/>
      <c r="E84" s="184">
        <f>F82</f>
        <v>468912</v>
      </c>
      <c r="F84" s="184">
        <f>D84*E84/100</f>
        <v>0</v>
      </c>
      <c r="G84" s="130"/>
      <c r="H84" s="181"/>
    </row>
    <row r="85" spans="1:8" x14ac:dyDescent="0.2">
      <c r="A85" s="353" t="s">
        <v>133</v>
      </c>
      <c r="B85" s="352"/>
      <c r="C85" s="34" t="s">
        <v>5</v>
      </c>
      <c r="D85" s="34">
        <f>D83*12</f>
        <v>120</v>
      </c>
      <c r="E85" s="35">
        <f>F84</f>
        <v>0</v>
      </c>
      <c r="F85" s="35">
        <f>IFERROR(E85/D85,0)</f>
        <v>0</v>
      </c>
      <c r="G85" s="130"/>
      <c r="H85" s="181"/>
    </row>
    <row r="86" spans="1:8" ht="13.5" thickBot="1" x14ac:dyDescent="0.25">
      <c r="A86" s="353" t="s">
        <v>94</v>
      </c>
      <c r="B86" s="352"/>
      <c r="C86" s="148" t="s">
        <v>7</v>
      </c>
      <c r="D86" s="183">
        <f>F34</f>
        <v>1</v>
      </c>
      <c r="E86" s="149">
        <f>F85</f>
        <v>0</v>
      </c>
      <c r="F86" s="35">
        <f>D86*E86</f>
        <v>0</v>
      </c>
      <c r="G86" s="221">
        <f>F86</f>
        <v>0</v>
      </c>
      <c r="H86" s="221">
        <f>G86/G$38</f>
        <v>0</v>
      </c>
    </row>
    <row r="87" spans="1:8" x14ac:dyDescent="0.2">
      <c r="A87" s="100"/>
      <c r="B87" s="87"/>
      <c r="C87" s="87"/>
      <c r="D87" s="87"/>
      <c r="E87" s="92"/>
      <c r="F87" s="92"/>
      <c r="G87" s="128"/>
      <c r="H87" s="181"/>
    </row>
    <row r="88" spans="1:8" ht="13.5" thickBot="1" x14ac:dyDescent="0.25">
      <c r="A88" s="97" t="s">
        <v>191</v>
      </c>
      <c r="B88" s="6"/>
      <c r="E88" s="27"/>
      <c r="F88" s="253"/>
      <c r="G88" s="40"/>
      <c r="H88" s="181"/>
    </row>
    <row r="89" spans="1:8" ht="13.5" thickBot="1" x14ac:dyDescent="0.25">
      <c r="A89" s="354" t="s">
        <v>26</v>
      </c>
      <c r="B89" s="355"/>
      <c r="C89" s="218" t="s">
        <v>27</v>
      </c>
      <c r="D89" s="218" t="s">
        <v>20</v>
      </c>
      <c r="E89" s="219" t="s">
        <v>90</v>
      </c>
      <c r="F89" s="219" t="s">
        <v>28</v>
      </c>
      <c r="G89" s="220" t="s">
        <v>29</v>
      </c>
      <c r="H89" s="220" t="s">
        <v>141</v>
      </c>
    </row>
    <row r="90" spans="1:8" x14ac:dyDescent="0.2">
      <c r="A90" s="356" t="s">
        <v>134</v>
      </c>
      <c r="B90" s="357"/>
      <c r="C90" s="8" t="s">
        <v>7</v>
      </c>
      <c r="D90" s="8">
        <v>1</v>
      </c>
      <c r="E90" s="9">
        <f>E82</f>
        <v>468912</v>
      </c>
      <c r="F90" s="9">
        <f>D90*E90</f>
        <v>468912</v>
      </c>
      <c r="G90" s="134"/>
      <c r="H90" s="129"/>
    </row>
    <row r="91" spans="1:8" x14ac:dyDescent="0.2">
      <c r="A91" s="364" t="s">
        <v>86</v>
      </c>
      <c r="B91" s="352"/>
      <c r="C91" s="10" t="s">
        <v>0</v>
      </c>
      <c r="D91" s="244"/>
      <c r="E91" s="11"/>
      <c r="F91" s="11"/>
      <c r="G91" s="133"/>
      <c r="H91" s="181"/>
    </row>
    <row r="92" spans="1:8" x14ac:dyDescent="0.2">
      <c r="A92" s="351" t="s">
        <v>197</v>
      </c>
      <c r="B92" s="352"/>
      <c r="C92" s="10" t="s">
        <v>19</v>
      </c>
      <c r="D92" s="45">
        <f>F90</f>
        <v>468912</v>
      </c>
      <c r="E92" s="11"/>
      <c r="F92" s="11"/>
      <c r="G92" s="133"/>
      <c r="H92" s="181"/>
    </row>
    <row r="93" spans="1:8" x14ac:dyDescent="0.2">
      <c r="A93" s="351" t="s">
        <v>196</v>
      </c>
      <c r="B93" s="352"/>
      <c r="C93" s="10"/>
      <c r="D93" s="45">
        <f>F82-F84</f>
        <v>468912</v>
      </c>
      <c r="E93" s="11"/>
      <c r="F93" s="11"/>
      <c r="G93" s="133"/>
      <c r="H93" s="181"/>
    </row>
    <row r="94" spans="1:8" x14ac:dyDescent="0.2">
      <c r="A94" s="351" t="s">
        <v>188</v>
      </c>
      <c r="B94" s="352"/>
      <c r="C94" s="10" t="s">
        <v>19</v>
      </c>
      <c r="D94" s="31">
        <f>(D92-D93)*((D83+1)/(2*D83))+D93</f>
        <v>468912</v>
      </c>
      <c r="E94" s="11"/>
      <c r="F94" s="11"/>
      <c r="G94" s="133"/>
      <c r="H94" s="181"/>
    </row>
    <row r="95" spans="1:8" x14ac:dyDescent="0.2">
      <c r="A95" s="353" t="s">
        <v>135</v>
      </c>
      <c r="B95" s="352"/>
      <c r="C95" s="34" t="s">
        <v>19</v>
      </c>
      <c r="D95" s="34"/>
      <c r="E95" s="151">
        <f>ROUND(D91*D94/12/100,2)</f>
        <v>0</v>
      </c>
      <c r="F95" s="35">
        <f>E95</f>
        <v>0</v>
      </c>
      <c r="G95" s="133"/>
      <c r="H95" s="181"/>
    </row>
    <row r="96" spans="1:8" x14ac:dyDescent="0.2">
      <c r="A96" s="353" t="s">
        <v>136</v>
      </c>
      <c r="B96" s="361"/>
      <c r="C96" s="91"/>
      <c r="D96" s="91"/>
      <c r="E96" s="19"/>
      <c r="F96" s="150">
        <f>F95</f>
        <v>0</v>
      </c>
      <c r="G96" s="133"/>
      <c r="H96" s="181"/>
    </row>
    <row r="97" spans="1:8" ht="13.5" thickBot="1" x14ac:dyDescent="0.25">
      <c r="A97" s="353" t="s">
        <v>94</v>
      </c>
      <c r="B97" s="352"/>
      <c r="C97" s="34" t="s">
        <v>7</v>
      </c>
      <c r="D97" s="10">
        <f>D86</f>
        <v>1</v>
      </c>
      <c r="E97" s="35">
        <f>F96</f>
        <v>0</v>
      </c>
      <c r="F97" s="36">
        <f>D97*E97</f>
        <v>0</v>
      </c>
      <c r="G97" s="221">
        <f>F97</f>
        <v>0</v>
      </c>
      <c r="H97" s="221">
        <f>G97/G$38</f>
        <v>0</v>
      </c>
    </row>
    <row r="98" spans="1:8" x14ac:dyDescent="0.2">
      <c r="A98" s="96"/>
      <c r="D98" s="94"/>
      <c r="E98" s="92"/>
      <c r="F98" s="92"/>
      <c r="G98" s="128"/>
      <c r="H98" s="181"/>
    </row>
    <row r="99" spans="1:8" ht="13.5" thickBot="1" x14ac:dyDescent="0.25">
      <c r="A99" s="97" t="s">
        <v>192</v>
      </c>
      <c r="B99" s="6"/>
      <c r="E99" s="27"/>
      <c r="F99" s="27"/>
      <c r="G99" s="40"/>
      <c r="H99" s="181"/>
    </row>
    <row r="100" spans="1:8" ht="13.5" thickBot="1" x14ac:dyDescent="0.25">
      <c r="A100" s="354" t="s">
        <v>26</v>
      </c>
      <c r="B100" s="355"/>
      <c r="C100" s="218" t="s">
        <v>27</v>
      </c>
      <c r="D100" s="218" t="s">
        <v>20</v>
      </c>
      <c r="E100" s="219" t="s">
        <v>90</v>
      </c>
      <c r="F100" s="219" t="s">
        <v>28</v>
      </c>
      <c r="G100" s="220" t="s">
        <v>29</v>
      </c>
      <c r="H100" s="220" t="s">
        <v>141</v>
      </c>
    </row>
    <row r="101" spans="1:8" x14ac:dyDescent="0.2">
      <c r="A101" s="365" t="s">
        <v>8</v>
      </c>
      <c r="B101" s="357"/>
      <c r="C101" s="8" t="s">
        <v>7</v>
      </c>
      <c r="D101" s="9">
        <f>D86</f>
        <v>1</v>
      </c>
      <c r="E101" s="9">
        <f>0.01*($F$82)</f>
        <v>4689.12</v>
      </c>
      <c r="F101" s="9">
        <f t="shared" ref="F101:F108" si="5">D101*E101</f>
        <v>4689.12</v>
      </c>
      <c r="G101" s="129"/>
      <c r="H101" s="129"/>
    </row>
    <row r="102" spans="1:8" x14ac:dyDescent="0.2">
      <c r="A102" s="351" t="s">
        <v>232</v>
      </c>
      <c r="B102" s="352"/>
      <c r="C102" s="10" t="s">
        <v>7</v>
      </c>
      <c r="D102" s="9">
        <f>D86</f>
        <v>1</v>
      </c>
      <c r="E102" s="241">
        <v>160.22</v>
      </c>
      <c r="F102" s="11">
        <f t="shared" si="5"/>
        <v>160.22</v>
      </c>
      <c r="G102" s="130"/>
      <c r="H102" s="181"/>
    </row>
    <row r="103" spans="1:8" x14ac:dyDescent="0.2">
      <c r="A103" s="364" t="s">
        <v>9</v>
      </c>
      <c r="B103" s="352"/>
      <c r="C103" s="10" t="s">
        <v>7</v>
      </c>
      <c r="D103" s="9">
        <f>D86</f>
        <v>1</v>
      </c>
      <c r="E103" s="241">
        <v>1310.25</v>
      </c>
      <c r="F103" s="11">
        <f t="shared" si="5"/>
        <v>1310.25</v>
      </c>
      <c r="G103" s="135"/>
      <c r="H103" s="181"/>
    </row>
    <row r="104" spans="1:8" x14ac:dyDescent="0.2">
      <c r="A104" s="351" t="s">
        <v>249</v>
      </c>
      <c r="B104" s="352"/>
      <c r="C104" s="10" t="s">
        <v>7</v>
      </c>
      <c r="D104" s="9">
        <v>1</v>
      </c>
      <c r="E104" s="241">
        <v>1171.9000000000001</v>
      </c>
      <c r="F104" s="11">
        <f t="shared" si="5"/>
        <v>1171.9000000000001</v>
      </c>
      <c r="G104" s="135"/>
      <c r="H104" s="181"/>
    </row>
    <row r="105" spans="1:8" x14ac:dyDescent="0.2">
      <c r="A105" s="351" t="s">
        <v>255</v>
      </c>
      <c r="B105" s="352"/>
      <c r="C105" s="10" t="s">
        <v>7</v>
      </c>
      <c r="D105" s="9">
        <v>1</v>
      </c>
      <c r="E105" s="241">
        <v>540.09</v>
      </c>
      <c r="F105" s="11">
        <f t="shared" si="5"/>
        <v>540.09</v>
      </c>
      <c r="G105" s="135"/>
      <c r="H105" s="181"/>
    </row>
    <row r="106" spans="1:8" x14ac:dyDescent="0.2">
      <c r="A106" s="306" t="s">
        <v>244</v>
      </c>
      <c r="B106" s="307"/>
      <c r="C106" s="10" t="s">
        <v>7</v>
      </c>
      <c r="D106" s="9">
        <v>1</v>
      </c>
      <c r="E106" s="241">
        <v>400</v>
      </c>
      <c r="F106" s="11">
        <f t="shared" si="5"/>
        <v>400</v>
      </c>
      <c r="G106" s="135"/>
      <c r="H106" s="181"/>
    </row>
    <row r="107" spans="1:8" x14ac:dyDescent="0.2">
      <c r="A107" s="306" t="s">
        <v>266</v>
      </c>
      <c r="B107" s="307"/>
      <c r="C107" s="89" t="s">
        <v>7</v>
      </c>
      <c r="D107" s="9">
        <v>1</v>
      </c>
      <c r="E107" s="241">
        <f>370*2</f>
        <v>740</v>
      </c>
      <c r="F107" s="11">
        <f>E107*12</f>
        <v>8880</v>
      </c>
      <c r="G107" s="135"/>
      <c r="H107" s="181"/>
    </row>
    <row r="108" spans="1:8" x14ac:dyDescent="0.2">
      <c r="A108" s="351" t="s">
        <v>177</v>
      </c>
      <c r="B108" s="352"/>
      <c r="C108" s="10" t="s">
        <v>7</v>
      </c>
      <c r="D108" s="9">
        <v>1</v>
      </c>
      <c r="E108" s="241">
        <v>45</v>
      </c>
      <c r="F108" s="11">
        <f t="shared" si="5"/>
        <v>45</v>
      </c>
      <c r="G108" s="135"/>
      <c r="H108" s="181"/>
    </row>
    <row r="109" spans="1:8" ht="13.5" thickBot="1" x14ac:dyDescent="0.25">
      <c r="A109" s="353" t="s">
        <v>10</v>
      </c>
      <c r="B109" s="352"/>
      <c r="C109" s="34" t="s">
        <v>5</v>
      </c>
      <c r="D109" s="34">
        <v>12</v>
      </c>
      <c r="E109" s="35">
        <f>SUM(F101:F108)</f>
        <v>17196.580000000002</v>
      </c>
      <c r="F109" s="35">
        <f>ROUND(E109/D109,2)</f>
        <v>1433.05</v>
      </c>
      <c r="G109" s="221">
        <f>F109</f>
        <v>1433.05</v>
      </c>
      <c r="H109" s="221">
        <f>G109/G$38</f>
        <v>1.7779776674937964</v>
      </c>
    </row>
    <row r="110" spans="1:8" x14ac:dyDescent="0.2">
      <c r="A110" s="320"/>
      <c r="B110" s="321"/>
      <c r="C110" s="91"/>
      <c r="D110" s="91"/>
      <c r="E110" s="19"/>
      <c r="F110" s="19"/>
      <c r="G110" s="135"/>
      <c r="H110" s="181"/>
    </row>
    <row r="111" spans="1:8" x14ac:dyDescent="0.2">
      <c r="A111" s="97" t="s">
        <v>193</v>
      </c>
      <c r="B111" s="6"/>
      <c r="C111" s="95"/>
      <c r="E111" s="27"/>
      <c r="F111" s="27"/>
      <c r="G111" s="135"/>
      <c r="H111" s="181"/>
    </row>
    <row r="112" spans="1:8" ht="13.5" thickBot="1" x14ac:dyDescent="0.25">
      <c r="A112" s="99" t="s">
        <v>137</v>
      </c>
      <c r="B112" s="197"/>
      <c r="C112" s="178">
        <f>G38</f>
        <v>806</v>
      </c>
      <c r="E112" s="27"/>
      <c r="F112" s="27"/>
      <c r="G112" s="40"/>
      <c r="H112" s="181"/>
    </row>
    <row r="113" spans="1:8" ht="13.5" thickBot="1" x14ac:dyDescent="0.25">
      <c r="A113" s="354" t="s">
        <v>26</v>
      </c>
      <c r="B113" s="355"/>
      <c r="C113" s="218" t="s">
        <v>27</v>
      </c>
      <c r="D113" s="218" t="s">
        <v>93</v>
      </c>
      <c r="E113" s="219" t="s">
        <v>90</v>
      </c>
      <c r="F113" s="219" t="s">
        <v>28</v>
      </c>
      <c r="G113" s="220" t="s">
        <v>29</v>
      </c>
      <c r="H113" s="220" t="s">
        <v>141</v>
      </c>
    </row>
    <row r="114" spans="1:8" x14ac:dyDescent="0.2">
      <c r="A114" s="365" t="s">
        <v>11</v>
      </c>
      <c r="B114" s="357"/>
      <c r="C114" s="8" t="s">
        <v>12</v>
      </c>
      <c r="D114" s="175">
        <f>F35</f>
        <v>7.5</v>
      </c>
      <c r="E114" s="175">
        <f>G35</f>
        <v>5.54</v>
      </c>
      <c r="F114" s="9"/>
      <c r="G114" s="129"/>
      <c r="H114" s="129"/>
    </row>
    <row r="115" spans="1:8" x14ac:dyDescent="0.2">
      <c r="A115" s="351" t="s">
        <v>253</v>
      </c>
      <c r="B115" s="352"/>
      <c r="C115" s="10" t="s">
        <v>13</v>
      </c>
      <c r="D115" s="32">
        <f>C112</f>
        <v>806</v>
      </c>
      <c r="E115" s="86">
        <f>IFERROR(+E114/D114,"-")</f>
        <v>0.73866666666666669</v>
      </c>
      <c r="F115" s="11">
        <f>IFERROR(D115*E115,"-")</f>
        <v>595.36533333333341</v>
      </c>
      <c r="G115" s="130"/>
      <c r="H115" s="181"/>
    </row>
    <row r="116" spans="1:8" x14ac:dyDescent="0.2">
      <c r="A116" s="306" t="s">
        <v>263</v>
      </c>
      <c r="B116" s="307"/>
      <c r="C116" s="10" t="s">
        <v>12</v>
      </c>
      <c r="D116" s="241">
        <v>65</v>
      </c>
      <c r="E116" s="346">
        <v>4</v>
      </c>
      <c r="F116" s="11"/>
      <c r="G116" s="130"/>
      <c r="H116" s="181"/>
    </row>
    <row r="117" spans="1:8" x14ac:dyDescent="0.2">
      <c r="A117" s="306" t="s">
        <v>264</v>
      </c>
      <c r="B117" s="307"/>
      <c r="C117" s="10" t="s">
        <v>13</v>
      </c>
      <c r="D117" s="32">
        <f>C112</f>
        <v>806</v>
      </c>
      <c r="E117" s="86">
        <f>IFERROR(+E116/D116,"-")</f>
        <v>6.1538461538461542E-2</v>
      </c>
      <c r="F117" s="11">
        <f>IFERROR(D117*E117,"-")</f>
        <v>49.6</v>
      </c>
      <c r="G117" s="130"/>
      <c r="H117" s="181"/>
    </row>
    <row r="118" spans="1:8" x14ac:dyDescent="0.2">
      <c r="A118" s="351" t="s">
        <v>206</v>
      </c>
      <c r="B118" s="352"/>
      <c r="C118" s="89" t="s">
        <v>207</v>
      </c>
      <c r="D118" s="245">
        <v>10.5</v>
      </c>
      <c r="E118" s="241">
        <v>19.3</v>
      </c>
      <c r="F118" s="11"/>
      <c r="G118" s="130"/>
      <c r="H118" s="181"/>
    </row>
    <row r="119" spans="1:8" x14ac:dyDescent="0.2">
      <c r="A119" s="364" t="s">
        <v>14</v>
      </c>
      <c r="B119" s="352"/>
      <c r="C119" s="10" t="s">
        <v>13</v>
      </c>
      <c r="D119" s="32">
        <f>D115</f>
        <v>806</v>
      </c>
      <c r="E119" s="83">
        <f>+D118*E118/10000</f>
        <v>2.0265000000000002E-2</v>
      </c>
      <c r="F119" s="11">
        <f>D119*E119</f>
        <v>16.333590000000001</v>
      </c>
      <c r="G119" s="130"/>
      <c r="H119" s="181"/>
    </row>
    <row r="120" spans="1:8" x14ac:dyDescent="0.2">
      <c r="A120" s="351" t="s">
        <v>208</v>
      </c>
      <c r="B120" s="352"/>
      <c r="C120" s="89" t="s">
        <v>209</v>
      </c>
      <c r="D120" s="245">
        <v>4.5999999999999996</v>
      </c>
      <c r="E120" s="241">
        <v>22.8</v>
      </c>
      <c r="F120" s="11"/>
      <c r="G120" s="130"/>
      <c r="H120" s="181"/>
    </row>
    <row r="121" spans="1:8" x14ac:dyDescent="0.2">
      <c r="A121" s="364" t="s">
        <v>15</v>
      </c>
      <c r="B121" s="352"/>
      <c r="C121" s="10" t="s">
        <v>13</v>
      </c>
      <c r="D121" s="32">
        <f>D115</f>
        <v>806</v>
      </c>
      <c r="E121" s="214">
        <f>+D120*E120/100000</f>
        <v>1.0487999999999999E-3</v>
      </c>
      <c r="F121" s="11">
        <f>D121*E121</f>
        <v>0.84533279999999988</v>
      </c>
      <c r="G121" s="130"/>
      <c r="H121" s="181"/>
    </row>
    <row r="122" spans="1:8" x14ac:dyDescent="0.2">
      <c r="A122" s="351" t="s">
        <v>211</v>
      </c>
      <c r="B122" s="352"/>
      <c r="C122" s="89" t="s">
        <v>210</v>
      </c>
      <c r="D122" s="245">
        <v>1.7</v>
      </c>
      <c r="E122" s="241">
        <v>21.95</v>
      </c>
      <c r="F122" s="11"/>
      <c r="G122" s="130"/>
      <c r="H122" s="181"/>
    </row>
    <row r="123" spans="1:8" x14ac:dyDescent="0.2">
      <c r="A123" s="364" t="s">
        <v>16</v>
      </c>
      <c r="B123" s="352"/>
      <c r="C123" s="10" t="s">
        <v>13</v>
      </c>
      <c r="D123" s="32">
        <f>D115</f>
        <v>806</v>
      </c>
      <c r="E123" s="214">
        <f>+D122*E122/80000</f>
        <v>4.6643749999999995E-4</v>
      </c>
      <c r="F123" s="11">
        <f>D123*E123</f>
        <v>0.37594862499999998</v>
      </c>
      <c r="G123" s="130"/>
      <c r="H123" s="181"/>
    </row>
    <row r="124" spans="1:8" x14ac:dyDescent="0.2">
      <c r="A124" s="351" t="s">
        <v>213</v>
      </c>
      <c r="B124" s="352"/>
      <c r="C124" s="89" t="s">
        <v>212</v>
      </c>
      <c r="D124" s="245">
        <v>1</v>
      </c>
      <c r="E124" s="241">
        <v>20.9</v>
      </c>
      <c r="F124" s="11"/>
      <c r="G124" s="130"/>
      <c r="H124" s="181"/>
    </row>
    <row r="125" spans="1:8" x14ac:dyDescent="0.2">
      <c r="A125" s="364" t="s">
        <v>17</v>
      </c>
      <c r="B125" s="352"/>
      <c r="C125" s="10" t="s">
        <v>13</v>
      </c>
      <c r="D125" s="32">
        <f>D115</f>
        <v>806</v>
      </c>
      <c r="E125" s="83">
        <f>+D124*E124/10000</f>
        <v>2.0899999999999998E-3</v>
      </c>
      <c r="F125" s="11">
        <f>D125*E125</f>
        <v>1.6845399999999999</v>
      </c>
      <c r="G125" s="130"/>
      <c r="H125" s="181"/>
    </row>
    <row r="126" spans="1:8" ht="13.5" thickBot="1" x14ac:dyDescent="0.25">
      <c r="A126" s="353" t="s">
        <v>92</v>
      </c>
      <c r="B126" s="352"/>
      <c r="C126" s="34" t="s">
        <v>44</v>
      </c>
      <c r="D126" s="84"/>
      <c r="E126" s="85">
        <f>IFERROR(E115+E119+E121+E123+E125,0)</f>
        <v>0.76253690416666664</v>
      </c>
      <c r="F126" s="35">
        <f>ROUND(SUM(F114:F125),2)</f>
        <v>664.2</v>
      </c>
      <c r="G126" s="221">
        <f>F126</f>
        <v>664.2</v>
      </c>
      <c r="H126" s="221">
        <f>G126/G$38</f>
        <v>0.8240694789081886</v>
      </c>
    </row>
    <row r="127" spans="1:8" ht="11.25" customHeight="1" x14ac:dyDescent="0.2">
      <c r="A127" s="96"/>
      <c r="E127" s="27"/>
      <c r="F127" s="27"/>
      <c r="G127" s="128"/>
      <c r="H127" s="181"/>
    </row>
    <row r="128" spans="1:8" ht="13.5" thickBot="1" x14ac:dyDescent="0.25">
      <c r="A128" s="97" t="s">
        <v>194</v>
      </c>
      <c r="B128" s="6"/>
      <c r="E128" s="27"/>
      <c r="F128" s="27"/>
      <c r="G128" s="40"/>
      <c r="H128" s="181"/>
    </row>
    <row r="129" spans="1:10" ht="13.5" thickBot="1" x14ac:dyDescent="0.25">
      <c r="A129" s="354" t="s">
        <v>26</v>
      </c>
      <c r="B129" s="355"/>
      <c r="C129" s="218" t="s">
        <v>27</v>
      </c>
      <c r="D129" s="218" t="s">
        <v>20</v>
      </c>
      <c r="E129" s="219" t="s">
        <v>90</v>
      </c>
      <c r="F129" s="219" t="s">
        <v>28</v>
      </c>
      <c r="G129" s="220" t="s">
        <v>29</v>
      </c>
      <c r="H129" s="220" t="s">
        <v>141</v>
      </c>
    </row>
    <row r="130" spans="1:10" x14ac:dyDescent="0.2">
      <c r="A130" s="356" t="s">
        <v>169</v>
      </c>
      <c r="B130" s="357"/>
      <c r="C130" s="8" t="s">
        <v>44</v>
      </c>
      <c r="D130" s="32">
        <f>D115</f>
        <v>806</v>
      </c>
      <c r="E130" s="246">
        <v>0.35</v>
      </c>
      <c r="F130" s="9">
        <f>D130*E130</f>
        <v>282.09999999999997</v>
      </c>
      <c r="G130" s="129"/>
      <c r="H130" s="129"/>
    </row>
    <row r="131" spans="1:10" x14ac:dyDescent="0.2">
      <c r="A131" s="351" t="s">
        <v>128</v>
      </c>
      <c r="B131" s="352"/>
      <c r="C131" s="152" t="s">
        <v>129</v>
      </c>
      <c r="D131" s="248">
        <v>2</v>
      </c>
      <c r="E131" s="247">
        <v>150</v>
      </c>
      <c r="F131" s="153">
        <f>D131*E131</f>
        <v>300</v>
      </c>
      <c r="G131" s="40"/>
      <c r="H131" s="40"/>
    </row>
    <row r="132" spans="1:10" s="155" customFormat="1" x14ac:dyDescent="0.2">
      <c r="A132" s="351" t="s">
        <v>236</v>
      </c>
      <c r="B132" s="352"/>
      <c r="C132" s="152" t="s">
        <v>129</v>
      </c>
      <c r="D132" s="300">
        <f>F39*8</f>
        <v>16</v>
      </c>
      <c r="E132" s="301">
        <v>8.6</v>
      </c>
      <c r="F132" s="153">
        <f>D132*E132</f>
        <v>137.6</v>
      </c>
      <c r="G132" s="154"/>
      <c r="H132" s="182"/>
      <c r="I132" s="4"/>
      <c r="J132" s="155" t="s">
        <v>293</v>
      </c>
    </row>
    <row r="133" spans="1:10" s="155" customFormat="1" ht="13.5" thickBot="1" x14ac:dyDescent="0.25">
      <c r="A133" s="353" t="s">
        <v>130</v>
      </c>
      <c r="B133" s="352"/>
      <c r="C133" s="89" t="s">
        <v>131</v>
      </c>
      <c r="D133" s="156"/>
      <c r="E133" s="23"/>
      <c r="F133" s="149">
        <f>ROUND(SUM(F130:F132),2)</f>
        <v>719.7</v>
      </c>
      <c r="G133" s="221">
        <f>F133</f>
        <v>719.7</v>
      </c>
      <c r="H133" s="221">
        <f>G133/G$38</f>
        <v>0.89292803970223333</v>
      </c>
      <c r="I133" s="4"/>
      <c r="J133" s="155" t="s">
        <v>287</v>
      </c>
    </row>
    <row r="134" spans="1:10" ht="11.25" customHeight="1" x14ac:dyDescent="0.2">
      <c r="A134" s="96"/>
      <c r="E134" s="27"/>
      <c r="F134" s="27"/>
      <c r="G134" s="128"/>
      <c r="H134" s="181"/>
      <c r="J134" s="155" t="s">
        <v>288</v>
      </c>
    </row>
    <row r="135" spans="1:10" ht="13.5" thickBot="1" x14ac:dyDescent="0.25">
      <c r="A135" s="97" t="s">
        <v>195</v>
      </c>
      <c r="B135" s="6"/>
      <c r="E135" s="27"/>
      <c r="F135" s="27"/>
      <c r="G135" s="40"/>
      <c r="H135" s="181"/>
      <c r="J135" s="155" t="s">
        <v>289</v>
      </c>
    </row>
    <row r="136" spans="1:10" ht="13.5" thickBot="1" x14ac:dyDescent="0.25">
      <c r="A136" s="354" t="s">
        <v>26</v>
      </c>
      <c r="B136" s="355"/>
      <c r="C136" s="218" t="s">
        <v>27</v>
      </c>
      <c r="D136" s="218" t="s">
        <v>20</v>
      </c>
      <c r="E136" s="219" t="s">
        <v>90</v>
      </c>
      <c r="F136" s="219" t="s">
        <v>28</v>
      </c>
      <c r="G136" s="220" t="s">
        <v>29</v>
      </c>
      <c r="H136" s="220" t="s">
        <v>141</v>
      </c>
      <c r="J136" s="155" t="s">
        <v>290</v>
      </c>
    </row>
    <row r="137" spans="1:10" x14ac:dyDescent="0.2">
      <c r="A137" s="356" t="s">
        <v>262</v>
      </c>
      <c r="B137" s="357"/>
      <c r="C137" s="8" t="s">
        <v>7</v>
      </c>
      <c r="D137" s="249">
        <v>6</v>
      </c>
      <c r="E137" s="247">
        <v>745</v>
      </c>
      <c r="F137" s="9">
        <f>D137*E137</f>
        <v>4470</v>
      </c>
      <c r="G137" s="129"/>
      <c r="H137" s="129"/>
    </row>
    <row r="138" spans="1:10" x14ac:dyDescent="0.2">
      <c r="A138" s="294" t="s">
        <v>233</v>
      </c>
      <c r="B138" s="295"/>
      <c r="C138" s="152" t="s">
        <v>27</v>
      </c>
      <c r="D138" s="298">
        <v>0</v>
      </c>
      <c r="E138" s="296"/>
      <c r="F138" s="153"/>
      <c r="G138" s="130"/>
      <c r="H138" s="40"/>
    </row>
    <row r="139" spans="1:10" x14ac:dyDescent="0.2">
      <c r="A139" s="294" t="s">
        <v>234</v>
      </c>
      <c r="B139" s="295"/>
      <c r="C139" s="152" t="s">
        <v>27</v>
      </c>
      <c r="D139" s="153">
        <f>D137*D138</f>
        <v>0</v>
      </c>
      <c r="E139" s="247">
        <v>0</v>
      </c>
      <c r="F139" s="153">
        <f>D139*E139</f>
        <v>0</v>
      </c>
      <c r="G139" s="130"/>
      <c r="H139" s="40"/>
    </row>
    <row r="140" spans="1:10" x14ac:dyDescent="0.2">
      <c r="A140" s="351" t="s">
        <v>125</v>
      </c>
      <c r="B140" s="352"/>
      <c r="C140" s="10" t="s">
        <v>18</v>
      </c>
      <c r="D140" s="299">
        <v>45000</v>
      </c>
      <c r="E140" s="184">
        <f>F137+F139</f>
        <v>4470</v>
      </c>
      <c r="F140" s="184">
        <f>IFERROR(E140/D140,"-")</f>
        <v>9.9333333333333329E-2</v>
      </c>
      <c r="G140" s="130"/>
      <c r="H140" s="181"/>
    </row>
    <row r="141" spans="1:10" ht="13.5" thickBot="1" x14ac:dyDescent="0.25">
      <c r="A141" s="353" t="s">
        <v>24</v>
      </c>
      <c r="B141" s="352"/>
      <c r="C141" s="10" t="s">
        <v>13</v>
      </c>
      <c r="D141" s="297">
        <f>C112</f>
        <v>806</v>
      </c>
      <c r="E141" s="184">
        <f>F140</f>
        <v>9.9333333333333329E-2</v>
      </c>
      <c r="F141" s="184">
        <f>ROUND(D141*E141,2)</f>
        <v>80.06</v>
      </c>
      <c r="G141" s="221">
        <f>F141</f>
        <v>80.06</v>
      </c>
      <c r="H141" s="221">
        <f>G141/G$38</f>
        <v>9.9330024813895787E-2</v>
      </c>
    </row>
    <row r="142" spans="1:10" x14ac:dyDescent="0.2">
      <c r="A142" s="96"/>
      <c r="E142" s="235"/>
      <c r="F142" s="235"/>
      <c r="G142" s="128"/>
      <c r="H142" s="181"/>
    </row>
    <row r="143" spans="1:10" ht="13.5" thickBot="1" x14ac:dyDescent="0.25">
      <c r="A143" s="97" t="s">
        <v>245</v>
      </c>
      <c r="B143" s="6"/>
      <c r="E143" s="27"/>
      <c r="F143" s="27"/>
      <c r="G143" s="40"/>
      <c r="H143" s="181"/>
    </row>
    <row r="144" spans="1:10" ht="13.5" thickBot="1" x14ac:dyDescent="0.25">
      <c r="A144" s="354" t="s">
        <v>26</v>
      </c>
      <c r="B144" s="355"/>
      <c r="C144" s="218" t="s">
        <v>27</v>
      </c>
      <c r="D144" s="218" t="s">
        <v>20</v>
      </c>
      <c r="E144" s="219" t="s">
        <v>90</v>
      </c>
      <c r="F144" s="219" t="s">
        <v>28</v>
      </c>
      <c r="G144" s="220" t="s">
        <v>29</v>
      </c>
      <c r="H144" s="220" t="s">
        <v>141</v>
      </c>
    </row>
    <row r="145" spans="1:8" x14ac:dyDescent="0.2">
      <c r="A145" s="356" t="s">
        <v>250</v>
      </c>
      <c r="B145" s="357"/>
      <c r="C145" s="152" t="s">
        <v>142</v>
      </c>
      <c r="D145" s="298">
        <v>1</v>
      </c>
      <c r="E145" s="247">
        <f>149/12</f>
        <v>12.416666666666666</v>
      </c>
      <c r="F145" s="9">
        <f>D145*E145</f>
        <v>12.416666666666666</v>
      </c>
      <c r="G145" s="129"/>
      <c r="H145" s="129"/>
    </row>
    <row r="146" spans="1:8" x14ac:dyDescent="0.2">
      <c r="A146" s="294" t="s">
        <v>246</v>
      </c>
      <c r="B146" s="295"/>
      <c r="C146" s="152" t="s">
        <v>142</v>
      </c>
      <c r="D146" s="298">
        <v>1</v>
      </c>
      <c r="E146" s="247">
        <v>59.99</v>
      </c>
      <c r="F146" s="153">
        <f>D146*E146</f>
        <v>59.99</v>
      </c>
      <c r="G146" s="130"/>
      <c r="H146" s="40"/>
    </row>
    <row r="147" spans="1:8" ht="13.5" thickBot="1" x14ac:dyDescent="0.25">
      <c r="A147" s="353" t="s">
        <v>247</v>
      </c>
      <c r="B147" s="352"/>
      <c r="C147" s="10"/>
      <c r="D147" s="297"/>
      <c r="E147" s="184"/>
      <c r="F147" s="184"/>
      <c r="G147" s="221">
        <f>F145+F146</f>
        <v>72.406666666666666</v>
      </c>
      <c r="H147" s="221">
        <f>G147/G$38</f>
        <v>8.9834574028122421E-2</v>
      </c>
    </row>
    <row r="148" spans="1:8" ht="11.25" customHeight="1" thickBot="1" x14ac:dyDescent="0.25">
      <c r="A148" s="96"/>
      <c r="E148" s="27"/>
      <c r="F148" s="27"/>
      <c r="G148" s="40"/>
      <c r="H148" s="181"/>
    </row>
    <row r="149" spans="1:8" ht="13.5" thickBot="1" x14ac:dyDescent="0.25">
      <c r="A149" s="12" t="s">
        <v>138</v>
      </c>
      <c r="B149" s="13"/>
      <c r="C149" s="13"/>
      <c r="D149" s="13"/>
      <c r="E149" s="14"/>
      <c r="F149" s="15"/>
      <c r="G149" s="227">
        <f>+SUM(G82:G148)</f>
        <v>2969.4166666666665</v>
      </c>
      <c r="H149" s="221">
        <f>G149/G$38</f>
        <v>3.6841397849462365</v>
      </c>
    </row>
    <row r="150" spans="1:8" ht="11.25" customHeight="1" x14ac:dyDescent="0.2">
      <c r="A150" s="96"/>
      <c r="E150" s="27"/>
      <c r="F150" s="27"/>
      <c r="G150" s="128"/>
      <c r="H150" s="181"/>
    </row>
    <row r="151" spans="1:8" ht="13.5" thickBot="1" x14ac:dyDescent="0.25">
      <c r="A151" s="97" t="s">
        <v>149</v>
      </c>
      <c r="B151" s="6"/>
      <c r="C151" s="6"/>
      <c r="D151" s="6"/>
      <c r="E151" s="20"/>
      <c r="F151" s="20"/>
      <c r="G151" s="136"/>
      <c r="H151" s="181"/>
    </row>
    <row r="152" spans="1:8" ht="13.5" thickBot="1" x14ac:dyDescent="0.25">
      <c r="A152" s="354" t="s">
        <v>26</v>
      </c>
      <c r="B152" s="355"/>
      <c r="C152" s="218" t="s">
        <v>27</v>
      </c>
      <c r="D152" s="218" t="s">
        <v>20</v>
      </c>
      <c r="E152" s="219" t="s">
        <v>90</v>
      </c>
      <c r="F152" s="219" t="s">
        <v>28</v>
      </c>
      <c r="G152" s="220" t="s">
        <v>29</v>
      </c>
      <c r="H152" s="220" t="s">
        <v>141</v>
      </c>
    </row>
    <row r="153" spans="1:8" x14ac:dyDescent="0.2">
      <c r="A153" s="356" t="s">
        <v>171</v>
      </c>
      <c r="B153" s="357"/>
      <c r="C153" s="89" t="s">
        <v>170</v>
      </c>
      <c r="D153" s="250">
        <f>1/12</f>
        <v>8.3333333333333329E-2</v>
      </c>
      <c r="E153" s="247">
        <v>28</v>
      </c>
      <c r="F153" s="11">
        <f>D153*E153</f>
        <v>2.333333333333333</v>
      </c>
      <c r="G153" s="137"/>
      <c r="H153" s="129"/>
    </row>
    <row r="154" spans="1:8" x14ac:dyDescent="0.2">
      <c r="A154" s="351" t="s">
        <v>172</v>
      </c>
      <c r="B154" s="352"/>
      <c r="C154" s="89" t="s">
        <v>170</v>
      </c>
      <c r="D154" s="250">
        <f>3/12</f>
        <v>0.25</v>
      </c>
      <c r="E154" s="247">
        <v>19.899999999999999</v>
      </c>
      <c r="F154" s="11">
        <f>D154*E154</f>
        <v>4.9749999999999996</v>
      </c>
      <c r="G154" s="138"/>
      <c r="H154" s="181"/>
    </row>
    <row r="155" spans="1:8" x14ac:dyDescent="0.2">
      <c r="A155" s="351" t="s">
        <v>173</v>
      </c>
      <c r="B155" s="352"/>
      <c r="C155" s="89" t="s">
        <v>170</v>
      </c>
      <c r="D155" s="250">
        <f>2/12</f>
        <v>0.16666666666666666</v>
      </c>
      <c r="E155" s="247">
        <v>14.8</v>
      </c>
      <c r="F155" s="11">
        <f>D155*E155</f>
        <v>2.4666666666666668</v>
      </c>
      <c r="G155" s="138"/>
      <c r="H155" s="181"/>
    </row>
    <row r="156" spans="1:8" ht="13.5" thickBot="1" x14ac:dyDescent="0.25">
      <c r="A156" s="351" t="s">
        <v>174</v>
      </c>
      <c r="B156" s="352"/>
      <c r="C156" s="89" t="s">
        <v>187</v>
      </c>
      <c r="D156" s="250">
        <f>4</f>
        <v>4</v>
      </c>
      <c r="E156" s="247">
        <v>17.98</v>
      </c>
      <c r="F156" s="11">
        <f>D156*E156</f>
        <v>71.92</v>
      </c>
      <c r="G156" s="138"/>
      <c r="H156" s="181"/>
    </row>
    <row r="157" spans="1:8" ht="13.5" thickBot="1" x14ac:dyDescent="0.25">
      <c r="A157" s="351" t="s">
        <v>175</v>
      </c>
      <c r="B157" s="352"/>
      <c r="C157" s="89" t="s">
        <v>170</v>
      </c>
      <c r="D157" s="250">
        <v>4</v>
      </c>
      <c r="E157" s="247">
        <v>4.7</v>
      </c>
      <c r="F157" s="11">
        <f t="shared" ref="F157" si="6">D157*E157</f>
        <v>18.8</v>
      </c>
      <c r="G157" s="225">
        <f>ROUND(SUM(F153:F157),2)</f>
        <v>100.5</v>
      </c>
      <c r="H157" s="225">
        <f>G157/G$38</f>
        <v>0.12468982630272953</v>
      </c>
    </row>
    <row r="158" spans="1:8" ht="13.5" thickBot="1" x14ac:dyDescent="0.25">
      <c r="A158" s="97"/>
      <c r="B158" s="6"/>
      <c r="C158" s="6"/>
      <c r="D158" s="6"/>
      <c r="E158" s="234"/>
      <c r="F158" s="234"/>
      <c r="G158" s="4"/>
      <c r="H158" s="4"/>
    </row>
    <row r="159" spans="1:8" ht="13.5" thickBot="1" x14ac:dyDescent="0.25">
      <c r="A159" s="12" t="s">
        <v>89</v>
      </c>
      <c r="B159" s="13"/>
      <c r="C159" s="13"/>
      <c r="D159" s="13"/>
      <c r="E159" s="14"/>
      <c r="F159" s="15"/>
      <c r="G159" s="227">
        <f>+G157</f>
        <v>100.5</v>
      </c>
      <c r="H159" s="227">
        <f>G159/G$38</f>
        <v>0.12468982630272953</v>
      </c>
    </row>
    <row r="160" spans="1:8" ht="11.25" customHeight="1" thickBot="1" x14ac:dyDescent="0.25">
      <c r="A160" s="96"/>
      <c r="E160" s="27"/>
      <c r="F160" s="27"/>
      <c r="G160" s="128"/>
      <c r="H160" s="128"/>
    </row>
    <row r="161" spans="1:8" ht="17.25" customHeight="1" thickBot="1" x14ac:dyDescent="0.25">
      <c r="A161" s="12" t="s">
        <v>122</v>
      </c>
      <c r="B161" s="13"/>
      <c r="C161" s="16"/>
      <c r="D161" s="16"/>
      <c r="E161" s="17"/>
      <c r="F161" s="18"/>
      <c r="G161" s="224">
        <f>+G76+G149+G159</f>
        <v>3544.9586666666664</v>
      </c>
      <c r="H161" s="224">
        <f>G161/G$38</f>
        <v>4.3982117452440033</v>
      </c>
    </row>
    <row r="162" spans="1:8" ht="17.25" customHeight="1" thickBot="1" x14ac:dyDescent="0.25">
      <c r="A162" s="12" t="s">
        <v>123</v>
      </c>
      <c r="B162" s="13"/>
      <c r="C162" s="16"/>
      <c r="D162" s="16"/>
      <c r="E162" s="17"/>
      <c r="F162" s="18"/>
      <c r="G162" s="226">
        <f>+G77+G149+G159</f>
        <v>3459.3576666666668</v>
      </c>
      <c r="H162" s="226">
        <f>G162/G$38</f>
        <v>4.2920070306038047</v>
      </c>
    </row>
    <row r="163" spans="1:8" ht="11.25" customHeight="1" x14ac:dyDescent="0.2">
      <c r="A163" s="96"/>
      <c r="E163" s="27"/>
      <c r="F163" s="27"/>
      <c r="G163" s="128"/>
      <c r="H163" s="128"/>
    </row>
    <row r="164" spans="1:8" ht="13.5" thickBot="1" x14ac:dyDescent="0.25">
      <c r="A164" s="97" t="s">
        <v>150</v>
      </c>
      <c r="B164" s="6"/>
      <c r="E164" s="27"/>
      <c r="F164" s="27"/>
      <c r="G164" s="40"/>
      <c r="H164" s="40"/>
    </row>
    <row r="165" spans="1:8" ht="13.5" thickBot="1" x14ac:dyDescent="0.25">
      <c r="A165" s="354" t="s">
        <v>26</v>
      </c>
      <c r="B165" s="355"/>
      <c r="C165" s="218" t="s">
        <v>27</v>
      </c>
      <c r="D165" s="218" t="s">
        <v>20</v>
      </c>
      <c r="E165" s="219" t="s">
        <v>90</v>
      </c>
      <c r="F165" s="219" t="s">
        <v>28</v>
      </c>
      <c r="G165" s="220" t="s">
        <v>29</v>
      </c>
      <c r="H165" s="220" t="s">
        <v>141</v>
      </c>
    </row>
    <row r="166" spans="1:8" ht="13.5" thickBot="1" x14ac:dyDescent="0.25">
      <c r="A166" s="356" t="s">
        <v>151</v>
      </c>
      <c r="B166" s="357"/>
      <c r="C166" s="8" t="s">
        <v>0</v>
      </c>
      <c r="D166" s="41">
        <f>BDI!E11*100</f>
        <v>32.35</v>
      </c>
      <c r="E166" s="9">
        <f>+G161</f>
        <v>3544.9586666666664</v>
      </c>
      <c r="F166" s="9">
        <f>ROUND(D166*E166/100,2)</f>
        <v>1146.79</v>
      </c>
      <c r="G166" s="227">
        <f>+F166</f>
        <v>1146.79</v>
      </c>
      <c r="H166" s="227">
        <f>G166/G$38</f>
        <v>1.4228163771712159</v>
      </c>
    </row>
    <row r="167" spans="1:8" x14ac:dyDescent="0.2">
      <c r="A167" s="96"/>
      <c r="E167" s="27"/>
      <c r="F167" s="27"/>
      <c r="G167" s="128"/>
      <c r="H167" s="128"/>
    </row>
    <row r="168" spans="1:8" ht="11.25" customHeight="1" thickBot="1" x14ac:dyDescent="0.25">
      <c r="A168" s="96"/>
      <c r="E168" s="27"/>
      <c r="F168" s="27"/>
      <c r="G168" s="40"/>
      <c r="H168" s="40"/>
    </row>
    <row r="169" spans="1:8" ht="13.5" thickBot="1" x14ac:dyDescent="0.25">
      <c r="A169" s="12" t="s">
        <v>152</v>
      </c>
      <c r="B169" s="13"/>
      <c r="C169" s="16"/>
      <c r="D169" s="16"/>
      <c r="E169" s="17"/>
      <c r="F169" s="18"/>
      <c r="G169" s="226">
        <f>G166</f>
        <v>1146.79</v>
      </c>
      <c r="H169" s="226">
        <f>G169/G$38</f>
        <v>1.4228163771712159</v>
      </c>
    </row>
    <row r="170" spans="1:8" ht="13.5" thickBot="1" x14ac:dyDescent="0.25">
      <c r="A170" s="97"/>
      <c r="B170" s="6"/>
      <c r="C170" s="6"/>
      <c r="D170" s="6"/>
      <c r="E170" s="20"/>
      <c r="F170" s="20"/>
      <c r="G170" s="139"/>
      <c r="H170" s="139"/>
    </row>
    <row r="171" spans="1:8" ht="24.75" customHeight="1" thickBot="1" x14ac:dyDescent="0.25">
      <c r="A171" s="12" t="s">
        <v>153</v>
      </c>
      <c r="B171" s="13"/>
      <c r="C171" s="16"/>
      <c r="D171" s="16"/>
      <c r="E171" s="17"/>
      <c r="F171" s="18"/>
      <c r="G171" s="189">
        <f>G161+G169</f>
        <v>4691.7486666666664</v>
      </c>
      <c r="H171" s="226">
        <f>G171/G$38</f>
        <v>5.8210281224152185</v>
      </c>
    </row>
    <row r="172" spans="1:8" ht="12.6" customHeight="1" x14ac:dyDescent="0.2">
      <c r="A172" s="101"/>
      <c r="B172" s="24"/>
      <c r="C172" s="24"/>
      <c r="D172" s="24"/>
      <c r="E172" s="25"/>
      <c r="F172" s="25"/>
      <c r="G172" s="140"/>
      <c r="H172" s="140"/>
    </row>
    <row r="173" spans="1:8" ht="16.149999999999999" customHeight="1" x14ac:dyDescent="0.2">
      <c r="A173" s="351" t="s">
        <v>154</v>
      </c>
      <c r="B173" s="361"/>
      <c r="C173" s="79"/>
      <c r="D173" s="79"/>
      <c r="E173" s="147">
        <f>C112</f>
        <v>806</v>
      </c>
      <c r="F173" s="146" t="s">
        <v>140</v>
      </c>
      <c r="G173" s="40"/>
      <c r="H173" s="40"/>
    </row>
    <row r="174" spans="1:8" ht="13.5" thickBot="1" x14ac:dyDescent="0.25">
      <c r="A174" s="96"/>
      <c r="E174" s="27"/>
      <c r="F174" s="27"/>
      <c r="G174" s="40"/>
      <c r="H174" s="40"/>
    </row>
    <row r="175" spans="1:8" ht="25.5" customHeight="1" thickBot="1" x14ac:dyDescent="0.25">
      <c r="A175" s="12" t="s">
        <v>155</v>
      </c>
      <c r="B175" s="13"/>
      <c r="C175" s="13"/>
      <c r="D175" s="13"/>
      <c r="E175" s="14"/>
      <c r="F175" s="145" t="s">
        <v>141</v>
      </c>
      <c r="G175" s="358">
        <f>IFERROR(G171/E173,"-")</f>
        <v>5.8210281224152185</v>
      </c>
      <c r="H175" s="359"/>
    </row>
    <row r="176" spans="1:8" ht="12.6" customHeight="1" x14ac:dyDescent="0.2">
      <c r="A176" s="97"/>
      <c r="B176" s="6"/>
      <c r="C176" s="6"/>
      <c r="D176" s="6"/>
      <c r="E176" s="20"/>
      <c r="F176" s="20"/>
      <c r="G176" s="141"/>
      <c r="H176" s="141"/>
    </row>
    <row r="177" spans="1:8" x14ac:dyDescent="0.2">
      <c r="A177" s="97" t="s">
        <v>156</v>
      </c>
      <c r="B177" s="6"/>
      <c r="E177" s="27"/>
      <c r="F177" s="27"/>
      <c r="G177" s="40"/>
      <c r="H177" s="40"/>
    </row>
    <row r="178" spans="1:8" ht="11.25" customHeight="1" thickBot="1" x14ac:dyDescent="0.25">
      <c r="A178" s="96"/>
      <c r="E178" s="27"/>
      <c r="F178" s="27"/>
      <c r="G178" s="40"/>
      <c r="H178" s="40"/>
    </row>
    <row r="179" spans="1:8" ht="13.5" thickBot="1" x14ac:dyDescent="0.25">
      <c r="A179" s="222" t="s">
        <v>26</v>
      </c>
      <c r="B179" s="223"/>
      <c r="C179" s="218" t="s">
        <v>27</v>
      </c>
      <c r="D179" s="218" t="s">
        <v>20</v>
      </c>
      <c r="E179" s="219" t="s">
        <v>90</v>
      </c>
      <c r="F179" s="219" t="s">
        <v>28</v>
      </c>
      <c r="G179" s="220" t="s">
        <v>29</v>
      </c>
      <c r="H179" s="220" t="s">
        <v>141</v>
      </c>
    </row>
    <row r="180" spans="1:8" ht="13.5" thickBot="1" x14ac:dyDescent="0.25">
      <c r="A180" s="356" t="s">
        <v>139</v>
      </c>
      <c r="B180" s="357"/>
      <c r="C180" s="8" t="s">
        <v>0</v>
      </c>
      <c r="D180" s="41">
        <f>BDI!E$24*100</f>
        <v>24.46</v>
      </c>
      <c r="E180" s="9">
        <f>G161</f>
        <v>3544.9586666666664</v>
      </c>
      <c r="F180" s="9">
        <f>ROUND(D180*E180/100,2)</f>
        <v>867.1</v>
      </c>
      <c r="G180" s="227">
        <f>+F180</f>
        <v>867.1</v>
      </c>
      <c r="H180" s="227">
        <f>G180/G$38</f>
        <v>1.0758064516129033</v>
      </c>
    </row>
    <row r="181" spans="1:8" x14ac:dyDescent="0.2">
      <c r="A181" s="96"/>
      <c r="E181" s="27"/>
      <c r="F181" s="27"/>
      <c r="G181" s="141"/>
      <c r="H181" s="141"/>
    </row>
    <row r="182" spans="1:8" ht="11.25" customHeight="1" thickBot="1" x14ac:dyDescent="0.25">
      <c r="A182" s="96"/>
      <c r="E182" s="27"/>
      <c r="F182" s="27"/>
      <c r="G182" s="40"/>
      <c r="H182" s="40"/>
    </row>
    <row r="183" spans="1:8" ht="13.5" thickBot="1" x14ac:dyDescent="0.25">
      <c r="A183" s="12" t="s">
        <v>157</v>
      </c>
      <c r="B183" s="13"/>
      <c r="C183" s="16"/>
      <c r="D183" s="16"/>
      <c r="E183" s="17"/>
      <c r="F183" s="18"/>
      <c r="G183" s="226">
        <f>G180</f>
        <v>867.1</v>
      </c>
      <c r="H183" s="226">
        <f>G183/G$38</f>
        <v>1.0758064516129033</v>
      </c>
    </row>
    <row r="184" spans="1:8" ht="13.5" thickBot="1" x14ac:dyDescent="0.25">
      <c r="A184" s="97"/>
      <c r="B184" s="6"/>
      <c r="C184" s="6"/>
      <c r="D184" s="6"/>
      <c r="E184" s="20"/>
      <c r="F184" s="20"/>
      <c r="G184" s="139"/>
      <c r="H184" s="139"/>
    </row>
    <row r="185" spans="1:8" ht="24.75" customHeight="1" thickBot="1" x14ac:dyDescent="0.25">
      <c r="A185" s="12" t="s">
        <v>158</v>
      </c>
      <c r="B185" s="13"/>
      <c r="C185" s="16"/>
      <c r="D185" s="16"/>
      <c r="E185" s="17"/>
      <c r="F185" s="18"/>
      <c r="G185" s="189">
        <f>G161+G183</f>
        <v>4412.0586666666668</v>
      </c>
      <c r="H185" s="226">
        <f>G185/G$38</f>
        <v>5.4740181968569068</v>
      </c>
    </row>
    <row r="186" spans="1:8" ht="12.6" customHeight="1" x14ac:dyDescent="0.2">
      <c r="A186" s="101"/>
      <c r="B186" s="24"/>
      <c r="C186" s="24"/>
      <c r="D186" s="24"/>
      <c r="E186" s="25"/>
      <c r="F186" s="25"/>
      <c r="G186" s="140"/>
      <c r="H186" s="140"/>
    </row>
    <row r="187" spans="1:8" ht="16.149999999999999" customHeight="1" x14ac:dyDescent="0.2">
      <c r="A187" s="144" t="s">
        <v>159</v>
      </c>
      <c r="B187" s="198"/>
      <c r="C187" s="79"/>
      <c r="D187" s="79"/>
      <c r="E187" s="147">
        <f>E$173</f>
        <v>806</v>
      </c>
      <c r="F187" s="146" t="s">
        <v>140</v>
      </c>
      <c r="G187" s="40"/>
      <c r="H187" s="40"/>
    </row>
    <row r="188" spans="1:8" ht="13.5" thickBot="1" x14ac:dyDescent="0.25">
      <c r="A188" s="96"/>
      <c r="E188" s="27"/>
      <c r="F188" s="27"/>
      <c r="G188" s="40"/>
      <c r="H188" s="40"/>
    </row>
    <row r="189" spans="1:8" ht="25.5" customHeight="1" thickBot="1" x14ac:dyDescent="0.25">
      <c r="A189" s="12" t="s">
        <v>160</v>
      </c>
      <c r="B189" s="13"/>
      <c r="C189" s="13"/>
      <c r="D189" s="13"/>
      <c r="E189" s="14"/>
      <c r="F189" s="145" t="s">
        <v>141</v>
      </c>
      <c r="G189" s="358">
        <f>IFERROR(G185/E187,"-")</f>
        <v>5.4740181968569068</v>
      </c>
      <c r="H189" s="359"/>
    </row>
    <row r="190" spans="1:8" x14ac:dyDescent="0.2">
      <c r="A190" s="116"/>
      <c r="B190" s="117"/>
      <c r="C190" s="117"/>
      <c r="D190" s="117"/>
      <c r="E190" s="118"/>
      <c r="F190" s="118"/>
      <c r="G190" s="128"/>
      <c r="H190" s="128"/>
    </row>
    <row r="191" spans="1:8" x14ac:dyDescent="0.2">
      <c r="A191" s="127" t="s">
        <v>161</v>
      </c>
      <c r="B191" s="199"/>
      <c r="E191" s="27"/>
      <c r="F191" s="27"/>
      <c r="G191" s="40"/>
      <c r="H191" s="40"/>
    </row>
    <row r="192" spans="1:8" ht="11.25" customHeight="1" thickBot="1" x14ac:dyDescent="0.25">
      <c r="A192" s="96"/>
      <c r="E192" s="27"/>
      <c r="F192" s="27"/>
      <c r="G192" s="40"/>
      <c r="H192" s="40"/>
    </row>
    <row r="193" spans="1:11" ht="13.5" thickBot="1" x14ac:dyDescent="0.25">
      <c r="A193" s="222" t="s">
        <v>26</v>
      </c>
      <c r="B193" s="223"/>
      <c r="C193" s="218" t="s">
        <v>27</v>
      </c>
      <c r="D193" s="218" t="s">
        <v>20</v>
      </c>
      <c r="E193" s="219" t="s">
        <v>90</v>
      </c>
      <c r="F193" s="219" t="s">
        <v>28</v>
      </c>
      <c r="G193" s="220" t="s">
        <v>29</v>
      </c>
      <c r="H193" s="220" t="s">
        <v>141</v>
      </c>
    </row>
    <row r="194" spans="1:11" ht="13.5" thickBot="1" x14ac:dyDescent="0.25">
      <c r="A194" s="98" t="s">
        <v>162</v>
      </c>
      <c r="B194" s="196"/>
      <c r="C194" s="8" t="s">
        <v>0</v>
      </c>
      <c r="D194" s="41">
        <f>BDI!C35*100</f>
        <v>16.93</v>
      </c>
      <c r="E194" s="9">
        <f>G162</f>
        <v>3459.3576666666668</v>
      </c>
      <c r="F194" s="9">
        <f>ROUND(D194*E194/100,2)</f>
        <v>585.66999999999996</v>
      </c>
      <c r="G194" s="227">
        <f>+F194</f>
        <v>585.66999999999996</v>
      </c>
      <c r="H194" s="227">
        <f>G194/G$38</f>
        <v>0.72663771712158809</v>
      </c>
    </row>
    <row r="195" spans="1:11" x14ac:dyDescent="0.2">
      <c r="A195" s="96"/>
      <c r="E195" s="27"/>
      <c r="F195" s="27"/>
      <c r="G195" s="128"/>
      <c r="H195" s="128"/>
    </row>
    <row r="196" spans="1:11" ht="11.25" customHeight="1" thickBot="1" x14ac:dyDescent="0.25">
      <c r="A196" s="96"/>
      <c r="E196" s="27"/>
      <c r="F196" s="27"/>
      <c r="G196" s="142"/>
      <c r="H196" s="142"/>
    </row>
    <row r="197" spans="1:11" ht="13.5" thickBot="1" x14ac:dyDescent="0.25">
      <c r="A197" s="12" t="s">
        <v>163</v>
      </c>
      <c r="B197" s="13"/>
      <c r="C197" s="16"/>
      <c r="D197" s="16"/>
      <c r="E197" s="17"/>
      <c r="F197" s="18"/>
      <c r="G197" s="226">
        <f>G194</f>
        <v>585.66999999999996</v>
      </c>
      <c r="H197" s="226">
        <f>G197/G$38</f>
        <v>0.72663771712158809</v>
      </c>
    </row>
    <row r="198" spans="1:11" ht="13.5" thickBot="1" x14ac:dyDescent="0.25">
      <c r="A198" s="97"/>
      <c r="B198" s="6"/>
      <c r="C198" s="6"/>
      <c r="D198" s="6"/>
      <c r="E198" s="20"/>
      <c r="F198" s="20"/>
      <c r="G198" s="139"/>
      <c r="H198" s="139"/>
    </row>
    <row r="199" spans="1:11" ht="24.75" customHeight="1" thickBot="1" x14ac:dyDescent="0.25">
      <c r="A199" s="12" t="s">
        <v>164</v>
      </c>
      <c r="B199" s="13"/>
      <c r="C199" s="16"/>
      <c r="D199" s="16"/>
      <c r="E199" s="17"/>
      <c r="F199" s="18"/>
      <c r="G199" s="226">
        <f>E194+G197</f>
        <v>4045.0276666666668</v>
      </c>
      <c r="H199" s="226">
        <f>G199/G$38</f>
        <v>5.0186447477253928</v>
      </c>
    </row>
    <row r="200" spans="1:11" ht="12.6" customHeight="1" x14ac:dyDescent="0.2">
      <c r="A200" s="101"/>
      <c r="B200" s="24"/>
      <c r="C200" s="24"/>
      <c r="D200" s="24"/>
      <c r="E200" s="25"/>
      <c r="F200" s="25"/>
      <c r="G200" s="140"/>
      <c r="H200" s="140"/>
    </row>
    <row r="201" spans="1:11" ht="12.6" customHeight="1" x14ac:dyDescent="0.2">
      <c r="A201" s="101" t="s">
        <v>121</v>
      </c>
      <c r="B201" s="24"/>
      <c r="C201" s="24"/>
      <c r="D201" s="24"/>
      <c r="E201" s="25"/>
      <c r="F201" s="25"/>
      <c r="G201" s="142"/>
      <c r="H201" s="142"/>
    </row>
    <row r="202" spans="1:11" x14ac:dyDescent="0.2">
      <c r="A202" s="143" t="s">
        <v>118</v>
      </c>
      <c r="B202" s="6"/>
      <c r="E202" s="27"/>
      <c r="F202" s="27"/>
      <c r="G202" s="40"/>
      <c r="H202" s="40"/>
    </row>
    <row r="203" spans="1:11" x14ac:dyDescent="0.2">
      <c r="A203" s="97" t="s">
        <v>116</v>
      </c>
      <c r="B203" s="6"/>
      <c r="E203" s="27"/>
      <c r="F203" s="27"/>
      <c r="G203" s="40"/>
      <c r="H203" s="40"/>
    </row>
    <row r="204" spans="1:11" x14ac:dyDescent="0.2">
      <c r="A204" s="362" t="s">
        <v>276</v>
      </c>
      <c r="B204" s="363"/>
      <c r="E204" s="27"/>
      <c r="F204" s="27"/>
      <c r="G204" s="40"/>
      <c r="H204" s="40"/>
    </row>
    <row r="205" spans="1:11" ht="11.25" customHeight="1" thickBot="1" x14ac:dyDescent="0.25">
      <c r="A205" s="119"/>
      <c r="E205" s="27"/>
      <c r="F205" s="27"/>
      <c r="G205" s="40"/>
      <c r="H205" s="40"/>
    </row>
    <row r="206" spans="1:11" ht="15.75" thickBot="1" x14ac:dyDescent="0.3">
      <c r="A206" s="222" t="s">
        <v>26</v>
      </c>
      <c r="B206" s="223"/>
      <c r="C206" s="218" t="s">
        <v>27</v>
      </c>
      <c r="D206" s="218" t="s">
        <v>20</v>
      </c>
      <c r="E206" s="219" t="s">
        <v>117</v>
      </c>
      <c r="F206" s="219" t="s">
        <v>28</v>
      </c>
      <c r="G206" s="220" t="s">
        <v>29</v>
      </c>
      <c r="H206" s="220" t="s">
        <v>141</v>
      </c>
      <c r="I206" s="328"/>
    </row>
    <row r="207" spans="1:11" ht="15.75" thickBot="1" x14ac:dyDescent="0.3">
      <c r="A207" s="356" t="s">
        <v>165</v>
      </c>
      <c r="B207" s="357"/>
      <c r="C207" s="120" t="s">
        <v>0</v>
      </c>
      <c r="D207" s="251">
        <v>6</v>
      </c>
      <c r="E207" s="121">
        <f>G199</f>
        <v>4045.0276666666668</v>
      </c>
      <c r="F207" s="9">
        <f>ROUND(G210*(D207/100),2)</f>
        <v>258.19</v>
      </c>
      <c r="G207" s="226">
        <f>F207</f>
        <v>258.19</v>
      </c>
      <c r="H207" s="226">
        <f>G207/G$38</f>
        <v>0.32033498759305212</v>
      </c>
      <c r="I207" s="330"/>
      <c r="J207" s="331">
        <f>G210*12</f>
        <v>51638.651063829791</v>
      </c>
      <c r="K207" s="331"/>
    </row>
    <row r="208" spans="1:11" ht="15.75" x14ac:dyDescent="0.25">
      <c r="A208" s="96"/>
      <c r="E208" s="27"/>
      <c r="F208" s="27"/>
      <c r="G208" s="140"/>
      <c r="H208" s="140"/>
      <c r="I208" s="328"/>
      <c r="J208" s="328"/>
      <c r="K208" s="328"/>
    </row>
    <row r="209" spans="1:11" ht="15.75" thickBot="1" x14ac:dyDescent="0.3">
      <c r="A209" s="122"/>
      <c r="B209" s="123"/>
      <c r="C209" s="123"/>
      <c r="D209" s="123"/>
      <c r="E209" s="124"/>
      <c r="F209" s="124"/>
      <c r="G209" s="40"/>
      <c r="H209" s="40"/>
      <c r="I209" s="332"/>
      <c r="J209" s="332"/>
      <c r="K209" s="333"/>
    </row>
    <row r="210" spans="1:11" ht="24.75" customHeight="1" thickBot="1" x14ac:dyDescent="0.25">
      <c r="A210" s="12" t="s">
        <v>166</v>
      </c>
      <c r="B210" s="13"/>
      <c r="C210" s="16"/>
      <c r="D210" s="16"/>
      <c r="E210" s="17"/>
      <c r="F210" s="18"/>
      <c r="G210" s="189">
        <f>E207/((100-D207)/100)</f>
        <v>4303.2209219858159</v>
      </c>
      <c r="H210" s="226">
        <f>G210/G$38</f>
        <v>5.3389837741759507</v>
      </c>
    </row>
    <row r="211" spans="1:11" ht="12.6" customHeight="1" x14ac:dyDescent="0.2">
      <c r="A211" s="101"/>
      <c r="B211" s="24"/>
      <c r="C211" s="24"/>
      <c r="D211" s="24"/>
      <c r="E211" s="25"/>
      <c r="F211" s="25"/>
      <c r="G211" s="140"/>
      <c r="H211" s="140"/>
    </row>
    <row r="212" spans="1:11" ht="16.149999999999999" customHeight="1" x14ac:dyDescent="0.2">
      <c r="A212" s="144" t="s">
        <v>167</v>
      </c>
      <c r="B212" s="198"/>
      <c r="C212" s="79"/>
      <c r="D212" s="79"/>
      <c r="E212" s="147">
        <f>E$173</f>
        <v>806</v>
      </c>
      <c r="F212" s="146" t="s">
        <v>140</v>
      </c>
      <c r="G212" s="40"/>
      <c r="H212" s="40"/>
    </row>
    <row r="213" spans="1:11" ht="13.5" thickBot="1" x14ac:dyDescent="0.25">
      <c r="A213" s="96"/>
      <c r="E213" s="27"/>
      <c r="F213" s="27"/>
      <c r="G213" s="40"/>
      <c r="H213" s="40"/>
    </row>
    <row r="214" spans="1:11" ht="25.5" customHeight="1" thickBot="1" x14ac:dyDescent="0.25">
      <c r="A214" s="12" t="s">
        <v>168</v>
      </c>
      <c r="B214" s="13"/>
      <c r="C214" s="13"/>
      <c r="D214" s="13"/>
      <c r="E214" s="14"/>
      <c r="F214" s="145" t="s">
        <v>141</v>
      </c>
      <c r="G214" s="358">
        <f>IFERROR(G210/E212,"-")</f>
        <v>5.3389837741759507</v>
      </c>
      <c r="H214" s="359"/>
    </row>
    <row r="215" spans="1:11" ht="9" customHeight="1" x14ac:dyDescent="0.2">
      <c r="E215" s="4"/>
      <c r="F215" s="4"/>
      <c r="G215" s="4"/>
      <c r="H215" s="27"/>
    </row>
    <row r="216" spans="1:11" x14ac:dyDescent="0.2">
      <c r="H216" s="27"/>
    </row>
    <row r="217" spans="1:11" x14ac:dyDescent="0.2">
      <c r="H217" s="27"/>
    </row>
    <row r="218" spans="1:11" x14ac:dyDescent="0.2">
      <c r="A218" s="6"/>
      <c r="B218" s="6"/>
      <c r="C218" s="6"/>
      <c r="D218" s="6"/>
      <c r="E218" s="286"/>
      <c r="F218" s="286"/>
      <c r="G218" s="286"/>
      <c r="H218" s="20"/>
    </row>
    <row r="219" spans="1:11" x14ac:dyDescent="0.2">
      <c r="A219" s="6"/>
      <c r="B219" s="6"/>
      <c r="C219" s="6"/>
      <c r="D219" s="6"/>
      <c r="E219" s="286"/>
      <c r="F219" s="286"/>
      <c r="G219" s="286"/>
      <c r="H219" s="20"/>
    </row>
    <row r="220" spans="1:11" x14ac:dyDescent="0.2">
      <c r="A220" s="6"/>
      <c r="B220" s="6"/>
      <c r="C220" s="6"/>
      <c r="D220" s="6"/>
      <c r="E220" s="286"/>
      <c r="F220" s="286"/>
      <c r="G220" s="286"/>
      <c r="H220" s="20"/>
    </row>
    <row r="221" spans="1:11" x14ac:dyDescent="0.2">
      <c r="A221" s="6"/>
      <c r="B221" s="6"/>
      <c r="C221" s="6"/>
      <c r="D221" s="6"/>
      <c r="E221" s="286"/>
      <c r="F221" s="286"/>
      <c r="G221" s="286"/>
      <c r="H221" s="20"/>
    </row>
    <row r="222" spans="1:11" x14ac:dyDescent="0.2">
      <c r="A222" s="6"/>
      <c r="B222" s="6"/>
      <c r="C222" s="360"/>
      <c r="D222" s="360"/>
      <c r="E222" s="360"/>
      <c r="F222" s="286"/>
      <c r="G222" s="286"/>
      <c r="H222" s="20"/>
    </row>
    <row r="223" spans="1:11" x14ac:dyDescent="0.2">
      <c r="A223" s="6"/>
      <c r="B223" s="6"/>
      <c r="C223" s="360"/>
      <c r="D223" s="360"/>
      <c r="E223" s="360"/>
      <c r="F223" s="286"/>
      <c r="G223" s="286"/>
      <c r="H223" s="20"/>
    </row>
    <row r="224" spans="1:11" x14ac:dyDescent="0.2">
      <c r="A224" s="6"/>
      <c r="B224" s="6"/>
      <c r="C224" s="360"/>
      <c r="D224" s="360"/>
      <c r="E224" s="360"/>
      <c r="F224" s="286"/>
      <c r="G224" s="286"/>
      <c r="H224" s="20"/>
    </row>
    <row r="225" spans="8:8" x14ac:dyDescent="0.2">
      <c r="H225" s="27"/>
    </row>
    <row r="226" spans="8:8" x14ac:dyDescent="0.2">
      <c r="H226" s="27"/>
    </row>
    <row r="227" spans="8:8" x14ac:dyDescent="0.2">
      <c r="H227" s="27"/>
    </row>
  </sheetData>
  <mergeCells count="117">
    <mergeCell ref="D41:G41"/>
    <mergeCell ref="A42:B42"/>
    <mergeCell ref="D42:F42"/>
    <mergeCell ref="A8:B8"/>
    <mergeCell ref="A9:B9"/>
    <mergeCell ref="A10:B10"/>
    <mergeCell ref="A11:B11"/>
    <mergeCell ref="A12:B12"/>
    <mergeCell ref="A13:B13"/>
    <mergeCell ref="A23:B23"/>
    <mergeCell ref="A24:B24"/>
    <mergeCell ref="A25:B25"/>
    <mergeCell ref="A26:B26"/>
    <mergeCell ref="A35:B35"/>
    <mergeCell ref="A37:B37"/>
    <mergeCell ref="A38:B38"/>
    <mergeCell ref="A39:B39"/>
    <mergeCell ref="A28:G28"/>
    <mergeCell ref="A29:B29"/>
    <mergeCell ref="A30:B30"/>
    <mergeCell ref="A31:B31"/>
    <mergeCell ref="A33:B33"/>
    <mergeCell ref="A34:B34"/>
    <mergeCell ref="A1:H1"/>
    <mergeCell ref="D3:E3"/>
    <mergeCell ref="G3:H3"/>
    <mergeCell ref="C7:D7"/>
    <mergeCell ref="E7:F7"/>
    <mergeCell ref="G7:H7"/>
    <mergeCell ref="B4:C4"/>
    <mergeCell ref="A21:B21"/>
    <mergeCell ref="A22:B22"/>
    <mergeCell ref="A14:B14"/>
    <mergeCell ref="A15:B15"/>
    <mergeCell ref="A16:B16"/>
    <mergeCell ref="A17:B17"/>
    <mergeCell ref="A18:B18"/>
    <mergeCell ref="A19:B19"/>
    <mergeCell ref="A52:B52"/>
    <mergeCell ref="A53:B53"/>
    <mergeCell ref="A54:B54"/>
    <mergeCell ref="A58:B58"/>
    <mergeCell ref="A59:B59"/>
    <mergeCell ref="A60:B60"/>
    <mergeCell ref="A44:G44"/>
    <mergeCell ref="A47:B47"/>
    <mergeCell ref="A48:B48"/>
    <mergeCell ref="A51:B51"/>
    <mergeCell ref="A83:B83"/>
    <mergeCell ref="A84:B84"/>
    <mergeCell ref="A85:B85"/>
    <mergeCell ref="A86:B86"/>
    <mergeCell ref="A89:B89"/>
    <mergeCell ref="A90:B90"/>
    <mergeCell ref="A64:B64"/>
    <mergeCell ref="A65:B65"/>
    <mergeCell ref="A66:B66"/>
    <mergeCell ref="A67:B67"/>
    <mergeCell ref="A72:B72"/>
    <mergeCell ref="A82:B82"/>
    <mergeCell ref="A97:B97"/>
    <mergeCell ref="A100:B100"/>
    <mergeCell ref="A101:B101"/>
    <mergeCell ref="A102:B102"/>
    <mergeCell ref="A103:B103"/>
    <mergeCell ref="A104:B104"/>
    <mergeCell ref="A91:B91"/>
    <mergeCell ref="A92:B92"/>
    <mergeCell ref="A93:B93"/>
    <mergeCell ref="A94:B94"/>
    <mergeCell ref="A95:B95"/>
    <mergeCell ref="A96:B96"/>
    <mergeCell ref="A118:B118"/>
    <mergeCell ref="A119:B119"/>
    <mergeCell ref="A120:B120"/>
    <mergeCell ref="A121:B121"/>
    <mergeCell ref="A122:B122"/>
    <mergeCell ref="A123:B123"/>
    <mergeCell ref="A131:B131"/>
    <mergeCell ref="A105:B105"/>
    <mergeCell ref="A108:B108"/>
    <mergeCell ref="A109:B109"/>
    <mergeCell ref="A113:B113"/>
    <mergeCell ref="A114:B114"/>
    <mergeCell ref="A115:B115"/>
    <mergeCell ref="A124:B124"/>
    <mergeCell ref="A125:B125"/>
    <mergeCell ref="A126:B126"/>
    <mergeCell ref="A129:B129"/>
    <mergeCell ref="A130:B130"/>
    <mergeCell ref="C222:E222"/>
    <mergeCell ref="C223:E223"/>
    <mergeCell ref="C224:E224"/>
    <mergeCell ref="A166:B166"/>
    <mergeCell ref="A173:B173"/>
    <mergeCell ref="G175:H175"/>
    <mergeCell ref="A180:B180"/>
    <mergeCell ref="G189:H189"/>
    <mergeCell ref="A204:B204"/>
    <mergeCell ref="A140:B140"/>
    <mergeCell ref="A141:B141"/>
    <mergeCell ref="A152:B152"/>
    <mergeCell ref="A132:B132"/>
    <mergeCell ref="A144:B144"/>
    <mergeCell ref="A145:B145"/>
    <mergeCell ref="A147:B147"/>
    <mergeCell ref="A207:B207"/>
    <mergeCell ref="G214:H214"/>
    <mergeCell ref="A153:B153"/>
    <mergeCell ref="A154:B154"/>
    <mergeCell ref="A155:B155"/>
    <mergeCell ref="A156:B156"/>
    <mergeCell ref="A157:B157"/>
    <mergeCell ref="A165:B165"/>
    <mergeCell ref="A133:B133"/>
    <mergeCell ref="A136:B136"/>
    <mergeCell ref="A137:B137"/>
  </mergeCells>
  <pageMargins left="0.39370078740157483" right="0" top="0.59055118110236227" bottom="0.39370078740157483" header="0" footer="0"/>
  <pageSetup paperSize="9" scale="82" fitToHeight="0" orientation="portrait" r:id="rId1"/>
  <headerFooter alignWithMargins="0">
    <oddFooter>&amp;R&amp;P de &amp;N</oddFooter>
  </headerFooter>
  <rowBreaks count="3" manualBreakCount="3">
    <brk id="61" max="7" man="1"/>
    <brk id="126" max="7" man="1"/>
    <brk id="189" max="7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24"/>
  <sheetViews>
    <sheetView topLeftCell="A19" zoomScale="110" zoomScaleNormal="110" zoomScaleSheetLayoutView="110" workbookViewId="0">
      <selection activeCell="A48" sqref="A48:B48"/>
    </sheetView>
  </sheetViews>
  <sheetFormatPr defaultColWidth="9.140625" defaultRowHeight="12.75" x14ac:dyDescent="0.2"/>
  <cols>
    <col min="1" max="1" width="17.85546875" style="4" customWidth="1"/>
    <col min="2" max="2" width="26.85546875" style="4" customWidth="1"/>
    <col min="3" max="3" width="14.4257812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4.42578125" style="5" bestFit="1" customWidth="1"/>
    <col min="8" max="8" width="8.85546875" style="5" customWidth="1"/>
    <col min="9" max="9" width="14.42578125" style="4" customWidth="1"/>
    <col min="10" max="10" width="11.5703125" style="4" bestFit="1" customWidth="1"/>
    <col min="11" max="11" width="14" style="4" customWidth="1"/>
    <col min="12" max="16384" width="9.140625" style="4"/>
  </cols>
  <sheetData>
    <row r="1" spans="1:8" s="88" customFormat="1" ht="23.25" customHeight="1" thickBot="1" x14ac:dyDescent="0.25">
      <c r="A1" s="370" t="s">
        <v>184</v>
      </c>
      <c r="B1" s="371"/>
      <c r="C1" s="371"/>
      <c r="D1" s="371"/>
      <c r="E1" s="371"/>
      <c r="F1" s="371"/>
      <c r="G1" s="371"/>
      <c r="H1" s="372"/>
    </row>
    <row r="2" spans="1:8" s="2" customFormat="1" ht="15.75" customHeight="1" thickBot="1" x14ac:dyDescent="0.25">
      <c r="A2" s="215" t="s">
        <v>199</v>
      </c>
      <c r="B2" s="216"/>
      <c r="C2" s="252" t="s">
        <v>216</v>
      </c>
      <c r="D2" s="232"/>
      <c r="E2" s="232"/>
      <c r="F2" s="232"/>
      <c r="G2" s="232"/>
      <c r="H2" s="233"/>
    </row>
    <row r="3" spans="1:8" s="88" customFormat="1" ht="23.25" customHeight="1" thickBot="1" x14ac:dyDescent="0.25">
      <c r="A3" s="229" t="s">
        <v>96</v>
      </c>
      <c r="B3" s="236" t="s">
        <v>269</v>
      </c>
      <c r="C3" s="228" t="s">
        <v>222</v>
      </c>
      <c r="D3" s="373"/>
      <c r="E3" s="374"/>
      <c r="F3" s="228" t="s">
        <v>214</v>
      </c>
      <c r="G3" s="373"/>
      <c r="H3" s="375"/>
    </row>
    <row r="4" spans="1:8" s="3" customFormat="1" ht="18.75" thickBot="1" x14ac:dyDescent="0.3">
      <c r="A4" s="230" t="s">
        <v>228</v>
      </c>
      <c r="B4" s="378" t="s">
        <v>270</v>
      </c>
      <c r="C4" s="378"/>
      <c r="D4" s="293" t="s">
        <v>229</v>
      </c>
      <c r="E4" s="200" t="s">
        <v>271</v>
      </c>
      <c r="F4" s="200"/>
      <c r="G4" s="200"/>
      <c r="H4" s="201"/>
    </row>
    <row r="5" spans="1:8" s="2" customFormat="1" ht="10.9" customHeight="1" thickBot="1" x14ac:dyDescent="0.25">
      <c r="A5" s="202"/>
      <c r="B5" s="203"/>
      <c r="C5" s="204"/>
      <c r="D5" s="204"/>
      <c r="E5" s="205"/>
      <c r="F5" s="205"/>
      <c r="G5" s="205"/>
      <c r="H5" s="206"/>
    </row>
    <row r="6" spans="1:8" s="2" customFormat="1" ht="15.75" customHeight="1" thickBot="1" x14ac:dyDescent="0.25">
      <c r="A6" s="215" t="s">
        <v>200</v>
      </c>
      <c r="B6" s="216"/>
      <c r="C6" s="216"/>
      <c r="D6" s="216"/>
      <c r="E6" s="216"/>
      <c r="F6" s="216"/>
      <c r="G6" s="216"/>
      <c r="H6" s="217"/>
    </row>
    <row r="7" spans="1:8" s="2" customFormat="1" ht="16.5" thickBot="1" x14ac:dyDescent="0.25">
      <c r="A7" s="126" t="s">
        <v>119</v>
      </c>
      <c r="B7" s="126"/>
      <c r="C7" s="376" t="s">
        <v>109</v>
      </c>
      <c r="D7" s="377"/>
      <c r="E7" s="376" t="s">
        <v>110</v>
      </c>
      <c r="F7" s="377"/>
      <c r="G7" s="376" t="s">
        <v>113</v>
      </c>
      <c r="H7" s="377"/>
    </row>
    <row r="8" spans="1:8" s="2" customFormat="1" ht="28.5" customHeight="1" x14ac:dyDescent="0.2">
      <c r="A8" s="390" t="s">
        <v>85</v>
      </c>
      <c r="B8" s="391"/>
      <c r="C8" s="106" t="s">
        <v>111</v>
      </c>
      <c r="D8" s="22" t="s">
        <v>112</v>
      </c>
      <c r="E8" s="106" t="s">
        <v>111</v>
      </c>
      <c r="F8" s="22" t="s">
        <v>112</v>
      </c>
      <c r="G8" s="106" t="s">
        <v>111</v>
      </c>
      <c r="H8" s="22" t="s">
        <v>112</v>
      </c>
    </row>
    <row r="9" spans="1:8" s="6" customFormat="1" ht="15.75" customHeight="1" x14ac:dyDescent="0.2">
      <c r="A9" s="379" t="str">
        <f>A45</f>
        <v>1. Mão-de-obra</v>
      </c>
      <c r="B9" s="380"/>
      <c r="C9" s="102">
        <f>+G76</f>
        <v>2375.21</v>
      </c>
      <c r="D9" s="37">
        <f>SUM(D10:D12)</f>
        <v>0.125</v>
      </c>
      <c r="E9" s="102">
        <f>G76</f>
        <v>2375.21</v>
      </c>
      <c r="F9" s="37">
        <f>SUM(F10:F12)</f>
        <v>0.13294838188438543</v>
      </c>
      <c r="G9" s="102">
        <f>G77</f>
        <v>1947.2049999999999</v>
      </c>
      <c r="H9" s="37">
        <f>SUM(H10:H12)</f>
        <v>0.1116</v>
      </c>
    </row>
    <row r="10" spans="1:8" s="2" customFormat="1" ht="15.75" customHeight="1" x14ac:dyDescent="0.2">
      <c r="A10" s="392" t="s">
        <v>223</v>
      </c>
      <c r="B10" s="380"/>
      <c r="C10" s="103">
        <f>G55</f>
        <v>1932.1599999999999</v>
      </c>
      <c r="D10" s="26">
        <f>ROUND(IFERROR(C10/$C$25,0),4)</f>
        <v>0.1017</v>
      </c>
      <c r="E10" s="103">
        <f t="shared" ref="E10:E21" si="0">C10</f>
        <v>1932.1599999999999</v>
      </c>
      <c r="F10" s="26">
        <f>(IFERROR(E10/$E$25,0))</f>
        <v>0.10814940385975731</v>
      </c>
      <c r="G10" s="103">
        <f>G61</f>
        <v>1504.155</v>
      </c>
      <c r="H10" s="26">
        <f>ROUND(IFERROR(G10/$G$25,0),4)+0.0001</f>
        <v>8.6300000000000002E-2</v>
      </c>
    </row>
    <row r="11" spans="1:8" s="2" customFormat="1" ht="15.75" customHeight="1" x14ac:dyDescent="0.2">
      <c r="A11" s="393" t="str">
        <f>A63</f>
        <v>1.2. Vale Transporte</v>
      </c>
      <c r="B11" s="380"/>
      <c r="C11" s="103">
        <f>G68</f>
        <v>53.05</v>
      </c>
      <c r="D11" s="26">
        <f>ROUND(IFERROR(C11/$C$25,0),4)</f>
        <v>2.8E-3</v>
      </c>
      <c r="E11" s="103">
        <f t="shared" si="0"/>
        <v>53.05</v>
      </c>
      <c r="F11" s="26">
        <f>(IFERROR(E11/$E$25,0))</f>
        <v>2.9693844582022841E-3</v>
      </c>
      <c r="G11" s="103">
        <f t="shared" ref="G11:G20" si="1">E11</f>
        <v>53.05</v>
      </c>
      <c r="H11" s="26">
        <f t="shared" ref="H11:H20" si="2">ROUND(IFERROR(G11/$G$25,0),4)</f>
        <v>3.0000000000000001E-3</v>
      </c>
    </row>
    <row r="12" spans="1:8" s="2" customFormat="1" ht="15.75" customHeight="1" x14ac:dyDescent="0.2">
      <c r="A12" s="393" t="str">
        <f>A70</f>
        <v>1.3. Vale-refeição (diário)</v>
      </c>
      <c r="B12" s="380"/>
      <c r="C12" s="103">
        <f>G73</f>
        <v>390</v>
      </c>
      <c r="D12" s="26">
        <f>ROUND(IFERROR(C12/$C$25,0),4)</f>
        <v>2.0500000000000001E-2</v>
      </c>
      <c r="E12" s="103">
        <f t="shared" si="0"/>
        <v>390</v>
      </c>
      <c r="F12" s="26">
        <f>(IFERROR(E12/$E$25,0))</f>
        <v>2.1829593566425842E-2</v>
      </c>
      <c r="G12" s="103">
        <f t="shared" si="1"/>
        <v>390</v>
      </c>
      <c r="H12" s="26">
        <f t="shared" si="2"/>
        <v>2.23E-2</v>
      </c>
    </row>
    <row r="13" spans="1:8" s="6" customFormat="1" ht="15.75" customHeight="1" x14ac:dyDescent="0.2">
      <c r="A13" s="379" t="str">
        <f>A79</f>
        <v>2. Veículos</v>
      </c>
      <c r="B13" s="380"/>
      <c r="C13" s="102">
        <f>G146</f>
        <v>11878.825575000001</v>
      </c>
      <c r="D13" s="37">
        <f>SUM(D14:D20)</f>
        <v>0.62519999999999998</v>
      </c>
      <c r="E13" s="102">
        <f t="shared" si="0"/>
        <v>11878.825575000001</v>
      </c>
      <c r="F13" s="37">
        <f>SUM(F14:F20)</f>
        <v>0.66489726756080703</v>
      </c>
      <c r="G13" s="102">
        <f t="shared" si="1"/>
        <v>11878.825575000001</v>
      </c>
      <c r="H13" s="37">
        <f>SUM(H14:H20)</f>
        <v>0.68039999999999989</v>
      </c>
    </row>
    <row r="14" spans="1:8" s="2" customFormat="1" ht="15.75" customHeight="1" x14ac:dyDescent="0.2">
      <c r="A14" s="382" t="str">
        <f>A80</f>
        <v>2.1 Depreciação</v>
      </c>
      <c r="B14" s="380"/>
      <c r="C14" s="103">
        <f>G86</f>
        <v>2682.9989083333335</v>
      </c>
      <c r="D14" s="26">
        <f t="shared" ref="D14:D22" si="3">ROUND(IFERROR(C14/$C$25,0),4)</f>
        <v>0.14119999999999999</v>
      </c>
      <c r="E14" s="103">
        <f t="shared" si="0"/>
        <v>2682.9989083333335</v>
      </c>
      <c r="F14" s="26">
        <f t="shared" ref="F14:F21" si="4">(IFERROR(E14/$E$25,0))</f>
        <v>0.15017634796943818</v>
      </c>
      <c r="G14" s="103">
        <f t="shared" si="1"/>
        <v>2682.9989083333335</v>
      </c>
      <c r="H14" s="43">
        <f t="shared" si="2"/>
        <v>0.1537</v>
      </c>
    </row>
    <row r="15" spans="1:8" s="2" customFormat="1" ht="15.75" customHeight="1" x14ac:dyDescent="0.2">
      <c r="A15" s="382" t="str">
        <f>A88</f>
        <v>2.2 Remuneração do Capital</v>
      </c>
      <c r="B15" s="380"/>
      <c r="C15" s="103">
        <f>G97</f>
        <v>3054.39</v>
      </c>
      <c r="D15" s="26">
        <f t="shared" si="3"/>
        <v>0.1608</v>
      </c>
      <c r="E15" s="103">
        <f t="shared" si="0"/>
        <v>3054.39</v>
      </c>
      <c r="F15" s="26">
        <f t="shared" si="4"/>
        <v>0.17096433921373186</v>
      </c>
      <c r="G15" s="103">
        <f t="shared" si="1"/>
        <v>3054.39</v>
      </c>
      <c r="H15" s="43">
        <f t="shared" si="2"/>
        <v>0.1749</v>
      </c>
    </row>
    <row r="16" spans="1:8" s="2" customFormat="1" ht="15.75" customHeight="1" x14ac:dyDescent="0.2">
      <c r="A16" s="382" t="str">
        <f>A99</f>
        <v>2.3. Impostos e Seguros</v>
      </c>
      <c r="B16" s="380"/>
      <c r="C16" s="103">
        <f>G108</f>
        <v>713.92</v>
      </c>
      <c r="D16" s="26">
        <f t="shared" si="3"/>
        <v>3.7600000000000001E-2</v>
      </c>
      <c r="E16" s="103">
        <f t="shared" si="0"/>
        <v>713.92</v>
      </c>
      <c r="F16" s="26">
        <f t="shared" si="4"/>
        <v>3.9960470356263426E-2</v>
      </c>
      <c r="G16" s="103">
        <f t="shared" si="1"/>
        <v>713.92</v>
      </c>
      <c r="H16" s="43">
        <f t="shared" si="2"/>
        <v>4.0899999999999999E-2</v>
      </c>
    </row>
    <row r="17" spans="1:9" s="2" customFormat="1" ht="15.75" customHeight="1" x14ac:dyDescent="0.2">
      <c r="A17" s="382" t="str">
        <f>A110</f>
        <v>2.4. Consumos</v>
      </c>
      <c r="B17" s="380"/>
      <c r="C17" s="103">
        <f>G123</f>
        <v>2724.92</v>
      </c>
      <c r="D17" s="26">
        <f t="shared" si="3"/>
        <v>0.1434</v>
      </c>
      <c r="E17" s="103">
        <f t="shared" si="0"/>
        <v>2724.92</v>
      </c>
      <c r="F17" s="26">
        <f t="shared" si="4"/>
        <v>0.152522810515449</v>
      </c>
      <c r="G17" s="103">
        <f t="shared" si="1"/>
        <v>2724.92</v>
      </c>
      <c r="H17" s="43">
        <f t="shared" si="2"/>
        <v>0.15609999999999999</v>
      </c>
    </row>
    <row r="18" spans="1:9" s="2" customFormat="1" ht="15.75" customHeight="1" x14ac:dyDescent="0.2">
      <c r="A18" s="382" t="str">
        <f>A125</f>
        <v>2.5. Manutenção e Pedágios</v>
      </c>
      <c r="B18" s="380"/>
      <c r="C18" s="103">
        <f>G130</f>
        <v>2360</v>
      </c>
      <c r="D18" s="26">
        <f t="shared" si="3"/>
        <v>0.1242</v>
      </c>
      <c r="E18" s="103">
        <f t="shared" si="0"/>
        <v>2360</v>
      </c>
      <c r="F18" s="26">
        <f t="shared" si="4"/>
        <v>0.13209702773529483</v>
      </c>
      <c r="G18" s="103">
        <f t="shared" si="1"/>
        <v>2360</v>
      </c>
      <c r="H18" s="43">
        <f t="shared" si="2"/>
        <v>0.13519999999999999</v>
      </c>
    </row>
    <row r="19" spans="1:9" s="2" customFormat="1" ht="15.75" customHeight="1" x14ac:dyDescent="0.2">
      <c r="A19" s="382" t="str">
        <f>A132</f>
        <v>2.6. Pneus</v>
      </c>
      <c r="B19" s="380"/>
      <c r="C19" s="103">
        <f>G138</f>
        <v>270.19</v>
      </c>
      <c r="D19" s="26">
        <f t="shared" si="3"/>
        <v>1.4200000000000001E-2</v>
      </c>
      <c r="E19" s="103">
        <f t="shared" si="0"/>
        <v>270.19</v>
      </c>
      <c r="F19" s="26">
        <f t="shared" si="4"/>
        <v>1.512343047618615E-2</v>
      </c>
      <c r="G19" s="103">
        <f t="shared" si="1"/>
        <v>270.19</v>
      </c>
      <c r="H19" s="43">
        <f t="shared" si="2"/>
        <v>1.55E-2</v>
      </c>
    </row>
    <row r="20" spans="1:9" s="2" customFormat="1" ht="15.75" customHeight="1" x14ac:dyDescent="0.2">
      <c r="A20" s="345" t="str">
        <f>A140</f>
        <v>2.7. Rastreador GPS</v>
      </c>
      <c r="B20" s="344"/>
      <c r="C20" s="103">
        <f>G144</f>
        <v>72.406666666666666</v>
      </c>
      <c r="D20" s="26">
        <f t="shared" si="3"/>
        <v>3.8E-3</v>
      </c>
      <c r="E20" s="103">
        <f t="shared" si="0"/>
        <v>72.406666666666666</v>
      </c>
      <c r="F20" s="26">
        <f t="shared" si="4"/>
        <v>4.0528412944436081E-3</v>
      </c>
      <c r="G20" s="103">
        <f t="shared" si="1"/>
        <v>72.406666666666666</v>
      </c>
      <c r="H20" s="43">
        <f t="shared" si="2"/>
        <v>4.1000000000000003E-3</v>
      </c>
    </row>
    <row r="21" spans="1:9" s="6" customFormat="1" ht="15.75" customHeight="1" x14ac:dyDescent="0.2">
      <c r="A21" s="379" t="str">
        <f>A148</f>
        <v>3. Ferramentas e Materiais de Consumo</v>
      </c>
      <c r="B21" s="380"/>
      <c r="C21" s="102">
        <f>+G154</f>
        <v>100.5</v>
      </c>
      <c r="D21" s="37">
        <f t="shared" si="3"/>
        <v>5.3E-3</v>
      </c>
      <c r="E21" s="102">
        <f t="shared" si="0"/>
        <v>100.5</v>
      </c>
      <c r="F21" s="37">
        <f t="shared" si="4"/>
        <v>5.6253183421174288E-3</v>
      </c>
      <c r="G21" s="102">
        <f>E21</f>
        <v>100.5</v>
      </c>
      <c r="H21" s="305">
        <f>ROUND(IFERROR(G21/$G$25,0),4)</f>
        <v>5.7999999999999996E-3</v>
      </c>
    </row>
    <row r="22" spans="1:9" s="6" customFormat="1" ht="15.75" customHeight="1" x14ac:dyDescent="0.2">
      <c r="A22" s="381" t="str">
        <f>A161</f>
        <v>4. Benefícios e Desp. Ind. - BDI - LUCRO REAL</v>
      </c>
      <c r="B22" s="380"/>
      <c r="C22" s="102">
        <f>+G166</f>
        <v>4643.6899999999996</v>
      </c>
      <c r="D22" s="37">
        <f t="shared" si="3"/>
        <v>0.24440000000000001</v>
      </c>
      <c r="E22" s="109"/>
      <c r="F22" s="105"/>
      <c r="G22" s="111"/>
      <c r="H22" s="108"/>
    </row>
    <row r="23" spans="1:9" s="6" customFormat="1" ht="15.75" customHeight="1" x14ac:dyDescent="0.2">
      <c r="A23" s="381" t="str">
        <f>A174</f>
        <v>5. Benefícios e Desp. Ind. - BDI - LUCRO PRESUMIDO</v>
      </c>
      <c r="B23" s="380"/>
      <c r="C23" s="111"/>
      <c r="D23" s="107"/>
      <c r="E23" s="102">
        <f>G180</f>
        <v>3511.12</v>
      </c>
      <c r="F23" s="37">
        <f>(IFERROR(E23/$E$25,0))</f>
        <v>0.19652903221269</v>
      </c>
      <c r="G23" s="111"/>
      <c r="H23" s="110"/>
    </row>
    <row r="24" spans="1:9" s="6" customFormat="1" ht="15.75" customHeight="1" thickBot="1" x14ac:dyDescent="0.25">
      <c r="A24" s="394" t="str">
        <f>A188</f>
        <v>6. Benef. Desp. Ind. + Impostos - SIMPLES NACIONAL</v>
      </c>
      <c r="B24" s="395"/>
      <c r="C24" s="112"/>
      <c r="D24" s="113"/>
      <c r="E24" s="114"/>
      <c r="F24" s="105"/>
      <c r="G24" s="115">
        <f>G194+G204</f>
        <v>3532.7700000000004</v>
      </c>
      <c r="H24" s="104">
        <f>ROUND(IFERROR(G24/$G$25,0),4)</f>
        <v>0.20230000000000001</v>
      </c>
    </row>
    <row r="25" spans="1:9" s="2" customFormat="1" ht="15.75" customHeight="1" thickBot="1" x14ac:dyDescent="0.25">
      <c r="A25" s="388" t="s">
        <v>185</v>
      </c>
      <c r="B25" s="396"/>
      <c r="C25" s="292">
        <f>C9+C13+C21+C22</f>
        <v>18998.225575</v>
      </c>
      <c r="D25" s="302">
        <f>D9+D13+D21+D22</f>
        <v>0.99990000000000001</v>
      </c>
      <c r="E25" s="125">
        <f>E9+E13+E21+E23</f>
        <v>17865.655575000001</v>
      </c>
      <c r="F25" s="302">
        <f>F9+F13+F21+F23</f>
        <v>0.99999999999999989</v>
      </c>
      <c r="G25" s="292">
        <f>G9+G13+G21+G24</f>
        <v>17459.300575000001</v>
      </c>
      <c r="H25" s="303">
        <f>H9+H13+H21+H24</f>
        <v>1.0001</v>
      </c>
    </row>
    <row r="26" spans="1:9" s="2" customFormat="1" ht="15.75" customHeight="1" thickBot="1" x14ac:dyDescent="0.25">
      <c r="A26" s="388" t="s">
        <v>186</v>
      </c>
      <c r="B26" s="396"/>
      <c r="C26" s="125">
        <f>G172</f>
        <v>6.9846417555147058</v>
      </c>
      <c r="D26" s="42"/>
      <c r="E26" s="125">
        <f>G186</f>
        <v>6.5682557261029411</v>
      </c>
      <c r="F26" s="42"/>
      <c r="G26" s="125">
        <f>G211</f>
        <v>6.4188608715840791</v>
      </c>
      <c r="H26" s="42"/>
    </row>
    <row r="27" spans="1:9" ht="13.5" thickBot="1" x14ac:dyDescent="0.25">
      <c r="A27" s="116"/>
      <c r="B27" s="117"/>
      <c r="C27" s="117"/>
      <c r="D27" s="117"/>
      <c r="E27" s="118"/>
      <c r="F27" s="118"/>
      <c r="G27" s="128"/>
      <c r="H27" s="179"/>
    </row>
    <row r="28" spans="1:9" s="2" customFormat="1" ht="15" customHeight="1" thickBot="1" x14ac:dyDescent="0.25">
      <c r="A28" s="367" t="s">
        <v>215</v>
      </c>
      <c r="B28" s="368"/>
      <c r="C28" s="368"/>
      <c r="D28" s="368"/>
      <c r="E28" s="368"/>
      <c r="F28" s="368"/>
      <c r="G28" s="369"/>
      <c r="H28" s="180"/>
    </row>
    <row r="29" spans="1:9" s="2" customFormat="1" ht="15" customHeight="1" thickBot="1" x14ac:dyDescent="0.25">
      <c r="A29" s="388" t="s">
        <v>201</v>
      </c>
      <c r="B29" s="387"/>
      <c r="C29" s="14"/>
      <c r="D29" s="14"/>
      <c r="E29" s="166"/>
      <c r="F29" s="160" t="s">
        <v>20</v>
      </c>
      <c r="G29" s="160" t="s">
        <v>142</v>
      </c>
      <c r="H29" s="180"/>
    </row>
    <row r="30" spans="1:9" s="2" customFormat="1" ht="15" customHeight="1" x14ac:dyDescent="0.2">
      <c r="A30" s="401" t="s">
        <v>97</v>
      </c>
      <c r="B30" s="402"/>
      <c r="C30" s="158"/>
      <c r="D30" s="158"/>
      <c r="E30" s="159"/>
      <c r="F30" s="237">
        <v>1</v>
      </c>
      <c r="G30" s="238">
        <v>2265</v>
      </c>
      <c r="H30" s="181"/>
      <c r="I30" s="308"/>
    </row>
    <row r="31" spans="1:9" s="2" customFormat="1" ht="15" customHeight="1" thickBot="1" x14ac:dyDescent="0.25">
      <c r="A31" s="403" t="s">
        <v>25</v>
      </c>
      <c r="B31" s="404"/>
      <c r="C31" s="28"/>
      <c r="D31" s="28"/>
      <c r="E31" s="29"/>
      <c r="F31" s="30">
        <f>SUM(F30:F30)</f>
        <v>1</v>
      </c>
      <c r="G31" s="157">
        <f>SUM(G30:G30)</f>
        <v>2265</v>
      </c>
      <c r="H31" s="181"/>
    </row>
    <row r="32" spans="1:9" s="2" customFormat="1" ht="15" customHeight="1" thickBot="1" x14ac:dyDescent="0.25">
      <c r="A32" s="38"/>
      <c r="B32" s="20"/>
      <c r="C32" s="39"/>
      <c r="D32" s="27"/>
      <c r="E32" s="17"/>
      <c r="F32" s="17"/>
      <c r="G32" s="18"/>
      <c r="H32" s="181"/>
    </row>
    <row r="33" spans="1:10" s="2" customFormat="1" ht="33" customHeight="1" x14ac:dyDescent="0.2">
      <c r="A33" s="399" t="s">
        <v>202</v>
      </c>
      <c r="B33" s="405"/>
      <c r="C33" s="168" t="s">
        <v>183</v>
      </c>
      <c r="D33" s="168" t="s">
        <v>248</v>
      </c>
      <c r="E33" s="168" t="s">
        <v>143</v>
      </c>
      <c r="F33" s="177" t="s">
        <v>20</v>
      </c>
      <c r="G33" s="163" t="s">
        <v>144</v>
      </c>
      <c r="H33" s="181"/>
    </row>
    <row r="34" spans="1:10" s="2" customFormat="1" ht="24" customHeight="1" x14ac:dyDescent="0.2">
      <c r="A34" s="406" t="s">
        <v>277</v>
      </c>
      <c r="B34" s="407"/>
      <c r="C34" s="240">
        <v>10</v>
      </c>
      <c r="D34" s="172">
        <f>1/C34</f>
        <v>0.1</v>
      </c>
      <c r="E34" s="240">
        <v>52</v>
      </c>
      <c r="F34" s="241">
        <v>1</v>
      </c>
      <c r="G34" s="239">
        <v>493955</v>
      </c>
      <c r="H34" s="181"/>
    </row>
    <row r="35" spans="1:10" s="2" customFormat="1" ht="15" customHeight="1" thickBot="1" x14ac:dyDescent="0.25">
      <c r="A35" s="397" t="s">
        <v>176</v>
      </c>
      <c r="B35" s="398"/>
      <c r="C35" s="170"/>
      <c r="D35" s="173"/>
      <c r="E35" s="169" t="s">
        <v>272</v>
      </c>
      <c r="F35" s="242">
        <v>6</v>
      </c>
      <c r="G35" s="289">
        <v>5.62</v>
      </c>
      <c r="H35" s="181"/>
    </row>
    <row r="36" spans="1:10" s="2" customFormat="1" ht="15" customHeight="1" thickBot="1" x14ac:dyDescent="0.25">
      <c r="A36" s="161"/>
      <c r="B36" s="195"/>
      <c r="C36" s="90"/>
      <c r="D36" s="90"/>
      <c r="E36" s="90"/>
      <c r="F36" s="287"/>
      <c r="G36" s="288"/>
      <c r="H36" s="181"/>
    </row>
    <row r="37" spans="1:10" s="2" customFormat="1" x14ac:dyDescent="0.2">
      <c r="A37" s="399" t="s">
        <v>203</v>
      </c>
      <c r="B37" s="357"/>
      <c r="C37" s="177" t="s">
        <v>27</v>
      </c>
      <c r="D37" s="168"/>
      <c r="E37" s="168"/>
      <c r="F37" s="177" t="s">
        <v>147</v>
      </c>
      <c r="G37" s="162" t="s">
        <v>148</v>
      </c>
      <c r="H37" s="190"/>
    </row>
    <row r="38" spans="1:10" s="2" customFormat="1" ht="15" customHeight="1" x14ac:dyDescent="0.2">
      <c r="A38" s="400" t="s">
        <v>145</v>
      </c>
      <c r="B38" s="352"/>
      <c r="C38" s="171" t="s">
        <v>140</v>
      </c>
      <c r="D38" s="172"/>
      <c r="E38" s="172"/>
      <c r="F38" s="241">
        <v>136</v>
      </c>
      <c r="G38" s="174">
        <f>F38*F39</f>
        <v>2720</v>
      </c>
      <c r="H38" s="181"/>
      <c r="I38" s="308">
        <f>G38*12</f>
        <v>32640</v>
      </c>
    </row>
    <row r="39" spans="1:10" s="2" customFormat="1" ht="15" customHeight="1" thickBot="1" x14ac:dyDescent="0.25">
      <c r="A39" s="397" t="s">
        <v>237</v>
      </c>
      <c r="B39" s="398"/>
      <c r="C39" s="169" t="s">
        <v>146</v>
      </c>
      <c r="D39" s="170"/>
      <c r="E39" s="170"/>
      <c r="F39" s="349">
        <v>20</v>
      </c>
      <c r="G39" s="167"/>
      <c r="H39" s="181"/>
    </row>
    <row r="40" spans="1:10" s="2" customFormat="1" ht="15" customHeight="1" thickBot="1" x14ac:dyDescent="0.25">
      <c r="A40" s="161"/>
      <c r="B40" s="195"/>
      <c r="C40" s="90"/>
      <c r="D40" s="90"/>
      <c r="E40" s="17"/>
      <c r="F40" s="164"/>
      <c r="G40" s="165"/>
      <c r="H40" s="181"/>
    </row>
    <row r="41" spans="1:10" s="2" customFormat="1" ht="15" customHeight="1" thickBot="1" x14ac:dyDescent="0.25">
      <c r="A41" s="336" t="s">
        <v>256</v>
      </c>
      <c r="B41" s="195"/>
      <c r="C41" s="177" t="s">
        <v>0</v>
      </c>
      <c r="D41" s="383" t="s">
        <v>257</v>
      </c>
      <c r="E41" s="384"/>
      <c r="F41" s="384"/>
      <c r="G41" s="385"/>
      <c r="H41" s="190"/>
    </row>
    <row r="42" spans="1:10" s="6" customFormat="1" ht="15.75" customHeight="1" thickBot="1" x14ac:dyDescent="0.25">
      <c r="A42" s="386" t="s">
        <v>258</v>
      </c>
      <c r="B42" s="387"/>
      <c r="C42" s="337">
        <v>0.5</v>
      </c>
      <c r="D42" s="388" t="s">
        <v>260</v>
      </c>
      <c r="E42" s="389"/>
      <c r="F42" s="389"/>
      <c r="G42" s="338"/>
      <c r="H42" s="190"/>
      <c r="I42" s="2">
        <f>136/80</f>
        <v>1.7</v>
      </c>
      <c r="J42" s="6" t="s">
        <v>273</v>
      </c>
    </row>
    <row r="43" spans="1:10" s="2" customFormat="1" ht="15" customHeight="1" thickBot="1" x14ac:dyDescent="0.25">
      <c r="A43" s="161"/>
      <c r="B43" s="195"/>
      <c r="C43" s="90"/>
      <c r="D43" s="90"/>
      <c r="E43" s="17"/>
      <c r="F43" s="164"/>
      <c r="G43" s="165"/>
      <c r="H43" s="181"/>
      <c r="I43" s="2">
        <v>2</v>
      </c>
      <c r="J43" s="155" t="s">
        <v>274</v>
      </c>
    </row>
    <row r="44" spans="1:10" s="2" customFormat="1" ht="15" customHeight="1" thickBot="1" x14ac:dyDescent="0.25">
      <c r="A44" s="367" t="s">
        <v>204</v>
      </c>
      <c r="B44" s="368"/>
      <c r="C44" s="368"/>
      <c r="D44" s="368"/>
      <c r="E44" s="368"/>
      <c r="F44" s="368"/>
      <c r="G44" s="369"/>
      <c r="H44" s="180"/>
      <c r="I44" s="2">
        <v>4</v>
      </c>
      <c r="J44" s="155" t="s">
        <v>278</v>
      </c>
    </row>
    <row r="45" spans="1:10" ht="11.25" customHeight="1" x14ac:dyDescent="0.2">
      <c r="A45" s="97" t="s">
        <v>23</v>
      </c>
      <c r="B45" s="6"/>
      <c r="E45" s="27"/>
      <c r="F45" s="27"/>
      <c r="G45" s="40"/>
      <c r="H45" s="181"/>
    </row>
    <row r="46" spans="1:10" ht="13.5" thickBot="1" x14ac:dyDescent="0.25">
      <c r="A46" s="97" t="s">
        <v>224</v>
      </c>
      <c r="B46" s="6"/>
      <c r="E46" s="27"/>
      <c r="F46" s="27"/>
      <c r="G46" s="40"/>
      <c r="H46" s="181"/>
    </row>
    <row r="47" spans="1:10" s="7" customFormat="1" ht="13.15" customHeight="1" thickBot="1" x14ac:dyDescent="0.25">
      <c r="A47" s="354" t="s">
        <v>26</v>
      </c>
      <c r="B47" s="355"/>
      <c r="C47" s="218" t="s">
        <v>27</v>
      </c>
      <c r="D47" s="218" t="s">
        <v>20</v>
      </c>
      <c r="E47" s="219" t="s">
        <v>90</v>
      </c>
      <c r="F47" s="219" t="s">
        <v>28</v>
      </c>
      <c r="G47" s="220" t="s">
        <v>29</v>
      </c>
      <c r="H47" s="220" t="s">
        <v>141</v>
      </c>
    </row>
    <row r="48" spans="1:10" x14ac:dyDescent="0.2">
      <c r="A48" s="356" t="s">
        <v>126</v>
      </c>
      <c r="B48" s="357"/>
      <c r="C48" s="8" t="s">
        <v>5</v>
      </c>
      <c r="D48" s="8">
        <v>1</v>
      </c>
      <c r="E48" s="175">
        <f>G30</f>
        <v>2265</v>
      </c>
      <c r="F48" s="9">
        <f>D48*E48</f>
        <v>2265</v>
      </c>
      <c r="G48" s="129"/>
      <c r="H48" s="129"/>
    </row>
    <row r="49" spans="1:9" x14ac:dyDescent="0.2">
      <c r="A49" s="294" t="s">
        <v>251</v>
      </c>
      <c r="B49" s="326"/>
      <c r="C49" s="89" t="s">
        <v>252</v>
      </c>
      <c r="D49" s="327"/>
      <c r="E49" s="11">
        <f>(E48/220)*0.2</f>
        <v>2.0590909090909091</v>
      </c>
      <c r="F49" s="9">
        <f>D49*E49</f>
        <v>0</v>
      </c>
      <c r="G49" s="130"/>
      <c r="H49" s="40"/>
    </row>
    <row r="50" spans="1:9" s="155" customFormat="1" ht="13.15" customHeight="1" x14ac:dyDescent="0.2">
      <c r="A50" s="334" t="s">
        <v>254</v>
      </c>
      <c r="C50" s="89" t="s">
        <v>19</v>
      </c>
      <c r="D50" s="184"/>
      <c r="E50" s="184">
        <f>((D49/F39)*5)*(SUM(E49))</f>
        <v>0</v>
      </c>
      <c r="F50" s="184">
        <f>E50</f>
        <v>0</v>
      </c>
      <c r="G50" s="130"/>
      <c r="H50" s="40"/>
      <c r="I50" s="4"/>
    </row>
    <row r="51" spans="1:9" s="6" customFormat="1" x14ac:dyDescent="0.2">
      <c r="A51" s="353" t="s">
        <v>1</v>
      </c>
      <c r="B51" s="361"/>
      <c r="C51" s="91"/>
      <c r="D51" s="91"/>
      <c r="E51" s="19"/>
      <c r="F51" s="35">
        <f>SUM(F48:F50)</f>
        <v>2265</v>
      </c>
      <c r="G51" s="131"/>
      <c r="H51" s="181"/>
    </row>
    <row r="52" spans="1:9" x14ac:dyDescent="0.2">
      <c r="A52" s="364" t="s">
        <v>2</v>
      </c>
      <c r="B52" s="352"/>
      <c r="C52" s="10" t="s">
        <v>0</v>
      </c>
      <c r="D52" s="41">
        <f>'Enc. Soc. - LR-LP e SN'!C$28*100</f>
        <v>70.61</v>
      </c>
      <c r="E52" s="11">
        <f>F51</f>
        <v>2265</v>
      </c>
      <c r="F52" s="11">
        <f>ROUND(E52*D52/100,2)</f>
        <v>1599.32</v>
      </c>
      <c r="G52" s="130"/>
      <c r="H52" s="181"/>
      <c r="I52" s="6"/>
    </row>
    <row r="53" spans="1:9" s="6" customFormat="1" x14ac:dyDescent="0.2">
      <c r="A53" s="353" t="s">
        <v>91</v>
      </c>
      <c r="B53" s="361"/>
      <c r="C53" s="81"/>
      <c r="D53" s="81"/>
      <c r="E53" s="82"/>
      <c r="F53" s="35">
        <f>F51+F52</f>
        <v>3864.3199999999997</v>
      </c>
      <c r="G53" s="131"/>
      <c r="H53" s="181"/>
    </row>
    <row r="54" spans="1:9" ht="13.5" thickBot="1" x14ac:dyDescent="0.25">
      <c r="A54" s="364" t="s">
        <v>3</v>
      </c>
      <c r="B54" s="352"/>
      <c r="C54" s="10" t="s">
        <v>4</v>
      </c>
      <c r="D54" s="176">
        <f>F30</f>
        <v>1</v>
      </c>
      <c r="E54" s="11">
        <f>F53</f>
        <v>3864.3199999999997</v>
      </c>
      <c r="F54" s="11">
        <f>D54*E54</f>
        <v>3864.3199999999997</v>
      </c>
      <c r="G54" s="221">
        <f>F54</f>
        <v>3864.3199999999997</v>
      </c>
      <c r="H54" s="221">
        <f>G54/G$38</f>
        <v>1.420705882352941</v>
      </c>
      <c r="I54" s="6"/>
    </row>
    <row r="55" spans="1:9" s="155" customFormat="1" ht="13.9" customHeight="1" thickBot="1" x14ac:dyDescent="0.25">
      <c r="A55" s="340"/>
      <c r="B55" s="198"/>
      <c r="C55" s="198"/>
      <c r="D55" s="198"/>
      <c r="E55" s="341" t="s">
        <v>261</v>
      </c>
      <c r="F55" s="339">
        <f>$C$42</f>
        <v>0.5</v>
      </c>
      <c r="G55" s="221">
        <f>F54*F55</f>
        <v>1932.1599999999999</v>
      </c>
      <c r="H55" s="221">
        <f>G55/G$38</f>
        <v>0.71035294117647052</v>
      </c>
      <c r="I55" s="6"/>
    </row>
    <row r="56" spans="1:9" ht="11.25" customHeight="1" x14ac:dyDescent="0.2">
      <c r="A56" s="96"/>
      <c r="E56" s="27"/>
      <c r="F56" s="27"/>
      <c r="G56" s="128"/>
      <c r="H56" s="181"/>
      <c r="I56" s="6"/>
    </row>
    <row r="57" spans="1:9" ht="11.25" customHeight="1" x14ac:dyDescent="0.2">
      <c r="A57" s="97" t="s">
        <v>225</v>
      </c>
      <c r="B57" s="6"/>
      <c r="E57" s="27"/>
      <c r="F57" s="27"/>
      <c r="G57" s="40"/>
      <c r="H57" s="181"/>
      <c r="I57" s="6"/>
    </row>
    <row r="58" spans="1:9" ht="11.25" customHeight="1" x14ac:dyDescent="0.2">
      <c r="A58" s="366" t="s">
        <v>2</v>
      </c>
      <c r="B58" s="352"/>
      <c r="C58" s="89" t="s">
        <v>0</v>
      </c>
      <c r="D58" s="41">
        <f>'Enc. Soc. - LR-LP e SN'!C$38*100</f>
        <v>32.817279999999997</v>
      </c>
      <c r="E58" s="11">
        <f>F51</f>
        <v>2265</v>
      </c>
      <c r="F58" s="11">
        <f>ROUND(E58*D58/100,2)</f>
        <v>743.31</v>
      </c>
      <c r="G58" s="40"/>
      <c r="H58" s="181"/>
      <c r="I58" s="6"/>
    </row>
    <row r="59" spans="1:9" x14ac:dyDescent="0.2">
      <c r="A59" s="353" t="s">
        <v>91</v>
      </c>
      <c r="B59" s="361"/>
      <c r="C59" s="91"/>
      <c r="D59" s="91"/>
      <c r="E59" s="19"/>
      <c r="F59" s="36">
        <f>E58+F58</f>
        <v>3008.31</v>
      </c>
      <c r="G59" s="40"/>
      <c r="H59" s="181"/>
      <c r="I59" s="6"/>
    </row>
    <row r="60" spans="1:9" ht="13.5" thickBot="1" x14ac:dyDescent="0.25">
      <c r="A60" s="364" t="s">
        <v>3</v>
      </c>
      <c r="B60" s="352"/>
      <c r="C60" s="10" t="s">
        <v>4</v>
      </c>
      <c r="D60" s="10">
        <f>D54</f>
        <v>1</v>
      </c>
      <c r="E60" s="11">
        <f>F59</f>
        <v>3008.31</v>
      </c>
      <c r="F60" s="11">
        <f>D60*E60</f>
        <v>3008.31</v>
      </c>
      <c r="G60" s="221">
        <f>F60</f>
        <v>3008.31</v>
      </c>
      <c r="H60" s="221">
        <f>G60/G$38</f>
        <v>1.1059963235294117</v>
      </c>
      <c r="I60" s="6"/>
    </row>
    <row r="61" spans="1:9" s="155" customFormat="1" ht="13.9" customHeight="1" thickBot="1" x14ac:dyDescent="0.25">
      <c r="A61" s="340"/>
      <c r="B61" s="198"/>
      <c r="C61" s="198"/>
      <c r="D61" s="198"/>
      <c r="E61" s="341" t="s">
        <v>261</v>
      </c>
      <c r="F61" s="339">
        <f>$C$42</f>
        <v>0.5</v>
      </c>
      <c r="G61" s="221">
        <f>F60*F61</f>
        <v>1504.155</v>
      </c>
      <c r="H61" s="221">
        <f>G61/G$38</f>
        <v>0.55299816176470584</v>
      </c>
      <c r="I61" s="6"/>
    </row>
    <row r="62" spans="1:9" ht="11.25" customHeight="1" x14ac:dyDescent="0.2">
      <c r="A62" s="96"/>
      <c r="E62" s="27"/>
      <c r="F62" s="27"/>
      <c r="G62" s="128"/>
      <c r="H62" s="181"/>
      <c r="I62" s="6"/>
    </row>
    <row r="63" spans="1:9" ht="13.5" thickBot="1" x14ac:dyDescent="0.25">
      <c r="A63" s="97" t="s">
        <v>226</v>
      </c>
      <c r="B63" s="6"/>
      <c r="C63" s="93"/>
      <c r="E63" s="4"/>
      <c r="F63" s="4"/>
      <c r="G63" s="40"/>
      <c r="H63" s="181"/>
      <c r="I63" s="6"/>
    </row>
    <row r="64" spans="1:9" ht="13.5" thickBot="1" x14ac:dyDescent="0.25">
      <c r="A64" s="354" t="s">
        <v>26</v>
      </c>
      <c r="B64" s="355"/>
      <c r="C64" s="218" t="s">
        <v>27</v>
      </c>
      <c r="D64" s="218" t="s">
        <v>20</v>
      </c>
      <c r="E64" s="219" t="s">
        <v>90</v>
      </c>
      <c r="F64" s="219" t="s">
        <v>28</v>
      </c>
      <c r="G64" s="220" t="s">
        <v>29</v>
      </c>
      <c r="H64" s="220" t="s">
        <v>141</v>
      </c>
      <c r="I64" s="6"/>
    </row>
    <row r="65" spans="1:9" x14ac:dyDescent="0.2">
      <c r="A65" s="365" t="s">
        <v>40</v>
      </c>
      <c r="B65" s="357"/>
      <c r="C65" s="10" t="s">
        <v>19</v>
      </c>
      <c r="D65" s="32">
        <v>1</v>
      </c>
      <c r="E65" s="243">
        <v>6.05</v>
      </c>
      <c r="F65" s="11"/>
      <c r="G65" s="129"/>
      <c r="H65" s="129"/>
      <c r="I65" s="6"/>
    </row>
    <row r="66" spans="1:9" x14ac:dyDescent="0.2">
      <c r="A66" s="364" t="s">
        <v>41</v>
      </c>
      <c r="B66" s="352"/>
      <c r="C66" s="10" t="s">
        <v>42</v>
      </c>
      <c r="D66" s="21">
        <f>F39</f>
        <v>20</v>
      </c>
      <c r="E66" s="11"/>
      <c r="F66" s="11"/>
      <c r="G66" s="130"/>
      <c r="H66" s="181"/>
      <c r="I66" s="6"/>
    </row>
    <row r="67" spans="1:9" ht="13.5" thickBot="1" x14ac:dyDescent="0.25">
      <c r="A67" s="351" t="s">
        <v>98</v>
      </c>
      <c r="B67" s="352"/>
      <c r="C67" s="8" t="s">
        <v>6</v>
      </c>
      <c r="D67" s="21">
        <f>$D$66*2*(F30)</f>
        <v>40</v>
      </c>
      <c r="E67" s="9">
        <f>IF(E65=0,"",IFERROR((($D$66*2*$E$65)-(F48*0.06*D66/D66))/($D$66*2),"-"))</f>
        <v>2.6524999999999999</v>
      </c>
      <c r="F67" s="9">
        <f>IFERROR(D67*E67,"-")</f>
        <v>106.1</v>
      </c>
      <c r="G67" s="221">
        <f>F67</f>
        <v>106.1</v>
      </c>
      <c r="H67" s="290">
        <f>G67/G$38</f>
        <v>3.9007352941176465E-2</v>
      </c>
      <c r="I67" s="6"/>
    </row>
    <row r="68" spans="1:9" s="155" customFormat="1" ht="13.9" customHeight="1" thickBot="1" x14ac:dyDescent="0.25">
      <c r="A68" s="340"/>
      <c r="B68" s="198"/>
      <c r="C68" s="198"/>
      <c r="D68" s="198"/>
      <c r="E68" s="341" t="s">
        <v>261</v>
      </c>
      <c r="F68" s="339">
        <f>$C$42</f>
        <v>0.5</v>
      </c>
      <c r="G68" s="221">
        <f>F67*F68</f>
        <v>53.05</v>
      </c>
      <c r="H68" s="221">
        <f>G68/G$38</f>
        <v>1.9503676470588233E-2</v>
      </c>
      <c r="I68" s="6"/>
    </row>
    <row r="69" spans="1:9" ht="11.25" customHeight="1" x14ac:dyDescent="0.2">
      <c r="A69" s="96"/>
      <c r="E69" s="27"/>
      <c r="F69" s="27"/>
      <c r="G69" s="128"/>
      <c r="H69" s="181"/>
      <c r="I69" s="6"/>
    </row>
    <row r="70" spans="1:9" ht="13.5" thickBot="1" x14ac:dyDescent="0.25">
      <c r="A70" s="97" t="s">
        <v>227</v>
      </c>
      <c r="B70" s="6"/>
      <c r="E70" s="27"/>
      <c r="F70" s="27"/>
      <c r="G70" s="132"/>
      <c r="H70" s="181"/>
      <c r="I70" s="6"/>
    </row>
    <row r="71" spans="1:9" ht="13.5" thickBot="1" x14ac:dyDescent="0.25">
      <c r="A71" s="222" t="s">
        <v>26</v>
      </c>
      <c r="B71" s="223"/>
      <c r="C71" s="218" t="s">
        <v>27</v>
      </c>
      <c r="D71" s="218" t="s">
        <v>20</v>
      </c>
      <c r="E71" s="219" t="s">
        <v>90</v>
      </c>
      <c r="F71" s="219" t="s">
        <v>28</v>
      </c>
      <c r="G71" s="220" t="s">
        <v>29</v>
      </c>
      <c r="H71" s="220" t="s">
        <v>141</v>
      </c>
      <c r="I71" s="6"/>
    </row>
    <row r="72" spans="1:9" ht="13.5" thickBot="1" x14ac:dyDescent="0.25">
      <c r="A72" s="351" t="s">
        <v>231</v>
      </c>
      <c r="B72" s="352"/>
      <c r="C72" s="89" t="s">
        <v>7</v>
      </c>
      <c r="D72" s="33">
        <f>D66*(F30)</f>
        <v>20</v>
      </c>
      <c r="E72" s="241">
        <f>13+26</f>
        <v>39</v>
      </c>
      <c r="F72" s="23">
        <f>D72*E72</f>
        <v>780</v>
      </c>
      <c r="G72" s="221">
        <f>F72</f>
        <v>780</v>
      </c>
      <c r="H72" s="221">
        <f>G72/G$38</f>
        <v>0.28676470588235292</v>
      </c>
      <c r="I72" s="6"/>
    </row>
    <row r="73" spans="1:9" s="155" customFormat="1" ht="13.9" customHeight="1" thickBot="1" x14ac:dyDescent="0.25">
      <c r="A73" s="340"/>
      <c r="B73" s="198"/>
      <c r="C73" s="198"/>
      <c r="D73" s="198"/>
      <c r="E73" s="341" t="s">
        <v>261</v>
      </c>
      <c r="F73" s="339">
        <f>$C$42</f>
        <v>0.5</v>
      </c>
      <c r="G73" s="221">
        <f>F72*F73</f>
        <v>390</v>
      </c>
      <c r="H73" s="221">
        <f>G73/G$38</f>
        <v>0.14338235294117646</v>
      </c>
      <c r="I73" s="6"/>
    </row>
    <row r="74" spans="1:9" x14ac:dyDescent="0.2">
      <c r="A74" s="96"/>
      <c r="E74" s="92"/>
      <c r="F74" s="92"/>
      <c r="G74" s="128"/>
      <c r="H74" s="181"/>
      <c r="I74" s="6"/>
    </row>
    <row r="75" spans="1:9" ht="13.5" thickBot="1" x14ac:dyDescent="0.25">
      <c r="A75" s="96"/>
      <c r="E75" s="27"/>
      <c r="F75" s="27"/>
      <c r="G75" s="132"/>
      <c r="H75" s="181"/>
      <c r="I75" s="6"/>
    </row>
    <row r="76" spans="1:9" ht="13.5" thickBot="1" x14ac:dyDescent="0.25">
      <c r="A76" s="12" t="s">
        <v>102</v>
      </c>
      <c r="B76" s="13"/>
      <c r="C76" s="13"/>
      <c r="D76" s="13"/>
      <c r="E76" s="14"/>
      <c r="F76" s="15"/>
      <c r="G76" s="224">
        <f>G55+G68+G73</f>
        <v>2375.21</v>
      </c>
      <c r="H76" s="225">
        <f>G76/G$38</f>
        <v>0.8732389705882353</v>
      </c>
      <c r="I76" s="6"/>
    </row>
    <row r="77" spans="1:9" ht="13.5" thickBot="1" x14ac:dyDescent="0.25">
      <c r="A77" s="12" t="s">
        <v>103</v>
      </c>
      <c r="B77" s="13"/>
      <c r="C77" s="13"/>
      <c r="D77" s="13"/>
      <c r="E77" s="14"/>
      <c r="F77" s="15"/>
      <c r="G77" s="226">
        <f>G61+G68+G73</f>
        <v>1947.2049999999999</v>
      </c>
      <c r="H77" s="221">
        <f>G77/G$38</f>
        <v>0.71588419117647051</v>
      </c>
    </row>
    <row r="78" spans="1:9" x14ac:dyDescent="0.2">
      <c r="A78" s="96"/>
      <c r="E78" s="27"/>
      <c r="F78" s="27"/>
      <c r="G78" s="128"/>
      <c r="H78" s="181"/>
    </row>
    <row r="79" spans="1:9" x14ac:dyDescent="0.2">
      <c r="A79" s="97" t="s">
        <v>189</v>
      </c>
      <c r="B79" s="6"/>
      <c r="E79" s="27"/>
      <c r="F79" s="27"/>
      <c r="G79" s="40"/>
      <c r="H79" s="181"/>
    </row>
    <row r="80" spans="1:9" ht="13.5" thickBot="1" x14ac:dyDescent="0.25">
      <c r="A80" s="97" t="s">
        <v>190</v>
      </c>
      <c r="B80" s="6"/>
      <c r="E80" s="27"/>
      <c r="F80" s="27"/>
      <c r="G80" s="40"/>
      <c r="H80" s="181"/>
    </row>
    <row r="81" spans="1:8" ht="13.5" thickBot="1" x14ac:dyDescent="0.25">
      <c r="A81" s="222" t="s">
        <v>26</v>
      </c>
      <c r="B81" s="223"/>
      <c r="C81" s="218" t="s">
        <v>27</v>
      </c>
      <c r="D81" s="218" t="s">
        <v>20</v>
      </c>
      <c r="E81" s="219" t="s">
        <v>90</v>
      </c>
      <c r="F81" s="219" t="s">
        <v>28</v>
      </c>
      <c r="G81" s="220" t="s">
        <v>29</v>
      </c>
      <c r="H81" s="220" t="s">
        <v>141</v>
      </c>
    </row>
    <row r="82" spans="1:8" x14ac:dyDescent="0.2">
      <c r="A82" s="356" t="s">
        <v>124</v>
      </c>
      <c r="B82" s="357"/>
      <c r="C82" s="8" t="s">
        <v>7</v>
      </c>
      <c r="D82" s="8">
        <v>1</v>
      </c>
      <c r="E82" s="175">
        <f>G34</f>
        <v>493955</v>
      </c>
      <c r="F82" s="9">
        <f>D82*E82</f>
        <v>493955</v>
      </c>
      <c r="G82" s="129"/>
      <c r="H82" s="129"/>
    </row>
    <row r="83" spans="1:8" x14ac:dyDescent="0.2">
      <c r="A83" s="351" t="s">
        <v>132</v>
      </c>
      <c r="B83" s="352"/>
      <c r="C83" s="10" t="s">
        <v>43</v>
      </c>
      <c r="D83" s="176">
        <f>C34</f>
        <v>10</v>
      </c>
      <c r="E83" s="31"/>
      <c r="F83" s="11"/>
      <c r="G83" s="130"/>
      <c r="H83" s="181"/>
    </row>
    <row r="84" spans="1:8" x14ac:dyDescent="0.2">
      <c r="A84" s="351" t="s">
        <v>127</v>
      </c>
      <c r="B84" s="352"/>
      <c r="C84" s="10" t="s">
        <v>0</v>
      </c>
      <c r="D84" s="41">
        <f>Depr.!B12</f>
        <v>65.180000000000007</v>
      </c>
      <c r="E84" s="184">
        <f>F82</f>
        <v>493955</v>
      </c>
      <c r="F84" s="184">
        <f>D84*E84/100</f>
        <v>321959.86900000001</v>
      </c>
      <c r="G84" s="130"/>
      <c r="H84" s="181"/>
    </row>
    <row r="85" spans="1:8" x14ac:dyDescent="0.2">
      <c r="A85" s="353" t="s">
        <v>133</v>
      </c>
      <c r="B85" s="352"/>
      <c r="C85" s="34" t="s">
        <v>5</v>
      </c>
      <c r="D85" s="34">
        <f>D83*12</f>
        <v>120</v>
      </c>
      <c r="E85" s="35">
        <f>F84</f>
        <v>321959.86900000001</v>
      </c>
      <c r="F85" s="35">
        <f>IFERROR(E85/D85,0)</f>
        <v>2682.9989083333335</v>
      </c>
      <c r="G85" s="130"/>
      <c r="H85" s="181"/>
    </row>
    <row r="86" spans="1:8" ht="13.5" thickBot="1" x14ac:dyDescent="0.25">
      <c r="A86" s="353" t="s">
        <v>94</v>
      </c>
      <c r="B86" s="352"/>
      <c r="C86" s="148" t="s">
        <v>7</v>
      </c>
      <c r="D86" s="183">
        <f>F34</f>
        <v>1</v>
      </c>
      <c r="E86" s="149">
        <f>F85</f>
        <v>2682.9989083333335</v>
      </c>
      <c r="F86" s="319">
        <f>D86*E86</f>
        <v>2682.9989083333335</v>
      </c>
      <c r="G86" s="221">
        <f>F86</f>
        <v>2682.9989083333335</v>
      </c>
      <c r="H86" s="221">
        <f>G86/G$38</f>
        <v>0.98639665747549021</v>
      </c>
    </row>
    <row r="87" spans="1:8" x14ac:dyDescent="0.2">
      <c r="A87" s="100"/>
      <c r="B87" s="87"/>
      <c r="C87" s="87"/>
      <c r="D87" s="87"/>
      <c r="E87" s="92"/>
      <c r="F87" s="92"/>
      <c r="G87" s="128"/>
      <c r="H87" s="181"/>
    </row>
    <row r="88" spans="1:8" ht="13.5" thickBot="1" x14ac:dyDescent="0.25">
      <c r="A88" s="97" t="s">
        <v>191</v>
      </c>
      <c r="B88" s="6"/>
      <c r="E88" s="27"/>
      <c r="F88" s="253"/>
      <c r="G88" s="40"/>
      <c r="H88" s="181"/>
    </row>
    <row r="89" spans="1:8" ht="13.5" thickBot="1" x14ac:dyDescent="0.25">
      <c r="A89" s="354" t="s">
        <v>26</v>
      </c>
      <c r="B89" s="355"/>
      <c r="C89" s="218" t="s">
        <v>27</v>
      </c>
      <c r="D89" s="218" t="s">
        <v>20</v>
      </c>
      <c r="E89" s="219" t="s">
        <v>90</v>
      </c>
      <c r="F89" s="219" t="s">
        <v>28</v>
      </c>
      <c r="G89" s="220" t="s">
        <v>29</v>
      </c>
      <c r="H89" s="220" t="s">
        <v>141</v>
      </c>
    </row>
    <row r="90" spans="1:8" x14ac:dyDescent="0.2">
      <c r="A90" s="356" t="s">
        <v>134</v>
      </c>
      <c r="B90" s="357"/>
      <c r="C90" s="8" t="s">
        <v>7</v>
      </c>
      <c r="D90" s="8">
        <v>1</v>
      </c>
      <c r="E90" s="9">
        <f>E82</f>
        <v>493955</v>
      </c>
      <c r="F90" s="9">
        <f>D90*E90</f>
        <v>493955</v>
      </c>
      <c r="G90" s="134"/>
      <c r="H90" s="129"/>
    </row>
    <row r="91" spans="1:8" x14ac:dyDescent="0.2">
      <c r="A91" s="364" t="s">
        <v>86</v>
      </c>
      <c r="B91" s="352"/>
      <c r="C91" s="10" t="s">
        <v>0</v>
      </c>
      <c r="D91" s="244">
        <v>10.5</v>
      </c>
      <c r="E91" s="11"/>
      <c r="F91" s="11"/>
      <c r="G91" s="133"/>
      <c r="H91" s="181"/>
    </row>
    <row r="92" spans="1:8" x14ac:dyDescent="0.2">
      <c r="A92" s="351" t="s">
        <v>197</v>
      </c>
      <c r="B92" s="352"/>
      <c r="C92" s="10" t="s">
        <v>19</v>
      </c>
      <c r="D92" s="45">
        <f>F90</f>
        <v>493955</v>
      </c>
      <c r="E92" s="11"/>
      <c r="F92" s="11"/>
      <c r="G92" s="133"/>
      <c r="H92" s="181"/>
    </row>
    <row r="93" spans="1:8" x14ac:dyDescent="0.2">
      <c r="A93" s="351" t="s">
        <v>196</v>
      </c>
      <c r="B93" s="352"/>
      <c r="C93" s="10"/>
      <c r="D93" s="45">
        <f>F82-F84</f>
        <v>171995.13099999999</v>
      </c>
      <c r="E93" s="11"/>
      <c r="F93" s="11"/>
      <c r="G93" s="133"/>
      <c r="H93" s="181"/>
    </row>
    <row r="94" spans="1:8" x14ac:dyDescent="0.2">
      <c r="A94" s="351" t="s">
        <v>188</v>
      </c>
      <c r="B94" s="352"/>
      <c r="C94" s="10" t="s">
        <v>19</v>
      </c>
      <c r="D94" s="31">
        <f>(D92-D93)*((D83+1)/(2*D83))+D93</f>
        <v>349073.05894999998</v>
      </c>
      <c r="E94" s="11"/>
      <c r="F94" s="11"/>
      <c r="G94" s="133"/>
      <c r="H94" s="181"/>
    </row>
    <row r="95" spans="1:8" x14ac:dyDescent="0.2">
      <c r="A95" s="353" t="s">
        <v>135</v>
      </c>
      <c r="B95" s="352"/>
      <c r="C95" s="34" t="s">
        <v>19</v>
      </c>
      <c r="D95" s="34"/>
      <c r="E95" s="151">
        <f>ROUND(D91*D94/12/100,2)</f>
        <v>3054.39</v>
      </c>
      <c r="F95" s="35">
        <f>E95</f>
        <v>3054.39</v>
      </c>
      <c r="G95" s="133"/>
      <c r="H95" s="181"/>
    </row>
    <row r="96" spans="1:8" x14ac:dyDescent="0.2">
      <c r="A96" s="353" t="s">
        <v>136</v>
      </c>
      <c r="B96" s="361"/>
      <c r="C96" s="91"/>
      <c r="D96" s="91"/>
      <c r="E96" s="19"/>
      <c r="F96" s="150">
        <f>F95</f>
        <v>3054.39</v>
      </c>
      <c r="G96" s="133"/>
      <c r="H96" s="181"/>
    </row>
    <row r="97" spans="1:8" ht="13.5" thickBot="1" x14ac:dyDescent="0.25">
      <c r="A97" s="353" t="s">
        <v>94</v>
      </c>
      <c r="B97" s="352"/>
      <c r="C97" s="34" t="s">
        <v>7</v>
      </c>
      <c r="D97" s="10">
        <f>D86</f>
        <v>1</v>
      </c>
      <c r="E97" s="35">
        <f>F96</f>
        <v>3054.39</v>
      </c>
      <c r="F97" s="36">
        <f>D97*E97</f>
        <v>3054.39</v>
      </c>
      <c r="G97" s="221">
        <f>F97</f>
        <v>3054.39</v>
      </c>
      <c r="H97" s="221">
        <f>G97/G$38</f>
        <v>1.1229374999999999</v>
      </c>
    </row>
    <row r="98" spans="1:8" ht="11.25" customHeight="1" x14ac:dyDescent="0.2">
      <c r="A98" s="96"/>
      <c r="E98" s="27"/>
      <c r="F98" s="27"/>
      <c r="G98" s="128"/>
      <c r="H98" s="181"/>
    </row>
    <row r="99" spans="1:8" ht="13.5" thickBot="1" x14ac:dyDescent="0.25">
      <c r="A99" s="97" t="s">
        <v>192</v>
      </c>
      <c r="B99" s="6"/>
      <c r="E99" s="27"/>
      <c r="F99" s="27"/>
      <c r="G99" s="40"/>
      <c r="H99" s="181"/>
    </row>
    <row r="100" spans="1:8" ht="13.5" thickBot="1" x14ac:dyDescent="0.25">
      <c r="A100" s="354" t="s">
        <v>26</v>
      </c>
      <c r="B100" s="355"/>
      <c r="C100" s="218" t="s">
        <v>27</v>
      </c>
      <c r="D100" s="218" t="s">
        <v>20</v>
      </c>
      <c r="E100" s="219" t="s">
        <v>90</v>
      </c>
      <c r="F100" s="219" t="s">
        <v>28</v>
      </c>
      <c r="G100" s="220" t="s">
        <v>29</v>
      </c>
      <c r="H100" s="220" t="s">
        <v>141</v>
      </c>
    </row>
    <row r="101" spans="1:8" x14ac:dyDescent="0.2">
      <c r="A101" s="365" t="s">
        <v>8</v>
      </c>
      <c r="B101" s="357"/>
      <c r="C101" s="8" t="s">
        <v>7</v>
      </c>
      <c r="D101" s="9">
        <f>D86</f>
        <v>1</v>
      </c>
      <c r="E101" s="9">
        <f>0.01*($F$82)</f>
        <v>4939.55</v>
      </c>
      <c r="F101" s="9">
        <f t="shared" ref="F101:F107" si="5">D101*E101</f>
        <v>4939.55</v>
      </c>
      <c r="G101" s="129"/>
      <c r="H101" s="129"/>
    </row>
    <row r="102" spans="1:8" x14ac:dyDescent="0.2">
      <c r="A102" s="351" t="s">
        <v>232</v>
      </c>
      <c r="B102" s="352"/>
      <c r="C102" s="10" t="s">
        <v>7</v>
      </c>
      <c r="D102" s="9">
        <f>D86</f>
        <v>1</v>
      </c>
      <c r="E102" s="241">
        <v>160.22</v>
      </c>
      <c r="F102" s="11">
        <f t="shared" si="5"/>
        <v>160.22</v>
      </c>
      <c r="G102" s="130"/>
      <c r="H102" s="181"/>
    </row>
    <row r="103" spans="1:8" x14ac:dyDescent="0.2">
      <c r="A103" s="364" t="s">
        <v>9</v>
      </c>
      <c r="B103" s="352"/>
      <c r="C103" s="10" t="s">
        <v>7</v>
      </c>
      <c r="D103" s="9">
        <f>D86</f>
        <v>1</v>
      </c>
      <c r="E103" s="241">
        <v>1310.25</v>
      </c>
      <c r="F103" s="11">
        <f t="shared" si="5"/>
        <v>1310.25</v>
      </c>
      <c r="G103" s="135"/>
      <c r="H103" s="181"/>
    </row>
    <row r="104" spans="1:8" x14ac:dyDescent="0.2">
      <c r="A104" s="351" t="s">
        <v>249</v>
      </c>
      <c r="B104" s="352"/>
      <c r="C104" s="10" t="s">
        <v>7</v>
      </c>
      <c r="D104" s="9">
        <v>1</v>
      </c>
      <c r="E104" s="241">
        <v>1171.9000000000001</v>
      </c>
      <c r="F104" s="11">
        <f t="shared" si="5"/>
        <v>1171.9000000000001</v>
      </c>
      <c r="G104" s="135"/>
      <c r="H104" s="181"/>
    </row>
    <row r="105" spans="1:8" x14ac:dyDescent="0.2">
      <c r="A105" s="351" t="s">
        <v>255</v>
      </c>
      <c r="B105" s="352"/>
      <c r="C105" s="10" t="s">
        <v>7</v>
      </c>
      <c r="D105" s="9">
        <v>1</v>
      </c>
      <c r="E105" s="241">
        <v>540.09</v>
      </c>
      <c r="F105" s="11">
        <f t="shared" si="5"/>
        <v>540.09</v>
      </c>
      <c r="G105" s="135"/>
      <c r="H105" s="181"/>
    </row>
    <row r="106" spans="1:8" x14ac:dyDescent="0.2">
      <c r="A106" s="306" t="s">
        <v>244</v>
      </c>
      <c r="B106" s="307"/>
      <c r="C106" s="10" t="s">
        <v>7</v>
      </c>
      <c r="D106" s="9">
        <v>1</v>
      </c>
      <c r="E106" s="241">
        <v>400</v>
      </c>
      <c r="F106" s="11">
        <f t="shared" ref="F106" si="6">D106*E106</f>
        <v>400</v>
      </c>
      <c r="G106" s="135"/>
      <c r="H106" s="181"/>
    </row>
    <row r="107" spans="1:8" x14ac:dyDescent="0.2">
      <c r="A107" s="351" t="s">
        <v>177</v>
      </c>
      <c r="B107" s="352"/>
      <c r="C107" s="10" t="s">
        <v>7</v>
      </c>
      <c r="D107" s="9">
        <v>1</v>
      </c>
      <c r="E107" s="241">
        <v>45</v>
      </c>
      <c r="F107" s="11">
        <f t="shared" si="5"/>
        <v>45</v>
      </c>
      <c r="G107" s="135"/>
      <c r="H107" s="181"/>
    </row>
    <row r="108" spans="1:8" ht="13.5" thickBot="1" x14ac:dyDescent="0.25">
      <c r="A108" s="353" t="s">
        <v>10</v>
      </c>
      <c r="B108" s="352"/>
      <c r="C108" s="34" t="s">
        <v>5</v>
      </c>
      <c r="D108" s="34">
        <v>12</v>
      </c>
      <c r="E108" s="35">
        <f>SUM(F101:F107)</f>
        <v>8567.01</v>
      </c>
      <c r="F108" s="35">
        <f>ROUND(E108/D108,2)</f>
        <v>713.92</v>
      </c>
      <c r="G108" s="221">
        <f>F108</f>
        <v>713.92</v>
      </c>
      <c r="H108" s="221">
        <f>G108/G$38</f>
        <v>0.26247058823529412</v>
      </c>
    </row>
    <row r="109" spans="1:8" x14ac:dyDescent="0.2">
      <c r="A109" s="320"/>
      <c r="B109" s="321"/>
      <c r="C109" s="91"/>
      <c r="D109" s="91"/>
      <c r="E109" s="19"/>
      <c r="F109" s="19"/>
      <c r="G109" s="136"/>
      <c r="H109" s="322"/>
    </row>
    <row r="110" spans="1:8" x14ac:dyDescent="0.2">
      <c r="A110" s="97" t="s">
        <v>193</v>
      </c>
      <c r="B110" s="6"/>
      <c r="C110" s="95"/>
      <c r="E110" s="27"/>
      <c r="F110" s="27"/>
      <c r="G110" s="40"/>
      <c r="H110" s="181"/>
    </row>
    <row r="111" spans="1:8" ht="13.5" thickBot="1" x14ac:dyDescent="0.25">
      <c r="A111" s="99" t="s">
        <v>137</v>
      </c>
      <c r="B111" s="197"/>
      <c r="C111" s="178">
        <f>G38</f>
        <v>2720</v>
      </c>
      <c r="E111" s="27"/>
      <c r="F111" s="27"/>
      <c r="G111" s="40"/>
      <c r="H111" s="181"/>
    </row>
    <row r="112" spans="1:8" ht="13.5" thickBot="1" x14ac:dyDescent="0.25">
      <c r="A112" s="354" t="s">
        <v>26</v>
      </c>
      <c r="B112" s="355"/>
      <c r="C112" s="218" t="s">
        <v>27</v>
      </c>
      <c r="D112" s="218" t="s">
        <v>93</v>
      </c>
      <c r="E112" s="219" t="s">
        <v>90</v>
      </c>
      <c r="F112" s="219" t="s">
        <v>28</v>
      </c>
      <c r="G112" s="220" t="s">
        <v>29</v>
      </c>
      <c r="H112" s="220" t="s">
        <v>141</v>
      </c>
    </row>
    <row r="113" spans="1:8" x14ac:dyDescent="0.2">
      <c r="A113" s="365" t="s">
        <v>11</v>
      </c>
      <c r="B113" s="357"/>
      <c r="C113" s="8" t="s">
        <v>12</v>
      </c>
      <c r="D113" s="175">
        <f>F35</f>
        <v>6</v>
      </c>
      <c r="E113" s="175">
        <f>G35</f>
        <v>5.62</v>
      </c>
      <c r="F113" s="9"/>
      <c r="G113" s="129"/>
      <c r="H113" s="129"/>
    </row>
    <row r="114" spans="1:8" x14ac:dyDescent="0.2">
      <c r="A114" s="351" t="s">
        <v>253</v>
      </c>
      <c r="B114" s="352"/>
      <c r="C114" s="10" t="s">
        <v>13</v>
      </c>
      <c r="D114" s="32">
        <f>C111</f>
        <v>2720</v>
      </c>
      <c r="E114" s="86">
        <f>IFERROR(+E113/D113,"-")</f>
        <v>0.93666666666666665</v>
      </c>
      <c r="F114" s="11">
        <f>IFERROR(D114*E114,"-")</f>
        <v>2547.7333333333331</v>
      </c>
      <c r="G114" s="130"/>
      <c r="H114" s="181"/>
    </row>
    <row r="115" spans="1:8" x14ac:dyDescent="0.2">
      <c r="A115" s="306" t="s">
        <v>263</v>
      </c>
      <c r="B115" s="307"/>
      <c r="C115" s="10" t="s">
        <v>12</v>
      </c>
      <c r="D115" s="241">
        <v>65</v>
      </c>
      <c r="E115" s="346">
        <v>4</v>
      </c>
      <c r="F115" s="11"/>
      <c r="G115" s="130"/>
      <c r="H115" s="181"/>
    </row>
    <row r="116" spans="1:8" x14ac:dyDescent="0.2">
      <c r="A116" s="306" t="s">
        <v>264</v>
      </c>
      <c r="B116" s="307"/>
      <c r="C116" s="10" t="s">
        <v>13</v>
      </c>
      <c r="D116" s="32">
        <f>C111</f>
        <v>2720</v>
      </c>
      <c r="E116" s="86">
        <f>IFERROR(+E115/D115,"-")</f>
        <v>6.1538461538461542E-2</v>
      </c>
      <c r="F116" s="11">
        <f>IFERROR(D116*E116,"-")</f>
        <v>167.38461538461539</v>
      </c>
      <c r="G116" s="130"/>
      <c r="H116" s="181"/>
    </row>
    <row r="117" spans="1:8" x14ac:dyDescent="0.2">
      <c r="A117" s="351" t="s">
        <v>208</v>
      </c>
      <c r="B117" s="352"/>
      <c r="C117" s="89" t="s">
        <v>209</v>
      </c>
      <c r="D117" s="245">
        <v>4.5999999999999996</v>
      </c>
      <c r="E117" s="241">
        <v>22.8</v>
      </c>
      <c r="F117" s="11"/>
      <c r="G117" s="130"/>
      <c r="H117" s="181"/>
    </row>
    <row r="118" spans="1:8" x14ac:dyDescent="0.2">
      <c r="A118" s="364" t="s">
        <v>15</v>
      </c>
      <c r="B118" s="352"/>
      <c r="C118" s="10" t="s">
        <v>13</v>
      </c>
      <c r="D118" s="32">
        <f>D114</f>
        <v>2720</v>
      </c>
      <c r="E118" s="214">
        <f>+D117*E117/100000</f>
        <v>1.0487999999999999E-3</v>
      </c>
      <c r="F118" s="11">
        <f>D118*E118</f>
        <v>2.8527359999999997</v>
      </c>
      <c r="G118" s="130"/>
      <c r="H118" s="181"/>
    </row>
    <row r="119" spans="1:8" x14ac:dyDescent="0.2">
      <c r="A119" s="351" t="s">
        <v>211</v>
      </c>
      <c r="B119" s="352"/>
      <c r="C119" s="89" t="s">
        <v>210</v>
      </c>
      <c r="D119" s="245">
        <v>1.7</v>
      </c>
      <c r="E119" s="241">
        <v>21.95</v>
      </c>
      <c r="F119" s="11"/>
      <c r="G119" s="130"/>
      <c r="H119" s="181"/>
    </row>
    <row r="120" spans="1:8" x14ac:dyDescent="0.2">
      <c r="A120" s="364" t="s">
        <v>16</v>
      </c>
      <c r="B120" s="352"/>
      <c r="C120" s="10" t="s">
        <v>13</v>
      </c>
      <c r="D120" s="32">
        <f>D114</f>
        <v>2720</v>
      </c>
      <c r="E120" s="214">
        <f>+D119*E119/80000</f>
        <v>4.6643749999999995E-4</v>
      </c>
      <c r="F120" s="11">
        <f>D120*E120</f>
        <v>1.2687099999999998</v>
      </c>
      <c r="G120" s="130"/>
      <c r="H120" s="181"/>
    </row>
    <row r="121" spans="1:8" x14ac:dyDescent="0.2">
      <c r="A121" s="351" t="s">
        <v>213</v>
      </c>
      <c r="B121" s="352"/>
      <c r="C121" s="89" t="s">
        <v>212</v>
      </c>
      <c r="D121" s="245">
        <v>1</v>
      </c>
      <c r="E121" s="241">
        <v>20.9</v>
      </c>
      <c r="F121" s="11"/>
      <c r="G121" s="130"/>
      <c r="H121" s="181"/>
    </row>
    <row r="122" spans="1:8" x14ac:dyDescent="0.2">
      <c r="A122" s="364" t="s">
        <v>17</v>
      </c>
      <c r="B122" s="352"/>
      <c r="C122" s="10" t="s">
        <v>13</v>
      </c>
      <c r="D122" s="32">
        <f>D114</f>
        <v>2720</v>
      </c>
      <c r="E122" s="83">
        <f>+D121*E121/10000</f>
        <v>2.0899999999999998E-3</v>
      </c>
      <c r="F122" s="11">
        <f>D122*E122</f>
        <v>5.6847999999999992</v>
      </c>
      <c r="G122" s="130"/>
      <c r="H122" s="181"/>
    </row>
    <row r="123" spans="1:8" ht="13.5" thickBot="1" x14ac:dyDescent="0.25">
      <c r="A123" s="353" t="s">
        <v>92</v>
      </c>
      <c r="B123" s="352"/>
      <c r="C123" s="34" t="s">
        <v>44</v>
      </c>
      <c r="D123" s="84"/>
      <c r="E123" s="85">
        <f>IFERROR(E114+E116+E118+E120+E122,0)</f>
        <v>1.001810365705128</v>
      </c>
      <c r="F123" s="35">
        <f>ROUND(SUM(F113:F122),2)</f>
        <v>2724.92</v>
      </c>
      <c r="G123" s="221">
        <f>F123</f>
        <v>2724.92</v>
      </c>
      <c r="H123" s="221">
        <f>G123/G$38</f>
        <v>1.0018088235294118</v>
      </c>
    </row>
    <row r="124" spans="1:8" ht="11.25" customHeight="1" x14ac:dyDescent="0.2">
      <c r="A124" s="96"/>
      <c r="E124" s="27"/>
      <c r="F124" s="27"/>
      <c r="G124" s="128"/>
      <c r="H124" s="181"/>
    </row>
    <row r="125" spans="1:8" ht="13.5" thickBot="1" x14ac:dyDescent="0.25">
      <c r="A125" s="97" t="s">
        <v>235</v>
      </c>
      <c r="B125" s="6"/>
      <c r="E125" s="27"/>
      <c r="F125" s="27"/>
      <c r="G125" s="40"/>
      <c r="H125" s="181"/>
    </row>
    <row r="126" spans="1:8" ht="13.5" thickBot="1" x14ac:dyDescent="0.25">
      <c r="A126" s="354" t="s">
        <v>26</v>
      </c>
      <c r="B126" s="355"/>
      <c r="C126" s="218" t="s">
        <v>27</v>
      </c>
      <c r="D126" s="218" t="s">
        <v>20</v>
      </c>
      <c r="E126" s="219" t="s">
        <v>90</v>
      </c>
      <c r="F126" s="219" t="s">
        <v>28</v>
      </c>
      <c r="G126" s="220" t="s">
        <v>29</v>
      </c>
      <c r="H126" s="220" t="s">
        <v>141</v>
      </c>
    </row>
    <row r="127" spans="1:8" x14ac:dyDescent="0.2">
      <c r="A127" s="356" t="s">
        <v>169</v>
      </c>
      <c r="B127" s="357"/>
      <c r="C127" s="8" t="s">
        <v>44</v>
      </c>
      <c r="D127" s="32">
        <f>D114</f>
        <v>2720</v>
      </c>
      <c r="E127" s="246">
        <v>0.35</v>
      </c>
      <c r="F127" s="9">
        <f>D127*E127</f>
        <v>951.99999999999989</v>
      </c>
      <c r="G127" s="129"/>
      <c r="H127" s="129"/>
    </row>
    <row r="128" spans="1:8" x14ac:dyDescent="0.2">
      <c r="A128" s="351" t="s">
        <v>128</v>
      </c>
      <c r="B128" s="352"/>
      <c r="C128" s="152" t="s">
        <v>129</v>
      </c>
      <c r="D128" s="248">
        <v>4</v>
      </c>
      <c r="E128" s="247">
        <v>180</v>
      </c>
      <c r="F128" s="153">
        <f>D128*E128</f>
        <v>720</v>
      </c>
      <c r="G128" s="40"/>
      <c r="H128" s="40"/>
    </row>
    <row r="129" spans="1:10" s="155" customFormat="1" x14ac:dyDescent="0.2">
      <c r="A129" s="351" t="s">
        <v>236</v>
      </c>
      <c r="B129" s="352"/>
      <c r="C129" s="152" t="s">
        <v>129</v>
      </c>
      <c r="D129" s="300">
        <f>F39*2</f>
        <v>40</v>
      </c>
      <c r="E129" s="301">
        <f>8.6+8.6</f>
        <v>17.2</v>
      </c>
      <c r="F129" s="153">
        <f>D129*E129</f>
        <v>688</v>
      </c>
      <c r="G129" s="154"/>
      <c r="H129" s="182"/>
      <c r="I129" s="4"/>
      <c r="J129" s="155" t="s">
        <v>291</v>
      </c>
    </row>
    <row r="130" spans="1:10" s="155" customFormat="1" ht="13.5" thickBot="1" x14ac:dyDescent="0.25">
      <c r="A130" s="353" t="s">
        <v>130</v>
      </c>
      <c r="B130" s="352"/>
      <c r="C130" s="89" t="s">
        <v>131</v>
      </c>
      <c r="D130" s="156"/>
      <c r="E130" s="23"/>
      <c r="F130" s="149">
        <f>ROUND(SUM(F127:F129),2)</f>
        <v>2360</v>
      </c>
      <c r="G130" s="221">
        <f>F130</f>
        <v>2360</v>
      </c>
      <c r="H130" s="221">
        <f>G130/G$38</f>
        <v>0.86764705882352944</v>
      </c>
      <c r="I130" s="4"/>
      <c r="J130" s="155" t="s">
        <v>288</v>
      </c>
    </row>
    <row r="131" spans="1:10" ht="11.25" customHeight="1" x14ac:dyDescent="0.2">
      <c r="A131" s="96"/>
      <c r="E131" s="27"/>
      <c r="F131" s="27"/>
      <c r="G131" s="128"/>
      <c r="H131" s="181"/>
    </row>
    <row r="132" spans="1:10" ht="13.5" thickBot="1" x14ac:dyDescent="0.25">
      <c r="A132" s="97" t="s">
        <v>195</v>
      </c>
      <c r="B132" s="6"/>
      <c r="E132" s="27"/>
      <c r="F132" s="27"/>
      <c r="G132" s="40"/>
      <c r="H132" s="181"/>
    </row>
    <row r="133" spans="1:10" ht="13.5" thickBot="1" x14ac:dyDescent="0.25">
      <c r="A133" s="354" t="s">
        <v>26</v>
      </c>
      <c r="B133" s="355"/>
      <c r="C133" s="218" t="s">
        <v>27</v>
      </c>
      <c r="D133" s="218" t="s">
        <v>20</v>
      </c>
      <c r="E133" s="219" t="s">
        <v>90</v>
      </c>
      <c r="F133" s="219" t="s">
        <v>28</v>
      </c>
      <c r="G133" s="220" t="s">
        <v>29</v>
      </c>
      <c r="H133" s="220" t="s">
        <v>141</v>
      </c>
    </row>
    <row r="134" spans="1:10" x14ac:dyDescent="0.2">
      <c r="A134" s="356" t="s">
        <v>262</v>
      </c>
      <c r="B134" s="357"/>
      <c r="C134" s="8" t="s">
        <v>7</v>
      </c>
      <c r="D134" s="249">
        <v>6</v>
      </c>
      <c r="E134" s="247">
        <v>745</v>
      </c>
      <c r="F134" s="9">
        <f>D134*E134</f>
        <v>4470</v>
      </c>
      <c r="G134" s="129"/>
      <c r="H134" s="129"/>
    </row>
    <row r="135" spans="1:10" x14ac:dyDescent="0.2">
      <c r="A135" s="294" t="s">
        <v>233</v>
      </c>
      <c r="B135" s="295"/>
      <c r="C135" s="152" t="s">
        <v>27</v>
      </c>
      <c r="D135" s="298">
        <v>0</v>
      </c>
      <c r="E135" s="296"/>
      <c r="F135" s="153"/>
      <c r="G135" s="130"/>
      <c r="H135" s="40"/>
    </row>
    <row r="136" spans="1:10" x14ac:dyDescent="0.2">
      <c r="A136" s="294" t="s">
        <v>234</v>
      </c>
      <c r="B136" s="295"/>
      <c r="C136" s="152" t="s">
        <v>27</v>
      </c>
      <c r="D136" s="153">
        <f>D134*D135</f>
        <v>0</v>
      </c>
      <c r="E136" s="247">
        <v>0</v>
      </c>
      <c r="F136" s="153">
        <f>D136*E136</f>
        <v>0</v>
      </c>
      <c r="G136" s="130"/>
      <c r="H136" s="40"/>
    </row>
    <row r="137" spans="1:10" x14ac:dyDescent="0.2">
      <c r="A137" s="351" t="s">
        <v>125</v>
      </c>
      <c r="B137" s="352"/>
      <c r="C137" s="10" t="s">
        <v>18</v>
      </c>
      <c r="D137" s="299">
        <v>45000</v>
      </c>
      <c r="E137" s="184">
        <f>F134+F136</f>
        <v>4470</v>
      </c>
      <c r="F137" s="184">
        <f>IFERROR(E137/D137,"-")</f>
        <v>9.9333333333333329E-2</v>
      </c>
      <c r="G137" s="130"/>
      <c r="H137" s="181"/>
    </row>
    <row r="138" spans="1:10" ht="13.5" thickBot="1" x14ac:dyDescent="0.25">
      <c r="A138" s="353" t="s">
        <v>24</v>
      </c>
      <c r="B138" s="352"/>
      <c r="C138" s="10" t="s">
        <v>13</v>
      </c>
      <c r="D138" s="297">
        <f>C111</f>
        <v>2720</v>
      </c>
      <c r="E138" s="184">
        <f>F137</f>
        <v>9.9333333333333329E-2</v>
      </c>
      <c r="F138" s="184">
        <f>ROUND(D138*E138,2)</f>
        <v>270.19</v>
      </c>
      <c r="G138" s="221">
        <f>F138</f>
        <v>270.19</v>
      </c>
      <c r="H138" s="221">
        <f>G138/G$38</f>
        <v>9.9334558823529415E-2</v>
      </c>
    </row>
    <row r="139" spans="1:10" x14ac:dyDescent="0.2">
      <c r="A139" s="96"/>
      <c r="E139" s="235"/>
      <c r="F139" s="235"/>
      <c r="G139" s="129"/>
      <c r="H139" s="129"/>
    </row>
    <row r="140" spans="1:10" ht="13.5" thickBot="1" x14ac:dyDescent="0.25">
      <c r="A140" s="97" t="s">
        <v>245</v>
      </c>
      <c r="B140" s="6"/>
      <c r="E140" s="27"/>
      <c r="F140" s="27"/>
      <c r="G140" s="130"/>
      <c r="H140" s="40"/>
    </row>
    <row r="141" spans="1:10" ht="13.5" thickBot="1" x14ac:dyDescent="0.25">
      <c r="A141" s="354" t="s">
        <v>26</v>
      </c>
      <c r="B141" s="355"/>
      <c r="C141" s="218" t="s">
        <v>27</v>
      </c>
      <c r="D141" s="218" t="s">
        <v>20</v>
      </c>
      <c r="E141" s="219" t="s">
        <v>90</v>
      </c>
      <c r="F141" s="219" t="s">
        <v>28</v>
      </c>
      <c r="G141" s="220" t="s">
        <v>29</v>
      </c>
      <c r="H141" s="220" t="s">
        <v>141</v>
      </c>
    </row>
    <row r="142" spans="1:10" x14ac:dyDescent="0.2">
      <c r="A142" s="356" t="s">
        <v>250</v>
      </c>
      <c r="B142" s="357"/>
      <c r="C142" s="152" t="s">
        <v>142</v>
      </c>
      <c r="D142" s="298">
        <v>1</v>
      </c>
      <c r="E142" s="247">
        <f>149/12</f>
        <v>12.416666666666666</v>
      </c>
      <c r="F142" s="9">
        <f>D142*E142</f>
        <v>12.416666666666666</v>
      </c>
      <c r="G142" s="129"/>
      <c r="H142" s="129"/>
    </row>
    <row r="143" spans="1:10" x14ac:dyDescent="0.2">
      <c r="A143" s="294" t="s">
        <v>246</v>
      </c>
      <c r="B143" s="295"/>
      <c r="C143" s="152" t="s">
        <v>142</v>
      </c>
      <c r="D143" s="298">
        <v>1</v>
      </c>
      <c r="E143" s="247">
        <v>59.99</v>
      </c>
      <c r="F143" s="153">
        <f>D143*E143</f>
        <v>59.99</v>
      </c>
      <c r="G143" s="130"/>
      <c r="H143" s="40"/>
    </row>
    <row r="144" spans="1:10" ht="13.5" thickBot="1" x14ac:dyDescent="0.25">
      <c r="A144" s="353" t="s">
        <v>247</v>
      </c>
      <c r="B144" s="352"/>
      <c r="C144" s="10"/>
      <c r="D144" s="297"/>
      <c r="E144" s="184"/>
      <c r="F144" s="184"/>
      <c r="G144" s="221">
        <f>F142+F143</f>
        <v>72.406666666666666</v>
      </c>
      <c r="H144" s="221">
        <f>G144/G$38</f>
        <v>2.6620098039215685E-2</v>
      </c>
    </row>
    <row r="145" spans="1:8" ht="11.25" customHeight="1" thickBot="1" x14ac:dyDescent="0.25">
      <c r="A145" s="96"/>
      <c r="E145" s="27"/>
      <c r="F145" s="27"/>
      <c r="G145" s="130"/>
      <c r="H145" s="40"/>
    </row>
    <row r="146" spans="1:8" ht="13.5" thickBot="1" x14ac:dyDescent="0.25">
      <c r="A146" s="12" t="s">
        <v>138</v>
      </c>
      <c r="B146" s="13"/>
      <c r="C146" s="13"/>
      <c r="D146" s="13"/>
      <c r="E146" s="14"/>
      <c r="F146" s="15"/>
      <c r="G146" s="227">
        <f>+SUM(G82:G145)</f>
        <v>11878.825575000001</v>
      </c>
      <c r="H146" s="221">
        <f>G146/G$38</f>
        <v>4.3672152849264707</v>
      </c>
    </row>
    <row r="147" spans="1:8" ht="11.25" customHeight="1" x14ac:dyDescent="0.2">
      <c r="A147" s="96"/>
      <c r="E147" s="27"/>
      <c r="F147" s="27"/>
      <c r="G147" s="128"/>
      <c r="H147" s="181"/>
    </row>
    <row r="148" spans="1:8" ht="13.5" thickBot="1" x14ac:dyDescent="0.25">
      <c r="A148" s="97" t="s">
        <v>149</v>
      </c>
      <c r="B148" s="6"/>
      <c r="C148" s="6"/>
      <c r="D148" s="6"/>
      <c r="E148" s="20"/>
      <c r="F148" s="20"/>
      <c r="G148" s="136"/>
      <c r="H148" s="181"/>
    </row>
    <row r="149" spans="1:8" ht="13.5" thickBot="1" x14ac:dyDescent="0.25">
      <c r="A149" s="354" t="s">
        <v>26</v>
      </c>
      <c r="B149" s="355"/>
      <c r="C149" s="218" t="s">
        <v>27</v>
      </c>
      <c r="D149" s="218" t="s">
        <v>20</v>
      </c>
      <c r="E149" s="219" t="s">
        <v>90</v>
      </c>
      <c r="F149" s="219" t="s">
        <v>28</v>
      </c>
      <c r="G149" s="220" t="s">
        <v>29</v>
      </c>
      <c r="H149" s="220" t="s">
        <v>141</v>
      </c>
    </row>
    <row r="150" spans="1:8" x14ac:dyDescent="0.2">
      <c r="A150" s="356" t="s">
        <v>171</v>
      </c>
      <c r="B150" s="357"/>
      <c r="C150" s="89" t="s">
        <v>170</v>
      </c>
      <c r="D150" s="250">
        <f>1/12</f>
        <v>8.3333333333333329E-2</v>
      </c>
      <c r="E150" s="247">
        <v>28</v>
      </c>
      <c r="F150" s="11">
        <f>D150*E150</f>
        <v>2.333333333333333</v>
      </c>
      <c r="G150" s="137"/>
      <c r="H150" s="129"/>
    </row>
    <row r="151" spans="1:8" x14ac:dyDescent="0.2">
      <c r="A151" s="351" t="s">
        <v>172</v>
      </c>
      <c r="B151" s="352"/>
      <c r="C151" s="89" t="s">
        <v>170</v>
      </c>
      <c r="D151" s="250">
        <f>3/12</f>
        <v>0.25</v>
      </c>
      <c r="E151" s="247">
        <v>19.899999999999999</v>
      </c>
      <c r="F151" s="11">
        <f>D151*E151</f>
        <v>4.9749999999999996</v>
      </c>
      <c r="G151" s="138"/>
      <c r="H151" s="181"/>
    </row>
    <row r="152" spans="1:8" x14ac:dyDescent="0.2">
      <c r="A152" s="351" t="s">
        <v>173</v>
      </c>
      <c r="B152" s="352"/>
      <c r="C152" s="89" t="s">
        <v>170</v>
      </c>
      <c r="D152" s="250">
        <f>2/12</f>
        <v>0.16666666666666666</v>
      </c>
      <c r="E152" s="247">
        <v>14.8</v>
      </c>
      <c r="F152" s="11">
        <f>D152*E152</f>
        <v>2.4666666666666668</v>
      </c>
      <c r="G152" s="138"/>
      <c r="H152" s="181"/>
    </row>
    <row r="153" spans="1:8" ht="13.5" thickBot="1" x14ac:dyDescent="0.25">
      <c r="A153" s="351" t="s">
        <v>174</v>
      </c>
      <c r="B153" s="352"/>
      <c r="C153" s="89" t="s">
        <v>187</v>
      </c>
      <c r="D153" s="250">
        <f>4</f>
        <v>4</v>
      </c>
      <c r="E153" s="247">
        <v>17.98</v>
      </c>
      <c r="F153" s="11">
        <f>D153*E153</f>
        <v>71.92</v>
      </c>
      <c r="G153" s="138"/>
      <c r="H153" s="181"/>
    </row>
    <row r="154" spans="1:8" ht="13.5" thickBot="1" x14ac:dyDescent="0.25">
      <c r="A154" s="351" t="s">
        <v>175</v>
      </c>
      <c r="B154" s="352"/>
      <c r="C154" s="89" t="s">
        <v>170</v>
      </c>
      <c r="D154" s="250">
        <v>4</v>
      </c>
      <c r="E154" s="247">
        <v>4.7</v>
      </c>
      <c r="F154" s="11">
        <f t="shared" ref="F154" si="7">D154*E154</f>
        <v>18.8</v>
      </c>
      <c r="G154" s="227">
        <f>ROUND(SUM(F150:F154),2)</f>
        <v>100.5</v>
      </c>
      <c r="H154" s="227">
        <f>G154/G$38</f>
        <v>3.6948529411764706E-2</v>
      </c>
    </row>
    <row r="155" spans="1:8" ht="13.5" thickBot="1" x14ac:dyDescent="0.25">
      <c r="A155" s="97"/>
      <c r="B155" s="6"/>
      <c r="C155" s="6"/>
      <c r="D155" s="6"/>
      <c r="E155" s="234"/>
      <c r="F155" s="234"/>
      <c r="G155" s="128"/>
      <c r="H155" s="128"/>
    </row>
    <row r="156" spans="1:8" ht="13.5" thickBot="1" x14ac:dyDescent="0.25">
      <c r="A156" s="12" t="s">
        <v>89</v>
      </c>
      <c r="B156" s="13"/>
      <c r="C156" s="13"/>
      <c r="D156" s="13"/>
      <c r="E156" s="14"/>
      <c r="F156" s="15"/>
      <c r="G156" s="227">
        <f>+G154</f>
        <v>100.5</v>
      </c>
      <c r="H156" s="227">
        <f>G156/G$38</f>
        <v>3.6948529411764706E-2</v>
      </c>
    </row>
    <row r="157" spans="1:8" ht="11.25" customHeight="1" thickBot="1" x14ac:dyDescent="0.25">
      <c r="A157" s="96"/>
      <c r="E157" s="27"/>
      <c r="F157" s="27"/>
      <c r="G157" s="128"/>
      <c r="H157" s="128"/>
    </row>
    <row r="158" spans="1:8" ht="17.25" customHeight="1" thickBot="1" x14ac:dyDescent="0.25">
      <c r="A158" s="12" t="s">
        <v>122</v>
      </c>
      <c r="B158" s="13"/>
      <c r="C158" s="16"/>
      <c r="D158" s="16"/>
      <c r="E158" s="17"/>
      <c r="F158" s="18"/>
      <c r="G158" s="224">
        <f>+G76+G146+G156</f>
        <v>14354.535575000002</v>
      </c>
      <c r="H158" s="224">
        <f>G158/G$38</f>
        <v>5.2774027849264709</v>
      </c>
    </row>
    <row r="159" spans="1:8" ht="17.25" customHeight="1" thickBot="1" x14ac:dyDescent="0.25">
      <c r="A159" s="12" t="s">
        <v>123</v>
      </c>
      <c r="B159" s="13"/>
      <c r="C159" s="16"/>
      <c r="D159" s="16"/>
      <c r="E159" s="17"/>
      <c r="F159" s="18"/>
      <c r="G159" s="226">
        <f>+G77+G146+G156</f>
        <v>13926.530575000001</v>
      </c>
      <c r="H159" s="226">
        <f>G159/G$38</f>
        <v>5.1200480055147057</v>
      </c>
    </row>
    <row r="160" spans="1:8" ht="11.25" customHeight="1" x14ac:dyDescent="0.2">
      <c r="A160" s="96"/>
      <c r="E160" s="27"/>
      <c r="F160" s="27"/>
      <c r="G160" s="128"/>
      <c r="H160" s="128"/>
    </row>
    <row r="161" spans="1:8" ht="13.5" thickBot="1" x14ac:dyDescent="0.25">
      <c r="A161" s="97" t="s">
        <v>150</v>
      </c>
      <c r="B161" s="6"/>
      <c r="E161" s="27"/>
      <c r="F161" s="27"/>
      <c r="G161" s="40"/>
      <c r="H161" s="40"/>
    </row>
    <row r="162" spans="1:8" ht="13.5" thickBot="1" x14ac:dyDescent="0.25">
      <c r="A162" s="354" t="s">
        <v>26</v>
      </c>
      <c r="B162" s="355"/>
      <c r="C162" s="218" t="s">
        <v>27</v>
      </c>
      <c r="D162" s="218" t="s">
        <v>20</v>
      </c>
      <c r="E162" s="219" t="s">
        <v>90</v>
      </c>
      <c r="F162" s="219" t="s">
        <v>28</v>
      </c>
      <c r="G162" s="220" t="s">
        <v>29</v>
      </c>
      <c r="H162" s="220" t="s">
        <v>141</v>
      </c>
    </row>
    <row r="163" spans="1:8" ht="13.5" thickBot="1" x14ac:dyDescent="0.25">
      <c r="A163" s="356" t="s">
        <v>151</v>
      </c>
      <c r="B163" s="357"/>
      <c r="C163" s="8" t="s">
        <v>0</v>
      </c>
      <c r="D163" s="41">
        <f>BDI!E11*100</f>
        <v>32.35</v>
      </c>
      <c r="E163" s="9">
        <f>+G158</f>
        <v>14354.535575000002</v>
      </c>
      <c r="F163" s="9">
        <f>ROUND(D163*E163/100,2)</f>
        <v>4643.6899999999996</v>
      </c>
      <c r="G163" s="227">
        <f>+F163</f>
        <v>4643.6899999999996</v>
      </c>
      <c r="H163" s="227">
        <f>G163/G$38</f>
        <v>1.7072389705882351</v>
      </c>
    </row>
    <row r="164" spans="1:8" x14ac:dyDescent="0.2">
      <c r="A164" s="96"/>
      <c r="E164" s="27"/>
      <c r="F164" s="27"/>
      <c r="G164" s="128"/>
      <c r="H164" s="128"/>
    </row>
    <row r="165" spans="1:8" ht="11.25" customHeight="1" thickBot="1" x14ac:dyDescent="0.25">
      <c r="A165" s="96"/>
      <c r="E165" s="27"/>
      <c r="F165" s="27"/>
      <c r="G165" s="40"/>
      <c r="H165" s="40"/>
    </row>
    <row r="166" spans="1:8" ht="13.5" thickBot="1" x14ac:dyDescent="0.25">
      <c r="A166" s="12" t="s">
        <v>152</v>
      </c>
      <c r="B166" s="13"/>
      <c r="C166" s="16"/>
      <c r="D166" s="16"/>
      <c r="E166" s="17"/>
      <c r="F166" s="18"/>
      <c r="G166" s="226">
        <f>G163</f>
        <v>4643.6899999999996</v>
      </c>
      <c r="H166" s="226">
        <f>G166/G$38</f>
        <v>1.7072389705882351</v>
      </c>
    </row>
    <row r="167" spans="1:8" ht="13.5" thickBot="1" x14ac:dyDescent="0.25">
      <c r="A167" s="97"/>
      <c r="B167" s="6"/>
      <c r="C167" s="6"/>
      <c r="D167" s="6"/>
      <c r="E167" s="20"/>
      <c r="F167" s="20"/>
      <c r="G167" s="139"/>
      <c r="H167" s="139"/>
    </row>
    <row r="168" spans="1:8" ht="24.75" customHeight="1" thickBot="1" x14ac:dyDescent="0.25">
      <c r="A168" s="12" t="s">
        <v>153</v>
      </c>
      <c r="B168" s="13"/>
      <c r="C168" s="16"/>
      <c r="D168" s="16"/>
      <c r="E168" s="17"/>
      <c r="F168" s="18"/>
      <c r="G168" s="189">
        <f>G158+G166</f>
        <v>18998.225575</v>
      </c>
      <c r="H168" s="226">
        <f>G168/G$38</f>
        <v>6.9846417555147058</v>
      </c>
    </row>
    <row r="169" spans="1:8" ht="12.6" customHeight="1" x14ac:dyDescent="0.2">
      <c r="A169" s="101"/>
      <c r="B169" s="24"/>
      <c r="C169" s="24"/>
      <c r="D169" s="24"/>
      <c r="E169" s="25"/>
      <c r="F169" s="25"/>
      <c r="G169" s="140"/>
      <c r="H169" s="140"/>
    </row>
    <row r="170" spans="1:8" ht="16.149999999999999" customHeight="1" x14ac:dyDescent="0.2">
      <c r="A170" s="351" t="s">
        <v>154</v>
      </c>
      <c r="B170" s="361"/>
      <c r="C170" s="79"/>
      <c r="D170" s="79"/>
      <c r="E170" s="147">
        <f>C111</f>
        <v>2720</v>
      </c>
      <c r="F170" s="146" t="s">
        <v>140</v>
      </c>
      <c r="G170" s="40"/>
      <c r="H170" s="40"/>
    </row>
    <row r="171" spans="1:8" ht="13.5" thickBot="1" x14ac:dyDescent="0.25">
      <c r="A171" s="96"/>
      <c r="E171" s="27"/>
      <c r="F171" s="27"/>
      <c r="G171" s="40"/>
      <c r="H171" s="40"/>
    </row>
    <row r="172" spans="1:8" ht="25.5" customHeight="1" thickBot="1" x14ac:dyDescent="0.25">
      <c r="A172" s="12" t="s">
        <v>155</v>
      </c>
      <c r="B172" s="13"/>
      <c r="C172" s="13"/>
      <c r="D172" s="13"/>
      <c r="E172" s="14"/>
      <c r="F172" s="145" t="s">
        <v>141</v>
      </c>
      <c r="G172" s="358">
        <f>IFERROR(G168/E170,"-")</f>
        <v>6.9846417555147058</v>
      </c>
      <c r="H172" s="359"/>
    </row>
    <row r="173" spans="1:8" ht="12.6" customHeight="1" x14ac:dyDescent="0.2">
      <c r="A173" s="97"/>
      <c r="B173" s="6"/>
      <c r="C173" s="6"/>
      <c r="D173" s="6"/>
      <c r="E173" s="20"/>
      <c r="F173" s="20"/>
      <c r="G173" s="141"/>
      <c r="H173" s="141"/>
    </row>
    <row r="174" spans="1:8" x14ac:dyDescent="0.2">
      <c r="A174" s="97" t="s">
        <v>156</v>
      </c>
      <c r="B174" s="6"/>
      <c r="E174" s="27"/>
      <c r="F174" s="27"/>
      <c r="G174" s="40"/>
      <c r="H174" s="40"/>
    </row>
    <row r="175" spans="1:8" ht="11.25" customHeight="1" thickBot="1" x14ac:dyDescent="0.25">
      <c r="A175" s="96"/>
      <c r="E175" s="27"/>
      <c r="F175" s="27"/>
      <c r="G175" s="40"/>
      <c r="H175" s="40"/>
    </row>
    <row r="176" spans="1:8" ht="13.5" thickBot="1" x14ac:dyDescent="0.25">
      <c r="A176" s="222" t="s">
        <v>26</v>
      </c>
      <c r="B176" s="223"/>
      <c r="C176" s="218" t="s">
        <v>27</v>
      </c>
      <c r="D176" s="218" t="s">
        <v>20</v>
      </c>
      <c r="E176" s="219" t="s">
        <v>90</v>
      </c>
      <c r="F176" s="219" t="s">
        <v>28</v>
      </c>
      <c r="G176" s="220" t="s">
        <v>29</v>
      </c>
      <c r="H176" s="220" t="s">
        <v>141</v>
      </c>
    </row>
    <row r="177" spans="1:8" ht="13.5" thickBot="1" x14ac:dyDescent="0.25">
      <c r="A177" s="356" t="s">
        <v>139</v>
      </c>
      <c r="B177" s="357"/>
      <c r="C177" s="8" t="s">
        <v>0</v>
      </c>
      <c r="D177" s="41">
        <f>BDI!E$24*100</f>
        <v>24.46</v>
      </c>
      <c r="E177" s="9">
        <f>G158</f>
        <v>14354.535575000002</v>
      </c>
      <c r="F177" s="9">
        <f>ROUND(D177*E177/100,2)</f>
        <v>3511.12</v>
      </c>
      <c r="G177" s="227">
        <f>+F177</f>
        <v>3511.12</v>
      </c>
      <c r="H177" s="227">
        <f>G177/G$38</f>
        <v>1.2908529411764706</v>
      </c>
    </row>
    <row r="178" spans="1:8" x14ac:dyDescent="0.2">
      <c r="A178" s="96"/>
      <c r="E178" s="27"/>
      <c r="F178" s="27"/>
      <c r="G178" s="128"/>
      <c r="H178" s="128"/>
    </row>
    <row r="179" spans="1:8" ht="11.25" customHeight="1" thickBot="1" x14ac:dyDescent="0.25">
      <c r="A179" s="96"/>
      <c r="E179" s="27"/>
      <c r="F179" s="27"/>
      <c r="G179" s="40"/>
      <c r="H179" s="40"/>
    </row>
    <row r="180" spans="1:8" ht="13.5" thickBot="1" x14ac:dyDescent="0.25">
      <c r="A180" s="12" t="s">
        <v>157</v>
      </c>
      <c r="B180" s="13"/>
      <c r="C180" s="16"/>
      <c r="D180" s="16"/>
      <c r="E180" s="17"/>
      <c r="F180" s="18"/>
      <c r="G180" s="226">
        <f>G177</f>
        <v>3511.12</v>
      </c>
      <c r="H180" s="226">
        <f>G180/G$38</f>
        <v>1.2908529411764706</v>
      </c>
    </row>
    <row r="181" spans="1:8" ht="13.5" thickBot="1" x14ac:dyDescent="0.25">
      <c r="A181" s="97"/>
      <c r="B181" s="6"/>
      <c r="C181" s="6"/>
      <c r="D181" s="6"/>
      <c r="E181" s="20"/>
      <c r="F181" s="20"/>
      <c r="G181" s="139"/>
      <c r="H181" s="139"/>
    </row>
    <row r="182" spans="1:8" ht="24.75" customHeight="1" thickBot="1" x14ac:dyDescent="0.25">
      <c r="A182" s="12" t="s">
        <v>158</v>
      </c>
      <c r="B182" s="13"/>
      <c r="C182" s="16"/>
      <c r="D182" s="16"/>
      <c r="E182" s="17"/>
      <c r="F182" s="18"/>
      <c r="G182" s="189">
        <f>G158+G180</f>
        <v>17865.655575000001</v>
      </c>
      <c r="H182" s="226">
        <f>G182/G$38</f>
        <v>6.5682557261029411</v>
      </c>
    </row>
    <row r="183" spans="1:8" ht="12.6" customHeight="1" x14ac:dyDescent="0.2">
      <c r="A183" s="101"/>
      <c r="B183" s="24"/>
      <c r="C183" s="24"/>
      <c r="D183" s="24"/>
      <c r="E183" s="25"/>
      <c r="F183" s="25"/>
      <c r="G183" s="140"/>
      <c r="H183" s="140"/>
    </row>
    <row r="184" spans="1:8" ht="16.149999999999999" customHeight="1" x14ac:dyDescent="0.2">
      <c r="A184" s="144" t="s">
        <v>159</v>
      </c>
      <c r="B184" s="198"/>
      <c r="C184" s="79"/>
      <c r="D184" s="79"/>
      <c r="E184" s="147">
        <f>E$170</f>
        <v>2720</v>
      </c>
      <c r="F184" s="146" t="s">
        <v>140</v>
      </c>
      <c r="G184" s="40"/>
      <c r="H184" s="40"/>
    </row>
    <row r="185" spans="1:8" ht="13.5" thickBot="1" x14ac:dyDescent="0.25">
      <c r="A185" s="96"/>
      <c r="E185" s="27"/>
      <c r="F185" s="27"/>
      <c r="G185" s="40"/>
      <c r="H185" s="40"/>
    </row>
    <row r="186" spans="1:8" ht="25.5" customHeight="1" thickBot="1" x14ac:dyDescent="0.25">
      <c r="A186" s="12" t="s">
        <v>160</v>
      </c>
      <c r="B186" s="13"/>
      <c r="C186" s="13"/>
      <c r="D186" s="13"/>
      <c r="E186" s="14"/>
      <c r="F186" s="145" t="s">
        <v>141</v>
      </c>
      <c r="G186" s="358">
        <f>IFERROR(G182/E184,"-")</f>
        <v>6.5682557261029411</v>
      </c>
      <c r="H186" s="359"/>
    </row>
    <row r="187" spans="1:8" x14ac:dyDescent="0.2">
      <c r="A187" s="116"/>
      <c r="B187" s="117"/>
      <c r="C187" s="117"/>
      <c r="D187" s="117"/>
      <c r="E187" s="118"/>
      <c r="F187" s="118"/>
      <c r="G187" s="128"/>
      <c r="H187" s="128"/>
    </row>
    <row r="188" spans="1:8" x14ac:dyDescent="0.2">
      <c r="A188" s="127" t="s">
        <v>161</v>
      </c>
      <c r="B188" s="199"/>
      <c r="E188" s="27"/>
      <c r="F188" s="27"/>
      <c r="G188" s="40"/>
      <c r="H188" s="40"/>
    </row>
    <row r="189" spans="1:8" ht="11.25" customHeight="1" thickBot="1" x14ac:dyDescent="0.25">
      <c r="A189" s="96"/>
      <c r="E189" s="27"/>
      <c r="F189" s="27"/>
      <c r="G189" s="40"/>
      <c r="H189" s="40"/>
    </row>
    <row r="190" spans="1:8" ht="13.5" thickBot="1" x14ac:dyDescent="0.25">
      <c r="A190" s="222" t="s">
        <v>26</v>
      </c>
      <c r="B190" s="223"/>
      <c r="C190" s="218" t="s">
        <v>27</v>
      </c>
      <c r="D190" s="218" t="s">
        <v>20</v>
      </c>
      <c r="E190" s="219" t="s">
        <v>90</v>
      </c>
      <c r="F190" s="219" t="s">
        <v>28</v>
      </c>
      <c r="G190" s="220" t="s">
        <v>29</v>
      </c>
      <c r="H190" s="220" t="s">
        <v>141</v>
      </c>
    </row>
    <row r="191" spans="1:8" ht="13.5" thickBot="1" x14ac:dyDescent="0.25">
      <c r="A191" s="98" t="s">
        <v>162</v>
      </c>
      <c r="B191" s="196"/>
      <c r="C191" s="8" t="s">
        <v>0</v>
      </c>
      <c r="D191" s="41">
        <f>BDI!C35*100</f>
        <v>16.93</v>
      </c>
      <c r="E191" s="9">
        <f>G159</f>
        <v>13926.530575000001</v>
      </c>
      <c r="F191" s="9">
        <f>ROUND(D191*E191/100,2)</f>
        <v>2357.7600000000002</v>
      </c>
      <c r="G191" s="227">
        <f>+F191</f>
        <v>2357.7600000000002</v>
      </c>
      <c r="H191" s="227">
        <f>G191/G$38</f>
        <v>0.86682352941176477</v>
      </c>
    </row>
    <row r="192" spans="1:8" x14ac:dyDescent="0.2">
      <c r="A192" s="96"/>
      <c r="E192" s="27"/>
      <c r="F192" s="27"/>
      <c r="G192" s="128"/>
      <c r="H192" s="128"/>
    </row>
    <row r="193" spans="1:11" ht="11.25" customHeight="1" thickBot="1" x14ac:dyDescent="0.25">
      <c r="A193" s="96"/>
      <c r="E193" s="27"/>
      <c r="F193" s="27"/>
      <c r="G193" s="40"/>
      <c r="H193" s="40"/>
    </row>
    <row r="194" spans="1:11" ht="13.5" thickBot="1" x14ac:dyDescent="0.25">
      <c r="A194" s="12" t="s">
        <v>163</v>
      </c>
      <c r="B194" s="13"/>
      <c r="C194" s="16"/>
      <c r="D194" s="16"/>
      <c r="E194" s="17"/>
      <c r="F194" s="18"/>
      <c r="G194" s="226">
        <f>G191</f>
        <v>2357.7600000000002</v>
      </c>
      <c r="H194" s="226">
        <f>G194/G$38</f>
        <v>0.86682352941176477</v>
      </c>
    </row>
    <row r="195" spans="1:11" ht="13.5" thickBot="1" x14ac:dyDescent="0.25">
      <c r="A195" s="97"/>
      <c r="B195" s="6"/>
      <c r="C195" s="6"/>
      <c r="D195" s="6"/>
      <c r="E195" s="20"/>
      <c r="F195" s="20"/>
      <c r="G195" s="139"/>
      <c r="H195" s="139"/>
    </row>
    <row r="196" spans="1:11" ht="24.75" customHeight="1" thickBot="1" x14ac:dyDescent="0.25">
      <c r="A196" s="12" t="s">
        <v>164</v>
      </c>
      <c r="B196" s="13"/>
      <c r="C196" s="16"/>
      <c r="D196" s="16"/>
      <c r="E196" s="17"/>
      <c r="F196" s="18"/>
      <c r="G196" s="226">
        <f>E191+G194</f>
        <v>16284.290575000001</v>
      </c>
      <c r="H196" s="226">
        <f>G196/G$38</f>
        <v>5.986871534926471</v>
      </c>
    </row>
    <row r="197" spans="1:11" ht="12.6" customHeight="1" x14ac:dyDescent="0.2">
      <c r="A197" s="101"/>
      <c r="B197" s="24"/>
      <c r="C197" s="24"/>
      <c r="D197" s="24"/>
      <c r="E197" s="25"/>
      <c r="F197" s="25"/>
      <c r="G197" s="140"/>
      <c r="H197" s="140"/>
    </row>
    <row r="198" spans="1:11" ht="12.6" customHeight="1" x14ac:dyDescent="0.2">
      <c r="A198" s="101" t="s">
        <v>121</v>
      </c>
      <c r="B198" s="24"/>
      <c r="C198" s="24"/>
      <c r="D198" s="24"/>
      <c r="E198" s="25"/>
      <c r="F198" s="25"/>
      <c r="G198" s="142"/>
      <c r="H198" s="142"/>
    </row>
    <row r="199" spans="1:11" x14ac:dyDescent="0.2">
      <c r="A199" s="143" t="s">
        <v>118</v>
      </c>
      <c r="B199" s="6"/>
      <c r="E199" s="27"/>
      <c r="F199" s="27"/>
      <c r="G199" s="40"/>
      <c r="H199" s="40"/>
    </row>
    <row r="200" spans="1:11" x14ac:dyDescent="0.2">
      <c r="A200" s="97" t="s">
        <v>116</v>
      </c>
      <c r="B200" s="6"/>
      <c r="E200" s="27"/>
      <c r="F200" s="27"/>
      <c r="G200" s="40"/>
      <c r="H200" s="40"/>
    </row>
    <row r="201" spans="1:11" x14ac:dyDescent="0.2">
      <c r="A201" s="362" t="s">
        <v>230</v>
      </c>
      <c r="B201" s="363"/>
      <c r="E201" s="27"/>
      <c r="F201" s="27"/>
      <c r="G201" s="40"/>
      <c r="H201" s="40"/>
    </row>
    <row r="202" spans="1:11" ht="11.25" customHeight="1" thickBot="1" x14ac:dyDescent="0.25">
      <c r="A202" s="119"/>
      <c r="E202" s="27"/>
      <c r="F202" s="27"/>
      <c r="G202" s="40"/>
      <c r="H202" s="40"/>
    </row>
    <row r="203" spans="1:11" ht="15.75" thickBot="1" x14ac:dyDescent="0.3">
      <c r="A203" s="222" t="s">
        <v>26</v>
      </c>
      <c r="B203" s="223"/>
      <c r="C203" s="218" t="s">
        <v>27</v>
      </c>
      <c r="D203" s="218" t="s">
        <v>20</v>
      </c>
      <c r="E203" s="219" t="s">
        <v>117</v>
      </c>
      <c r="F203" s="219" t="s">
        <v>28</v>
      </c>
      <c r="G203" s="220" t="s">
        <v>29</v>
      </c>
      <c r="H203" s="220" t="s">
        <v>141</v>
      </c>
      <c r="I203" s="328"/>
    </row>
    <row r="204" spans="1:11" ht="15.75" thickBot="1" x14ac:dyDescent="0.3">
      <c r="A204" s="356" t="s">
        <v>165</v>
      </c>
      <c r="B204" s="357"/>
      <c r="C204" s="120" t="s">
        <v>0</v>
      </c>
      <c r="D204" s="251">
        <v>6.73</v>
      </c>
      <c r="E204" s="121">
        <f>G196</f>
        <v>16284.290575000001</v>
      </c>
      <c r="F204" s="9">
        <f>ROUND(G207*(D204/100),2)</f>
        <v>1175.01</v>
      </c>
      <c r="G204" s="226">
        <f>F204</f>
        <v>1175.01</v>
      </c>
      <c r="H204" s="226">
        <f>G204/G$38</f>
        <v>0.43198897058823527</v>
      </c>
      <c r="I204" s="330"/>
      <c r="J204" s="331"/>
      <c r="K204" s="331"/>
    </row>
    <row r="205" spans="1:11" ht="15.75" x14ac:dyDescent="0.25">
      <c r="A205" s="96"/>
      <c r="E205" s="27"/>
      <c r="F205" s="27"/>
      <c r="G205" s="140"/>
      <c r="H205" s="140"/>
      <c r="I205" s="328"/>
      <c r="J205" s="328">
        <f>G207*12</f>
        <v>209511.61884850435</v>
      </c>
      <c r="K205" s="328"/>
    </row>
    <row r="206" spans="1:11" ht="16.5" thickBot="1" x14ac:dyDescent="0.3">
      <c r="A206" s="122"/>
      <c r="B206" s="123"/>
      <c r="C206" s="123"/>
      <c r="D206" s="123"/>
      <c r="E206" s="124"/>
      <c r="F206" s="124"/>
      <c r="G206" s="142"/>
      <c r="H206" s="142"/>
      <c r="I206" s="332"/>
      <c r="J206" s="332">
        <v>11.2</v>
      </c>
      <c r="K206" s="333">
        <f>J205*J206/100</f>
        <v>23465.301311032486</v>
      </c>
    </row>
    <row r="207" spans="1:11" ht="24.75" customHeight="1" thickBot="1" x14ac:dyDescent="0.25">
      <c r="A207" s="12" t="s">
        <v>166</v>
      </c>
      <c r="B207" s="13"/>
      <c r="C207" s="16"/>
      <c r="D207" s="16"/>
      <c r="E207" s="17"/>
      <c r="F207" s="18"/>
      <c r="G207" s="189">
        <f>E204/((100-D204)/100)</f>
        <v>17459.301570708696</v>
      </c>
      <c r="H207" s="226">
        <f>G207/G$38</f>
        <v>6.4188608715840791</v>
      </c>
      <c r="J207" s="4">
        <v>9360</v>
      </c>
      <c r="K207" s="325">
        <f>K206-J207</f>
        <v>14105.301311032486</v>
      </c>
    </row>
    <row r="208" spans="1:11" ht="12.6" customHeight="1" x14ac:dyDescent="0.2">
      <c r="A208" s="101"/>
      <c r="B208" s="24"/>
      <c r="C208" s="24"/>
      <c r="D208" s="24"/>
      <c r="E208" s="25"/>
      <c r="F208" s="25"/>
      <c r="G208" s="140"/>
      <c r="H208" s="140"/>
      <c r="K208" s="348">
        <f>K207/J205</f>
        <v>6.7324673393087009E-2</v>
      </c>
    </row>
    <row r="209" spans="1:8" ht="16.149999999999999" customHeight="1" x14ac:dyDescent="0.2">
      <c r="A209" s="144" t="s">
        <v>167</v>
      </c>
      <c r="B209" s="198"/>
      <c r="C209" s="79"/>
      <c r="D209" s="79"/>
      <c r="E209" s="147">
        <f>E$170</f>
        <v>2720</v>
      </c>
      <c r="F209" s="146" t="s">
        <v>140</v>
      </c>
      <c r="G209" s="40"/>
      <c r="H209" s="40"/>
    </row>
    <row r="210" spans="1:8" ht="13.5" thickBot="1" x14ac:dyDescent="0.25">
      <c r="A210" s="96"/>
      <c r="E210" s="27"/>
      <c r="F210" s="27"/>
      <c r="G210" s="40"/>
      <c r="H210" s="40"/>
    </row>
    <row r="211" spans="1:8" ht="25.5" customHeight="1" thickBot="1" x14ac:dyDescent="0.25">
      <c r="A211" s="12" t="s">
        <v>168</v>
      </c>
      <c r="B211" s="13"/>
      <c r="C211" s="13"/>
      <c r="D211" s="13"/>
      <c r="E211" s="14"/>
      <c r="F211" s="145" t="s">
        <v>141</v>
      </c>
      <c r="G211" s="358">
        <f>IFERROR(G207/E209,"-")</f>
        <v>6.4188608715840791</v>
      </c>
      <c r="H211" s="359"/>
    </row>
    <row r="212" spans="1:8" ht="9" customHeight="1" x14ac:dyDescent="0.2">
      <c r="E212" s="4"/>
      <c r="F212" s="4"/>
      <c r="G212" s="4"/>
      <c r="H212" s="27"/>
    </row>
    <row r="213" spans="1:8" x14ac:dyDescent="0.2">
      <c r="H213" s="27"/>
    </row>
    <row r="214" spans="1:8" x14ac:dyDescent="0.2">
      <c r="H214" s="27"/>
    </row>
    <row r="215" spans="1:8" x14ac:dyDescent="0.2">
      <c r="A215" s="6"/>
      <c r="B215" s="6"/>
      <c r="C215" s="6"/>
      <c r="D215" s="6"/>
      <c r="E215" s="286"/>
      <c r="F215" s="286"/>
      <c r="G215" s="286"/>
      <c r="H215" s="20"/>
    </row>
    <row r="216" spans="1:8" x14ac:dyDescent="0.2">
      <c r="A216" s="6"/>
      <c r="B216" s="6"/>
      <c r="C216" s="6"/>
      <c r="D216" s="6"/>
      <c r="E216" s="286"/>
      <c r="F216" s="286"/>
      <c r="G216" s="286"/>
      <c r="H216" s="20"/>
    </row>
    <row r="217" spans="1:8" x14ac:dyDescent="0.2">
      <c r="A217" s="6"/>
      <c r="B217" s="6"/>
      <c r="C217" s="6"/>
      <c r="D217" s="6"/>
      <c r="E217" s="286"/>
      <c r="F217" s="286"/>
      <c r="G217" s="286"/>
      <c r="H217" s="20"/>
    </row>
    <row r="218" spans="1:8" x14ac:dyDescent="0.2">
      <c r="A218" s="6"/>
      <c r="B218" s="6"/>
      <c r="C218" s="6"/>
      <c r="D218" s="6"/>
      <c r="E218" s="286"/>
      <c r="F218" s="286"/>
      <c r="G218" s="286"/>
      <c r="H218" s="20"/>
    </row>
    <row r="219" spans="1:8" x14ac:dyDescent="0.2">
      <c r="A219" s="6"/>
      <c r="B219" s="6"/>
      <c r="C219" s="360"/>
      <c r="D219" s="360"/>
      <c r="E219" s="360"/>
      <c r="F219" s="286"/>
      <c r="G219" s="286"/>
      <c r="H219" s="20"/>
    </row>
    <row r="220" spans="1:8" x14ac:dyDescent="0.2">
      <c r="A220" s="6"/>
      <c r="B220" s="6"/>
      <c r="C220" s="360"/>
      <c r="D220" s="360"/>
      <c r="E220" s="360"/>
      <c r="F220" s="286"/>
      <c r="G220" s="286"/>
      <c r="H220" s="20"/>
    </row>
    <row r="221" spans="1:8" x14ac:dyDescent="0.2">
      <c r="A221" s="6"/>
      <c r="B221" s="6"/>
      <c r="C221" s="360"/>
      <c r="D221" s="360"/>
      <c r="E221" s="360"/>
      <c r="F221" s="286"/>
      <c r="G221" s="286"/>
      <c r="H221" s="20"/>
    </row>
    <row r="222" spans="1:8" x14ac:dyDescent="0.2">
      <c r="H222" s="27"/>
    </row>
    <row r="223" spans="1:8" x14ac:dyDescent="0.2">
      <c r="H223" s="27"/>
    </row>
    <row r="224" spans="1:8" x14ac:dyDescent="0.2">
      <c r="H224" s="27"/>
    </row>
  </sheetData>
  <mergeCells count="115">
    <mergeCell ref="A8:B8"/>
    <mergeCell ref="A9:B9"/>
    <mergeCell ref="A10:B10"/>
    <mergeCell ref="A11:B11"/>
    <mergeCell ref="A12:B12"/>
    <mergeCell ref="A13:B13"/>
    <mergeCell ref="A1:H1"/>
    <mergeCell ref="D3:E3"/>
    <mergeCell ref="G3:H3"/>
    <mergeCell ref="B4:C4"/>
    <mergeCell ref="C7:D7"/>
    <mergeCell ref="E7:F7"/>
    <mergeCell ref="G7:H7"/>
    <mergeCell ref="A21:B21"/>
    <mergeCell ref="A22:B22"/>
    <mergeCell ref="A23:B23"/>
    <mergeCell ref="A24:B24"/>
    <mergeCell ref="A25:B25"/>
    <mergeCell ref="A26:B26"/>
    <mergeCell ref="A14:B14"/>
    <mergeCell ref="A15:B15"/>
    <mergeCell ref="A16:B16"/>
    <mergeCell ref="A17:B17"/>
    <mergeCell ref="A18:B18"/>
    <mergeCell ref="A19:B19"/>
    <mergeCell ref="A44:G44"/>
    <mergeCell ref="A47:B47"/>
    <mergeCell ref="A48:B48"/>
    <mergeCell ref="A51:B51"/>
    <mergeCell ref="A35:B35"/>
    <mergeCell ref="A37:B37"/>
    <mergeCell ref="A38:B38"/>
    <mergeCell ref="A39:B39"/>
    <mergeCell ref="A28:G28"/>
    <mergeCell ref="A29:B29"/>
    <mergeCell ref="A30:B30"/>
    <mergeCell ref="A31:B31"/>
    <mergeCell ref="A33:B33"/>
    <mergeCell ref="A34:B34"/>
    <mergeCell ref="D41:G41"/>
    <mergeCell ref="A42:B42"/>
    <mergeCell ref="D42:F42"/>
    <mergeCell ref="A64:B64"/>
    <mergeCell ref="A65:B65"/>
    <mergeCell ref="A66:B66"/>
    <mergeCell ref="A67:B67"/>
    <mergeCell ref="A72:B72"/>
    <mergeCell ref="A82:B82"/>
    <mergeCell ref="A52:B52"/>
    <mergeCell ref="A53:B53"/>
    <mergeCell ref="A54:B54"/>
    <mergeCell ref="A58:B58"/>
    <mergeCell ref="A59:B59"/>
    <mergeCell ref="A60:B60"/>
    <mergeCell ref="A91:B91"/>
    <mergeCell ref="A92:B92"/>
    <mergeCell ref="A93:B93"/>
    <mergeCell ref="A94:B94"/>
    <mergeCell ref="A95:B95"/>
    <mergeCell ref="A96:B96"/>
    <mergeCell ref="A83:B83"/>
    <mergeCell ref="A84:B84"/>
    <mergeCell ref="A85:B85"/>
    <mergeCell ref="A86:B86"/>
    <mergeCell ref="A89:B89"/>
    <mergeCell ref="A90:B90"/>
    <mergeCell ref="A105:B105"/>
    <mergeCell ref="A107:B107"/>
    <mergeCell ref="A108:B108"/>
    <mergeCell ref="A112:B112"/>
    <mergeCell ref="A113:B113"/>
    <mergeCell ref="A114:B114"/>
    <mergeCell ref="A97:B97"/>
    <mergeCell ref="A100:B100"/>
    <mergeCell ref="A101:B101"/>
    <mergeCell ref="A102:B102"/>
    <mergeCell ref="A103:B103"/>
    <mergeCell ref="A104:B104"/>
    <mergeCell ref="A121:B121"/>
    <mergeCell ref="A122:B122"/>
    <mergeCell ref="A123:B123"/>
    <mergeCell ref="A126:B126"/>
    <mergeCell ref="A127:B127"/>
    <mergeCell ref="A129:B129"/>
    <mergeCell ref="A117:B117"/>
    <mergeCell ref="A118:B118"/>
    <mergeCell ref="A119:B119"/>
    <mergeCell ref="A120:B120"/>
    <mergeCell ref="A128:B128"/>
    <mergeCell ref="A150:B150"/>
    <mergeCell ref="A151:B151"/>
    <mergeCell ref="A152:B152"/>
    <mergeCell ref="A153:B153"/>
    <mergeCell ref="A154:B154"/>
    <mergeCell ref="A162:B162"/>
    <mergeCell ref="A130:B130"/>
    <mergeCell ref="A133:B133"/>
    <mergeCell ref="A134:B134"/>
    <mergeCell ref="A137:B137"/>
    <mergeCell ref="A138:B138"/>
    <mergeCell ref="A149:B149"/>
    <mergeCell ref="A141:B141"/>
    <mergeCell ref="A142:B142"/>
    <mergeCell ref="A144:B144"/>
    <mergeCell ref="A204:B204"/>
    <mergeCell ref="G211:H211"/>
    <mergeCell ref="C219:E219"/>
    <mergeCell ref="C220:E220"/>
    <mergeCell ref="C221:E221"/>
    <mergeCell ref="A163:B163"/>
    <mergeCell ref="A170:B170"/>
    <mergeCell ref="G172:H172"/>
    <mergeCell ref="A177:B177"/>
    <mergeCell ref="G186:H186"/>
    <mergeCell ref="A201:B201"/>
  </mergeCells>
  <pageMargins left="0.39370078740157483" right="0" top="0.59055118110236227" bottom="0.39370078740157483" header="0" footer="0"/>
  <pageSetup paperSize="9" scale="82" fitToHeight="0" orientation="portrait" r:id="rId1"/>
  <headerFooter alignWithMargins="0">
    <oddFooter>&amp;R&amp;P de &amp;N</oddFooter>
  </headerFooter>
  <rowBreaks count="3" manualBreakCount="3">
    <brk id="61" max="7" man="1"/>
    <brk id="123" max="7" man="1"/>
    <brk id="186" max="7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226"/>
  <sheetViews>
    <sheetView topLeftCell="A199" zoomScale="110" zoomScaleNormal="110" zoomScaleSheetLayoutView="110" workbookViewId="0">
      <selection activeCell="D219" sqref="D219"/>
    </sheetView>
  </sheetViews>
  <sheetFormatPr defaultColWidth="9.140625" defaultRowHeight="12.75" x14ac:dyDescent="0.2"/>
  <cols>
    <col min="1" max="1" width="17.85546875" style="4" customWidth="1"/>
    <col min="2" max="2" width="26.85546875" style="4" customWidth="1"/>
    <col min="3" max="3" width="14.140625" style="4" bestFit="1" customWidth="1"/>
    <col min="4" max="4" width="12.85546875" style="4" bestFit="1" customWidth="1"/>
    <col min="5" max="5" width="14.7109375" style="5" customWidth="1"/>
    <col min="6" max="6" width="13.42578125" style="5" bestFit="1" customWidth="1"/>
    <col min="7" max="7" width="14.140625" style="5" bestFit="1" customWidth="1"/>
    <col min="8" max="8" width="8.28515625" style="5" customWidth="1"/>
    <col min="9" max="9" width="14.42578125" style="4" customWidth="1"/>
    <col min="10" max="10" width="20.42578125" style="4" customWidth="1"/>
    <col min="11" max="11" width="10.5703125" style="4" bestFit="1" customWidth="1"/>
    <col min="12" max="16384" width="9.140625" style="4"/>
  </cols>
  <sheetData>
    <row r="1" spans="1:8" s="88" customFormat="1" ht="23.25" customHeight="1" thickBot="1" x14ac:dyDescent="0.25">
      <c r="A1" s="370" t="s">
        <v>184</v>
      </c>
      <c r="B1" s="371"/>
      <c r="C1" s="371"/>
      <c r="D1" s="371"/>
      <c r="E1" s="371"/>
      <c r="F1" s="371"/>
      <c r="G1" s="371"/>
      <c r="H1" s="372"/>
    </row>
    <row r="2" spans="1:8" s="2" customFormat="1" ht="15.75" customHeight="1" thickBot="1" x14ac:dyDescent="0.25">
      <c r="A2" s="215" t="s">
        <v>199</v>
      </c>
      <c r="B2" s="216"/>
      <c r="C2" s="252" t="s">
        <v>216</v>
      </c>
      <c r="D2" s="232"/>
      <c r="E2" s="232"/>
      <c r="F2" s="232"/>
      <c r="G2" s="232"/>
      <c r="H2" s="233"/>
    </row>
    <row r="3" spans="1:8" s="88" customFormat="1" ht="23.25" customHeight="1" thickBot="1" x14ac:dyDescent="0.25">
      <c r="A3" s="229" t="s">
        <v>96</v>
      </c>
      <c r="B3" s="236" t="s">
        <v>297</v>
      </c>
      <c r="C3" s="228" t="s">
        <v>222</v>
      </c>
      <c r="D3" s="373"/>
      <c r="E3" s="374"/>
      <c r="F3" s="228" t="s">
        <v>214</v>
      </c>
      <c r="G3" s="373"/>
      <c r="H3" s="375"/>
    </row>
    <row r="4" spans="1:8" s="3" customFormat="1" ht="18.75" thickBot="1" x14ac:dyDescent="0.3">
      <c r="A4" s="230" t="s">
        <v>228</v>
      </c>
      <c r="B4" s="378" t="s">
        <v>238</v>
      </c>
      <c r="C4" s="378"/>
      <c r="D4" s="293" t="s">
        <v>229</v>
      </c>
      <c r="E4" s="200" t="s">
        <v>298</v>
      </c>
      <c r="F4" s="200"/>
      <c r="G4" s="200"/>
      <c r="H4" s="201"/>
    </row>
    <row r="5" spans="1:8" s="2" customFormat="1" ht="10.9" customHeight="1" thickBot="1" x14ac:dyDescent="0.25">
      <c r="A5" s="202"/>
      <c r="B5" s="203"/>
      <c r="C5" s="204"/>
      <c r="D5" s="204"/>
      <c r="E5" s="205"/>
      <c r="F5" s="205"/>
      <c r="G5" s="205"/>
      <c r="H5" s="206"/>
    </row>
    <row r="6" spans="1:8" s="2" customFormat="1" ht="15.75" customHeight="1" thickBot="1" x14ac:dyDescent="0.25">
      <c r="A6" s="215" t="s">
        <v>200</v>
      </c>
      <c r="B6" s="216"/>
      <c r="C6" s="216"/>
      <c r="D6" s="216"/>
      <c r="E6" s="216"/>
      <c r="F6" s="216"/>
      <c r="G6" s="216"/>
      <c r="H6" s="217"/>
    </row>
    <row r="7" spans="1:8" s="2" customFormat="1" ht="16.5" thickBot="1" x14ac:dyDescent="0.25">
      <c r="A7" s="126" t="s">
        <v>119</v>
      </c>
      <c r="B7" s="126"/>
      <c r="C7" s="376" t="s">
        <v>109</v>
      </c>
      <c r="D7" s="377"/>
      <c r="E7" s="376" t="s">
        <v>110</v>
      </c>
      <c r="F7" s="377"/>
      <c r="G7" s="376" t="s">
        <v>113</v>
      </c>
      <c r="H7" s="377"/>
    </row>
    <row r="8" spans="1:8" s="2" customFormat="1" ht="28.5" customHeight="1" x14ac:dyDescent="0.2">
      <c r="A8" s="390" t="s">
        <v>85</v>
      </c>
      <c r="B8" s="391"/>
      <c r="C8" s="106" t="s">
        <v>111</v>
      </c>
      <c r="D8" s="22" t="s">
        <v>112</v>
      </c>
      <c r="E8" s="106" t="s">
        <v>111</v>
      </c>
      <c r="F8" s="22" t="s">
        <v>112</v>
      </c>
      <c r="G8" s="106" t="s">
        <v>111</v>
      </c>
      <c r="H8" s="22" t="s">
        <v>112</v>
      </c>
    </row>
    <row r="9" spans="1:8" s="6" customFormat="1" ht="15.75" customHeight="1" x14ac:dyDescent="0.2">
      <c r="A9" s="379" t="str">
        <f>A45</f>
        <v>1. Mão-de-obra</v>
      </c>
      <c r="B9" s="380"/>
      <c r="C9" s="102">
        <f>+G76</f>
        <v>2375.21</v>
      </c>
      <c r="D9" s="37">
        <f>SUM(D10:D12)</f>
        <v>0.17949999999999999</v>
      </c>
      <c r="E9" s="102">
        <f>G76</f>
        <v>2375.21</v>
      </c>
      <c r="F9" s="37">
        <f>SUM(F10:F12)</f>
        <v>0.19085704449940094</v>
      </c>
      <c r="G9" s="102">
        <f>G77</f>
        <v>1947.2049999999999</v>
      </c>
      <c r="H9" s="37">
        <f>SUM(H10:H12)</f>
        <v>0.1636</v>
      </c>
    </row>
    <row r="10" spans="1:8" s="2" customFormat="1" ht="15.75" customHeight="1" x14ac:dyDescent="0.2">
      <c r="A10" s="392" t="s">
        <v>223</v>
      </c>
      <c r="B10" s="380"/>
      <c r="C10" s="103">
        <f>G55</f>
        <v>1932.1599999999999</v>
      </c>
      <c r="D10" s="26">
        <f>ROUND(IFERROR(C10/$C$25,0),4)</f>
        <v>0.14599999999999999</v>
      </c>
      <c r="E10" s="103">
        <f t="shared" ref="E10:E21" si="0">C10</f>
        <v>1932.1599999999999</v>
      </c>
      <c r="F10" s="26">
        <f>(IFERROR(E10/$E$25,0))</f>
        <v>0.15525631295757533</v>
      </c>
      <c r="G10" s="103">
        <f>G61</f>
        <v>1504.155</v>
      </c>
      <c r="H10" s="26">
        <f t="shared" ref="H10:H20" si="1">ROUND(IFERROR(G10/$G$25,0),4)</f>
        <v>0.1263</v>
      </c>
    </row>
    <row r="11" spans="1:8" s="2" customFormat="1" ht="15.75" customHeight="1" x14ac:dyDescent="0.2">
      <c r="A11" s="393" t="str">
        <f>A63</f>
        <v>1.2. Vale Transporte</v>
      </c>
      <c r="B11" s="380"/>
      <c r="C11" s="103">
        <f>G68</f>
        <v>53.05</v>
      </c>
      <c r="D11" s="26">
        <f>ROUND(IFERROR(C11/$C$25,0),4)</f>
        <v>4.0000000000000001E-3</v>
      </c>
      <c r="E11" s="103">
        <f t="shared" si="0"/>
        <v>53.05</v>
      </c>
      <c r="F11" s="26">
        <f>(IFERROR(E11/$E$25,0))</f>
        <v>4.2627667493372037E-3</v>
      </c>
      <c r="G11" s="103">
        <f t="shared" ref="G11:G20" si="2">E11</f>
        <v>53.05</v>
      </c>
      <c r="H11" s="26">
        <f t="shared" si="1"/>
        <v>4.4999999999999997E-3</v>
      </c>
    </row>
    <row r="12" spans="1:8" s="2" customFormat="1" ht="15.75" customHeight="1" x14ac:dyDescent="0.2">
      <c r="A12" s="393" t="str">
        <f>A70</f>
        <v>1.3. Vale-refeição (diário)</v>
      </c>
      <c r="B12" s="380"/>
      <c r="C12" s="103">
        <f>G73</f>
        <v>390</v>
      </c>
      <c r="D12" s="26">
        <f>ROUND(IFERROR(C12/$C$25,0),4)</f>
        <v>2.9499999999999998E-2</v>
      </c>
      <c r="E12" s="103">
        <f t="shared" si="0"/>
        <v>390</v>
      </c>
      <c r="F12" s="26">
        <f>(IFERROR(E12/$E$25,0))</f>
        <v>3.1337964792488397E-2</v>
      </c>
      <c r="G12" s="103">
        <f t="shared" si="2"/>
        <v>390</v>
      </c>
      <c r="H12" s="26">
        <f t="shared" si="1"/>
        <v>3.2800000000000003E-2</v>
      </c>
    </row>
    <row r="13" spans="1:8" s="6" customFormat="1" ht="15.75" customHeight="1" x14ac:dyDescent="0.2">
      <c r="A13" s="379" t="str">
        <f>A79</f>
        <v>2. Veículos</v>
      </c>
      <c r="B13" s="380"/>
      <c r="C13" s="102">
        <f>+G148</f>
        <v>7523.4589883333329</v>
      </c>
      <c r="D13" s="37">
        <f>SUM(D14:D20)</f>
        <v>0.56849999999999989</v>
      </c>
      <c r="E13" s="102">
        <f t="shared" si="0"/>
        <v>7523.4589883333329</v>
      </c>
      <c r="F13" s="37">
        <f>SUM(F14:F20)</f>
        <v>0.60453818690800099</v>
      </c>
      <c r="G13" s="102">
        <f t="shared" si="2"/>
        <v>7523.4589883333329</v>
      </c>
      <c r="H13" s="37">
        <f>SUM(H14:H20)</f>
        <v>0.63200000000000001</v>
      </c>
    </row>
    <row r="14" spans="1:8" s="2" customFormat="1" ht="15.75" customHeight="1" x14ac:dyDescent="0.2">
      <c r="A14" s="382" t="str">
        <f>A80</f>
        <v>2.1 Depreciação</v>
      </c>
      <c r="B14" s="380"/>
      <c r="C14" s="103">
        <f>G86</f>
        <v>1133.1923216666667</v>
      </c>
      <c r="D14" s="43">
        <f t="shared" ref="D14:D22" si="3">ROUND(IFERROR(C14/$C$25,0),4)</f>
        <v>8.5599999999999996E-2</v>
      </c>
      <c r="E14" s="103">
        <f t="shared" si="0"/>
        <v>1133.1923216666667</v>
      </c>
      <c r="F14" s="26">
        <f t="shared" ref="F14:F21" si="4">(IFERROR(E14/$E$25,0))</f>
        <v>9.1056259178226129E-2</v>
      </c>
      <c r="G14" s="103">
        <f t="shared" si="2"/>
        <v>1133.1923216666667</v>
      </c>
      <c r="H14" s="43">
        <f t="shared" si="1"/>
        <v>9.5200000000000007E-2</v>
      </c>
    </row>
    <row r="15" spans="1:8" s="2" customFormat="1" ht="15.75" customHeight="1" x14ac:dyDescent="0.2">
      <c r="A15" s="382" t="str">
        <f>A88</f>
        <v>2.2 Remuneração do Capital</v>
      </c>
      <c r="B15" s="380"/>
      <c r="C15" s="103">
        <f>G97</f>
        <v>1290.05</v>
      </c>
      <c r="D15" s="43">
        <f t="shared" si="3"/>
        <v>9.7500000000000003E-2</v>
      </c>
      <c r="E15" s="103">
        <f t="shared" si="0"/>
        <v>1290.05</v>
      </c>
      <c r="F15" s="26">
        <f t="shared" si="4"/>
        <v>0.10366036277064015</v>
      </c>
      <c r="G15" s="103">
        <f t="shared" si="2"/>
        <v>1290.05</v>
      </c>
      <c r="H15" s="43">
        <f t="shared" si="1"/>
        <v>0.1084</v>
      </c>
    </row>
    <row r="16" spans="1:8" s="2" customFormat="1" ht="15.75" customHeight="1" x14ac:dyDescent="0.2">
      <c r="A16" s="382" t="str">
        <f>A99</f>
        <v>2.3. Impostos e Seguros</v>
      </c>
      <c r="B16" s="380"/>
      <c r="C16" s="103">
        <f>G108</f>
        <v>476.14</v>
      </c>
      <c r="D16" s="43">
        <f t="shared" si="3"/>
        <v>3.5999999999999997E-2</v>
      </c>
      <c r="E16" s="103">
        <f t="shared" si="0"/>
        <v>476.14</v>
      </c>
      <c r="F16" s="26">
        <f t="shared" si="4"/>
        <v>3.8259637323834424E-2</v>
      </c>
      <c r="G16" s="103">
        <f t="shared" si="2"/>
        <v>476.14</v>
      </c>
      <c r="H16" s="43">
        <f t="shared" si="1"/>
        <v>0.04</v>
      </c>
    </row>
    <row r="17" spans="1:10" s="2" customFormat="1" ht="15.75" customHeight="1" x14ac:dyDescent="0.2">
      <c r="A17" s="382" t="str">
        <f>A110</f>
        <v>2.4. Consumos</v>
      </c>
      <c r="B17" s="380"/>
      <c r="C17" s="103">
        <f>G125</f>
        <v>2241.48</v>
      </c>
      <c r="D17" s="43">
        <f t="shared" si="3"/>
        <v>0.1694</v>
      </c>
      <c r="E17" s="103">
        <f t="shared" si="0"/>
        <v>2241.48</v>
      </c>
      <c r="F17" s="26">
        <f t="shared" si="4"/>
        <v>0.18011133672581256</v>
      </c>
      <c r="G17" s="103">
        <f t="shared" si="2"/>
        <v>2241.48</v>
      </c>
      <c r="H17" s="43">
        <f t="shared" si="1"/>
        <v>0.1883</v>
      </c>
    </row>
    <row r="18" spans="1:10" s="2" customFormat="1" ht="15.75" customHeight="1" x14ac:dyDescent="0.2">
      <c r="A18" s="382" t="str">
        <f>A127</f>
        <v>2.5. Manutenção</v>
      </c>
      <c r="B18" s="380"/>
      <c r="C18" s="103">
        <f>G132</f>
        <v>2040</v>
      </c>
      <c r="D18" s="43">
        <f t="shared" si="3"/>
        <v>0.15409999999999999</v>
      </c>
      <c r="E18" s="103">
        <f t="shared" si="0"/>
        <v>2040</v>
      </c>
      <c r="F18" s="26">
        <f t="shared" si="4"/>
        <v>0.16392166199147779</v>
      </c>
      <c r="G18" s="103">
        <f t="shared" si="2"/>
        <v>2040</v>
      </c>
      <c r="H18" s="43">
        <f t="shared" si="1"/>
        <v>0.17130000000000001</v>
      </c>
    </row>
    <row r="19" spans="1:10" s="2" customFormat="1" ht="15.75" customHeight="1" x14ac:dyDescent="0.2">
      <c r="A19" s="382" t="str">
        <f>A134</f>
        <v>2.6. Pneus</v>
      </c>
      <c r="B19" s="380"/>
      <c r="C19" s="103">
        <f>G140</f>
        <v>270.19</v>
      </c>
      <c r="D19" s="43">
        <f t="shared" si="3"/>
        <v>2.0400000000000001E-2</v>
      </c>
      <c r="E19" s="103">
        <f t="shared" si="0"/>
        <v>270.19</v>
      </c>
      <c r="F19" s="26">
        <f t="shared" si="4"/>
        <v>2.1710781300724208E-2</v>
      </c>
      <c r="G19" s="103">
        <f t="shared" si="2"/>
        <v>270.19</v>
      </c>
      <c r="H19" s="43">
        <f t="shared" si="1"/>
        <v>2.2700000000000001E-2</v>
      </c>
    </row>
    <row r="20" spans="1:10" s="2" customFormat="1" ht="15.75" customHeight="1" x14ac:dyDescent="0.2">
      <c r="A20" s="345" t="str">
        <f>A142</f>
        <v>2.7. Rastreador GPS</v>
      </c>
      <c r="B20" s="344"/>
      <c r="C20" s="103">
        <f>G146</f>
        <v>72.406666666666666</v>
      </c>
      <c r="D20" s="43">
        <f t="shared" si="3"/>
        <v>5.4999999999999997E-3</v>
      </c>
      <c r="E20" s="103">
        <f t="shared" si="0"/>
        <v>72.406666666666666</v>
      </c>
      <c r="F20" s="26">
        <f t="shared" si="4"/>
        <v>5.8181476172857521E-3</v>
      </c>
      <c r="G20" s="103">
        <f t="shared" si="2"/>
        <v>72.406666666666666</v>
      </c>
      <c r="H20" s="43">
        <f t="shared" si="1"/>
        <v>6.1000000000000004E-3</v>
      </c>
    </row>
    <row r="21" spans="1:10" s="6" customFormat="1" ht="15.75" customHeight="1" x14ac:dyDescent="0.2">
      <c r="A21" s="379" t="str">
        <f>A150</f>
        <v>3. Ferramentas e Materiais de Consumo</v>
      </c>
      <c r="B21" s="380"/>
      <c r="C21" s="102">
        <f>+G158</f>
        <v>100.5</v>
      </c>
      <c r="D21" s="37">
        <f t="shared" si="3"/>
        <v>7.6E-3</v>
      </c>
      <c r="E21" s="102">
        <f t="shared" si="0"/>
        <v>100.5</v>
      </c>
      <c r="F21" s="37">
        <f t="shared" si="4"/>
        <v>8.0755524657566257E-3</v>
      </c>
      <c r="G21" s="102">
        <f>E21</f>
        <v>100.5</v>
      </c>
      <c r="H21" s="37">
        <f>ROUND(IFERROR(G21/$G$25,0),4)</f>
        <v>8.3999999999999995E-3</v>
      </c>
    </row>
    <row r="22" spans="1:10" s="6" customFormat="1" ht="15.75" customHeight="1" x14ac:dyDescent="0.2">
      <c r="A22" s="381" t="str">
        <f>A163</f>
        <v>4. Benefícios e Desp. Ind. - BDI - LUCRO REAL</v>
      </c>
      <c r="B22" s="380"/>
      <c r="C22" s="102">
        <f>+G168</f>
        <v>3234.73</v>
      </c>
      <c r="D22" s="37">
        <f t="shared" si="3"/>
        <v>0.24440000000000001</v>
      </c>
      <c r="E22" s="111"/>
      <c r="F22" s="105"/>
      <c r="G22" s="111"/>
      <c r="H22" s="108"/>
    </row>
    <row r="23" spans="1:10" s="6" customFormat="1" ht="15.75" customHeight="1" x14ac:dyDescent="0.2">
      <c r="A23" s="381" t="str">
        <f>A176</f>
        <v>5. Benefícios e Desp. Ind. - BDI - LUCRO PRESUMIDO</v>
      </c>
      <c r="B23" s="380"/>
      <c r="C23" s="111"/>
      <c r="D23" s="107"/>
      <c r="E23" s="102">
        <f>G182</f>
        <v>2445.8000000000002</v>
      </c>
      <c r="F23" s="37">
        <f>(IFERROR(E23/$E$25,0))</f>
        <v>0.19652921612684138</v>
      </c>
      <c r="G23" s="111"/>
      <c r="H23" s="110"/>
    </row>
    <row r="24" spans="1:10" s="6" customFormat="1" ht="15.75" customHeight="1" thickBot="1" x14ac:dyDescent="0.25">
      <c r="A24" s="394" t="str">
        <f>A190</f>
        <v>6. Benef. Desp. Ind. + Impostos - SIMPLES NACIONAL</v>
      </c>
      <c r="B24" s="395"/>
      <c r="C24" s="112"/>
      <c r="D24" s="113"/>
      <c r="E24" s="112"/>
      <c r="F24" s="105"/>
      <c r="G24" s="115">
        <f>G193+G206</f>
        <v>2334.7600000000002</v>
      </c>
      <c r="H24" s="104">
        <f>ROUND(IFERROR(G24/$G$25,0),4)</f>
        <v>0.1961</v>
      </c>
    </row>
    <row r="25" spans="1:10" s="2" customFormat="1" ht="15.75" customHeight="1" thickBot="1" x14ac:dyDescent="0.25">
      <c r="A25" s="388" t="s">
        <v>185</v>
      </c>
      <c r="B25" s="396"/>
      <c r="C25" s="292">
        <f>C9+C13+C21+C22</f>
        <v>13233.898988333332</v>
      </c>
      <c r="D25" s="302">
        <f>D9+D13+D21+D22</f>
        <v>1</v>
      </c>
      <c r="E25" s="292">
        <f>E9+E13+E21+E23</f>
        <v>12444.968988333334</v>
      </c>
      <c r="F25" s="302">
        <f>F9+F13+F21+F23</f>
        <v>1</v>
      </c>
      <c r="G25" s="292">
        <f>G9+G13+G21+G24</f>
        <v>11905.923988333334</v>
      </c>
      <c r="H25" s="302">
        <f>H9+H13+H21+H24</f>
        <v>1.0001</v>
      </c>
      <c r="I25" s="342"/>
      <c r="J25" s="335"/>
    </row>
    <row r="26" spans="1:10" s="2" customFormat="1" ht="15.75" customHeight="1" thickBot="1" x14ac:dyDescent="0.25">
      <c r="A26" s="388" t="s">
        <v>186</v>
      </c>
      <c r="B26" s="396"/>
      <c r="C26" s="125">
        <f>G174</f>
        <v>4.87</v>
      </c>
      <c r="D26" s="42"/>
      <c r="E26" s="125">
        <f>G188</f>
        <v>4.58</v>
      </c>
      <c r="F26" s="42"/>
      <c r="G26" s="292">
        <f>G213</f>
        <v>4.38</v>
      </c>
      <c r="H26" s="42"/>
      <c r="J26" s="335"/>
    </row>
    <row r="27" spans="1:10" ht="13.5" thickBot="1" x14ac:dyDescent="0.25">
      <c r="A27" s="116"/>
      <c r="B27" s="117"/>
      <c r="C27" s="117"/>
      <c r="D27" s="117"/>
      <c r="E27" s="118"/>
      <c r="F27" s="118"/>
      <c r="G27" s="128"/>
      <c r="H27" s="179"/>
    </row>
    <row r="28" spans="1:10" s="2" customFormat="1" ht="15" customHeight="1" thickBot="1" x14ac:dyDescent="0.25">
      <c r="A28" s="367" t="s">
        <v>215</v>
      </c>
      <c r="B28" s="368"/>
      <c r="C28" s="368"/>
      <c r="D28" s="368"/>
      <c r="E28" s="368"/>
      <c r="F28" s="368"/>
      <c r="G28" s="369"/>
      <c r="H28" s="180"/>
    </row>
    <row r="29" spans="1:10" s="2" customFormat="1" ht="15" customHeight="1" thickBot="1" x14ac:dyDescent="0.25">
      <c r="A29" s="388" t="s">
        <v>201</v>
      </c>
      <c r="B29" s="387"/>
      <c r="C29" s="14"/>
      <c r="D29" s="14"/>
      <c r="E29" s="166"/>
      <c r="F29" s="160" t="s">
        <v>20</v>
      </c>
      <c r="G29" s="160" t="s">
        <v>142</v>
      </c>
      <c r="H29" s="180"/>
    </row>
    <row r="30" spans="1:10" s="2" customFormat="1" ht="15" customHeight="1" x14ac:dyDescent="0.2">
      <c r="A30" s="401" t="s">
        <v>259</v>
      </c>
      <c r="B30" s="402"/>
      <c r="C30" s="158"/>
      <c r="D30" s="158"/>
      <c r="E30" s="159"/>
      <c r="F30" s="237">
        <v>1</v>
      </c>
      <c r="G30" s="238">
        <v>2265</v>
      </c>
      <c r="H30" s="181"/>
      <c r="I30" s="308"/>
    </row>
    <row r="31" spans="1:10" s="2" customFormat="1" ht="15" customHeight="1" thickBot="1" x14ac:dyDescent="0.25">
      <c r="A31" s="403" t="s">
        <v>25</v>
      </c>
      <c r="B31" s="404"/>
      <c r="C31" s="28"/>
      <c r="D31" s="28"/>
      <c r="E31" s="29"/>
      <c r="F31" s="30">
        <f>SUM(F30:F30)</f>
        <v>1</v>
      </c>
      <c r="G31" s="157">
        <f>SUM(G30:G30)</f>
        <v>2265</v>
      </c>
      <c r="H31" s="181"/>
    </row>
    <row r="32" spans="1:10" s="2" customFormat="1" ht="15" customHeight="1" thickBot="1" x14ac:dyDescent="0.25">
      <c r="A32" s="38"/>
      <c r="B32" s="20"/>
      <c r="C32" s="39"/>
      <c r="D32" s="27"/>
      <c r="E32" s="17"/>
      <c r="F32" s="17"/>
      <c r="G32" s="18"/>
      <c r="H32" s="181"/>
    </row>
    <row r="33" spans="1:13" s="2" customFormat="1" ht="33" customHeight="1" x14ac:dyDescent="0.2">
      <c r="A33" s="399" t="s">
        <v>202</v>
      </c>
      <c r="B33" s="405"/>
      <c r="C33" s="168" t="s">
        <v>183</v>
      </c>
      <c r="D33" s="168" t="s">
        <v>248</v>
      </c>
      <c r="E33" s="168" t="s">
        <v>143</v>
      </c>
      <c r="F33" s="177" t="s">
        <v>20</v>
      </c>
      <c r="G33" s="163" t="s">
        <v>144</v>
      </c>
      <c r="H33" s="181"/>
    </row>
    <row r="34" spans="1:13" s="2" customFormat="1" ht="30.75" customHeight="1" x14ac:dyDescent="0.2">
      <c r="A34" s="406" t="s">
        <v>283</v>
      </c>
      <c r="B34" s="407"/>
      <c r="C34" s="240">
        <v>10</v>
      </c>
      <c r="D34" s="172">
        <f>1/C34</f>
        <v>0.1</v>
      </c>
      <c r="E34" s="240">
        <v>21</v>
      </c>
      <c r="F34" s="241">
        <v>1</v>
      </c>
      <c r="G34" s="239">
        <v>208627</v>
      </c>
      <c r="H34" s="181"/>
    </row>
    <row r="35" spans="1:13" s="2" customFormat="1" ht="15" customHeight="1" thickBot="1" x14ac:dyDescent="0.25">
      <c r="A35" s="397" t="s">
        <v>176</v>
      </c>
      <c r="B35" s="398"/>
      <c r="C35" s="170"/>
      <c r="D35" s="173"/>
      <c r="E35" s="169" t="s">
        <v>267</v>
      </c>
      <c r="F35" s="242">
        <v>7.5</v>
      </c>
      <c r="G35" s="289">
        <v>5.54</v>
      </c>
      <c r="H35" s="181"/>
    </row>
    <row r="36" spans="1:13" s="2" customFormat="1" ht="15" customHeight="1" thickBot="1" x14ac:dyDescent="0.25">
      <c r="A36" s="161"/>
      <c r="B36" s="195"/>
      <c r="C36" s="90"/>
      <c r="D36" s="90"/>
      <c r="E36" s="90"/>
      <c r="F36" s="287"/>
      <c r="G36" s="288"/>
      <c r="H36" s="181"/>
    </row>
    <row r="37" spans="1:13" s="2" customFormat="1" x14ac:dyDescent="0.2">
      <c r="A37" s="399" t="s">
        <v>203</v>
      </c>
      <c r="B37" s="357"/>
      <c r="C37" s="177" t="s">
        <v>27</v>
      </c>
      <c r="D37" s="168"/>
      <c r="E37" s="168"/>
      <c r="F37" s="177" t="s">
        <v>147</v>
      </c>
      <c r="G37" s="162" t="s">
        <v>148</v>
      </c>
      <c r="H37" s="190"/>
    </row>
    <row r="38" spans="1:13" s="2" customFormat="1" ht="15" customHeight="1" x14ac:dyDescent="0.2">
      <c r="A38" s="400" t="s">
        <v>145</v>
      </c>
      <c r="B38" s="352"/>
      <c r="C38" s="171" t="s">
        <v>140</v>
      </c>
      <c r="D38" s="172"/>
      <c r="E38" s="172"/>
      <c r="F38" s="241">
        <v>136</v>
      </c>
      <c r="G38" s="174">
        <f>F38*F39</f>
        <v>2720</v>
      </c>
      <c r="H38" s="181"/>
      <c r="I38" s="308">
        <f>G38*12</f>
        <v>32640</v>
      </c>
    </row>
    <row r="39" spans="1:13" s="2" customFormat="1" ht="15" customHeight="1" thickBot="1" x14ac:dyDescent="0.25">
      <c r="A39" s="397" t="s">
        <v>300</v>
      </c>
      <c r="B39" s="398"/>
      <c r="C39" s="169" t="s">
        <v>146</v>
      </c>
      <c r="D39" s="170"/>
      <c r="E39" s="170"/>
      <c r="F39" s="349">
        <v>20</v>
      </c>
      <c r="G39" s="167"/>
      <c r="H39" s="181"/>
      <c r="I39" s="155"/>
    </row>
    <row r="40" spans="1:13" s="2" customFormat="1" ht="15" customHeight="1" thickBot="1" x14ac:dyDescent="0.25">
      <c r="A40" s="161"/>
      <c r="B40" s="195"/>
      <c r="C40" s="90"/>
      <c r="D40" s="90"/>
      <c r="E40" s="17"/>
      <c r="F40" s="164"/>
      <c r="G40" s="165"/>
      <c r="H40" s="181"/>
      <c r="I40" s="155"/>
    </row>
    <row r="41" spans="1:13" s="2" customFormat="1" ht="15" customHeight="1" thickBot="1" x14ac:dyDescent="0.25">
      <c r="A41" s="336" t="s">
        <v>256</v>
      </c>
      <c r="B41" s="195"/>
      <c r="C41" s="177" t="s">
        <v>0</v>
      </c>
      <c r="D41" s="383" t="s">
        <v>257</v>
      </c>
      <c r="E41" s="384"/>
      <c r="F41" s="384"/>
      <c r="G41" s="385"/>
      <c r="H41" s="190"/>
      <c r="J41" s="2">
        <f>136/80</f>
        <v>1.7</v>
      </c>
      <c r="K41" s="6" t="s">
        <v>273</v>
      </c>
      <c r="L41" s="6"/>
      <c r="M41" s="6"/>
    </row>
    <row r="42" spans="1:13" s="6" customFormat="1" ht="15.75" customHeight="1" thickBot="1" x14ac:dyDescent="0.25">
      <c r="A42" s="386" t="s">
        <v>258</v>
      </c>
      <c r="B42" s="387"/>
      <c r="C42" s="337">
        <f>100/20*F39/2/100</f>
        <v>0.5</v>
      </c>
      <c r="D42" s="388" t="s">
        <v>260</v>
      </c>
      <c r="E42" s="389"/>
      <c r="F42" s="389"/>
      <c r="G42" s="338"/>
      <c r="H42" s="190"/>
      <c r="I42" s="2"/>
      <c r="J42" s="2">
        <v>2</v>
      </c>
      <c r="K42" s="155" t="s">
        <v>274</v>
      </c>
      <c r="L42" s="2"/>
      <c r="M42" s="2"/>
    </row>
    <row r="43" spans="1:13" s="2" customFormat="1" ht="15" customHeight="1" thickBot="1" x14ac:dyDescent="0.25">
      <c r="A43" s="161"/>
      <c r="B43" s="195"/>
      <c r="C43" s="90"/>
      <c r="D43" s="90"/>
      <c r="E43" s="17"/>
      <c r="F43" s="164"/>
      <c r="G43" s="165"/>
      <c r="H43" s="181"/>
      <c r="J43" s="2">
        <v>4</v>
      </c>
      <c r="K43" s="155" t="s">
        <v>278</v>
      </c>
    </row>
    <row r="44" spans="1:13" s="2" customFormat="1" ht="15" customHeight="1" thickBot="1" x14ac:dyDescent="0.25">
      <c r="A44" s="367" t="s">
        <v>204</v>
      </c>
      <c r="B44" s="368"/>
      <c r="C44" s="368"/>
      <c r="D44" s="368"/>
      <c r="E44" s="368"/>
      <c r="F44" s="368"/>
      <c r="G44" s="369"/>
      <c r="H44" s="180"/>
    </row>
    <row r="45" spans="1:13" ht="11.25" customHeight="1" x14ac:dyDescent="0.2">
      <c r="A45" s="97" t="s">
        <v>23</v>
      </c>
      <c r="B45" s="6"/>
      <c r="E45" s="27"/>
      <c r="F45" s="27"/>
      <c r="G45" s="40"/>
      <c r="H45" s="181"/>
    </row>
    <row r="46" spans="1:13" ht="13.5" thickBot="1" x14ac:dyDescent="0.25">
      <c r="A46" s="97" t="s">
        <v>224</v>
      </c>
      <c r="B46" s="6"/>
      <c r="E46" s="27"/>
      <c r="F46" s="27"/>
      <c r="G46" s="40"/>
      <c r="H46" s="181"/>
    </row>
    <row r="47" spans="1:13" s="7" customFormat="1" ht="13.15" customHeight="1" thickBot="1" x14ac:dyDescent="0.25">
      <c r="A47" s="354" t="s">
        <v>26</v>
      </c>
      <c r="B47" s="355"/>
      <c r="C47" s="218" t="s">
        <v>27</v>
      </c>
      <c r="D47" s="218" t="s">
        <v>20</v>
      </c>
      <c r="E47" s="219" t="s">
        <v>90</v>
      </c>
      <c r="F47" s="219" t="s">
        <v>28</v>
      </c>
      <c r="G47" s="220" t="s">
        <v>29</v>
      </c>
      <c r="H47" s="220" t="s">
        <v>141</v>
      </c>
    </row>
    <row r="48" spans="1:13" x14ac:dyDescent="0.2">
      <c r="A48" s="356" t="s">
        <v>126</v>
      </c>
      <c r="B48" s="357"/>
      <c r="C48" s="8" t="s">
        <v>5</v>
      </c>
      <c r="D48" s="8">
        <v>1</v>
      </c>
      <c r="E48" s="175">
        <f>G30</f>
        <v>2265</v>
      </c>
      <c r="F48" s="9">
        <f>D48*E48</f>
        <v>2265</v>
      </c>
      <c r="G48" s="129"/>
      <c r="H48" s="129"/>
    </row>
    <row r="49" spans="1:9" x14ac:dyDescent="0.2">
      <c r="A49" s="294" t="s">
        <v>251</v>
      </c>
      <c r="B49" s="326"/>
      <c r="C49" s="89" t="s">
        <v>252</v>
      </c>
      <c r="D49" s="327"/>
      <c r="E49" s="11">
        <f>(E48/220)*0.2</f>
        <v>2.0590909090909091</v>
      </c>
      <c r="F49" s="9">
        <f>D49*E49</f>
        <v>0</v>
      </c>
      <c r="G49" s="130"/>
      <c r="H49" s="40"/>
    </row>
    <row r="50" spans="1:9" s="155" customFormat="1" ht="13.15" customHeight="1" x14ac:dyDescent="0.2">
      <c r="A50" s="334" t="s">
        <v>254</v>
      </c>
      <c r="C50" s="89" t="s">
        <v>19</v>
      </c>
      <c r="D50" s="184"/>
      <c r="E50" s="184">
        <f>((D49/F39)*5)*(SUM(E49))</f>
        <v>0</v>
      </c>
      <c r="F50" s="184">
        <f>E50</f>
        <v>0</v>
      </c>
      <c r="G50" s="130"/>
      <c r="H50" s="40"/>
      <c r="I50" s="4"/>
    </row>
    <row r="51" spans="1:9" s="6" customFormat="1" x14ac:dyDescent="0.2">
      <c r="A51" s="353" t="s">
        <v>1</v>
      </c>
      <c r="B51" s="361"/>
      <c r="C51" s="91"/>
      <c r="D51" s="91"/>
      <c r="E51" s="19"/>
      <c r="F51" s="35">
        <f>SUM(F48:F50)</f>
        <v>2265</v>
      </c>
      <c r="G51" s="131"/>
      <c r="H51" s="181"/>
    </row>
    <row r="52" spans="1:9" x14ac:dyDescent="0.2">
      <c r="A52" s="364" t="s">
        <v>2</v>
      </c>
      <c r="B52" s="352"/>
      <c r="C52" s="10" t="s">
        <v>0</v>
      </c>
      <c r="D52" s="41">
        <f>'Enc. Soc. - LR-LP e SN'!C$28*100</f>
        <v>70.61</v>
      </c>
      <c r="E52" s="11">
        <f>F51</f>
        <v>2265</v>
      </c>
      <c r="F52" s="11">
        <f>ROUND(E52*D52/100,2)</f>
        <v>1599.32</v>
      </c>
      <c r="G52" s="130"/>
      <c r="H52" s="181"/>
      <c r="I52" s="6"/>
    </row>
    <row r="53" spans="1:9" s="6" customFormat="1" x14ac:dyDescent="0.2">
      <c r="A53" s="353" t="s">
        <v>91</v>
      </c>
      <c r="B53" s="361"/>
      <c r="C53" s="81"/>
      <c r="D53" s="81"/>
      <c r="E53" s="82"/>
      <c r="F53" s="35">
        <f>F51+F52</f>
        <v>3864.3199999999997</v>
      </c>
      <c r="G53" s="131"/>
      <c r="H53" s="181"/>
    </row>
    <row r="54" spans="1:9" ht="13.5" thickBot="1" x14ac:dyDescent="0.25">
      <c r="A54" s="364" t="s">
        <v>3</v>
      </c>
      <c r="B54" s="352"/>
      <c r="C54" s="10" t="s">
        <v>4</v>
      </c>
      <c r="D54" s="176">
        <f>F30</f>
        <v>1</v>
      </c>
      <c r="E54" s="11">
        <f>F53</f>
        <v>3864.3199999999997</v>
      </c>
      <c r="F54" s="11">
        <f>D54*E54</f>
        <v>3864.3199999999997</v>
      </c>
      <c r="G54" s="221">
        <f>F54</f>
        <v>3864.3199999999997</v>
      </c>
      <c r="H54" s="221">
        <f>G54/G$38</f>
        <v>1.420705882352941</v>
      </c>
      <c r="I54" s="6"/>
    </row>
    <row r="55" spans="1:9" s="155" customFormat="1" ht="13.9" customHeight="1" thickBot="1" x14ac:dyDescent="0.25">
      <c r="A55" s="340"/>
      <c r="B55" s="198"/>
      <c r="C55" s="198"/>
      <c r="D55" s="198"/>
      <c r="E55" s="341" t="s">
        <v>261</v>
      </c>
      <c r="F55" s="339">
        <f>$C$42</f>
        <v>0.5</v>
      </c>
      <c r="G55" s="221">
        <f>F54*F55</f>
        <v>1932.1599999999999</v>
      </c>
      <c r="H55" s="221">
        <f>G55/G$38</f>
        <v>0.71035294117647052</v>
      </c>
      <c r="I55" s="6"/>
    </row>
    <row r="56" spans="1:9" ht="11.25" customHeight="1" x14ac:dyDescent="0.2">
      <c r="A56" s="96"/>
      <c r="E56" s="27"/>
      <c r="F56" s="27"/>
      <c r="G56" s="128"/>
      <c r="H56" s="181"/>
      <c r="I56" s="6"/>
    </row>
    <row r="57" spans="1:9" ht="11.25" customHeight="1" x14ac:dyDescent="0.2">
      <c r="A57" s="97" t="s">
        <v>225</v>
      </c>
      <c r="B57" s="6"/>
      <c r="E57" s="27"/>
      <c r="F57" s="27"/>
      <c r="G57" s="40"/>
      <c r="H57" s="181"/>
      <c r="I57" s="6"/>
    </row>
    <row r="58" spans="1:9" ht="11.25" customHeight="1" x14ac:dyDescent="0.2">
      <c r="A58" s="366" t="s">
        <v>2</v>
      </c>
      <c r="B58" s="352"/>
      <c r="C58" s="89" t="s">
        <v>0</v>
      </c>
      <c r="D58" s="41">
        <f>'Enc. Soc. - LR-LP e SN'!C$38*100</f>
        <v>32.817279999999997</v>
      </c>
      <c r="E58" s="11">
        <f>F51</f>
        <v>2265</v>
      </c>
      <c r="F58" s="11">
        <f>ROUND(E58*D58/100,2)</f>
        <v>743.31</v>
      </c>
      <c r="G58" s="40"/>
      <c r="H58" s="181"/>
      <c r="I58" s="6"/>
    </row>
    <row r="59" spans="1:9" x14ac:dyDescent="0.2">
      <c r="A59" s="353" t="s">
        <v>91</v>
      </c>
      <c r="B59" s="361"/>
      <c r="C59" s="91"/>
      <c r="D59" s="91"/>
      <c r="E59" s="19"/>
      <c r="F59" s="36">
        <f>E58+F58</f>
        <v>3008.31</v>
      </c>
      <c r="G59" s="40"/>
      <c r="H59" s="181"/>
      <c r="I59" s="6"/>
    </row>
    <row r="60" spans="1:9" ht="13.5" thickBot="1" x14ac:dyDescent="0.25">
      <c r="A60" s="364" t="s">
        <v>3</v>
      </c>
      <c r="B60" s="352"/>
      <c r="C60" s="10" t="s">
        <v>4</v>
      </c>
      <c r="D60" s="10">
        <f>D54</f>
        <v>1</v>
      </c>
      <c r="E60" s="11">
        <f>F59</f>
        <v>3008.31</v>
      </c>
      <c r="F60" s="11">
        <f>D60*E60</f>
        <v>3008.31</v>
      </c>
      <c r="G60" s="221">
        <f>F60</f>
        <v>3008.31</v>
      </c>
      <c r="H60" s="221">
        <f>G60/G$38</f>
        <v>1.1059963235294117</v>
      </c>
      <c r="I60" s="6"/>
    </row>
    <row r="61" spans="1:9" s="155" customFormat="1" ht="13.9" customHeight="1" thickBot="1" x14ac:dyDescent="0.25">
      <c r="A61" s="340"/>
      <c r="B61" s="198"/>
      <c r="C61" s="198"/>
      <c r="D61" s="198"/>
      <c r="E61" s="341" t="s">
        <v>261</v>
      </c>
      <c r="F61" s="339">
        <f>$C$42</f>
        <v>0.5</v>
      </c>
      <c r="G61" s="221">
        <f>F60*F61</f>
        <v>1504.155</v>
      </c>
      <c r="H61" s="221">
        <f>G61/G$38</f>
        <v>0.55299816176470584</v>
      </c>
      <c r="I61" s="6"/>
    </row>
    <row r="62" spans="1:9" ht="11.25" customHeight="1" x14ac:dyDescent="0.2">
      <c r="A62" s="96"/>
      <c r="E62" s="27"/>
      <c r="F62" s="27"/>
      <c r="G62" s="128"/>
      <c r="H62" s="181"/>
      <c r="I62" s="6"/>
    </row>
    <row r="63" spans="1:9" ht="13.5" thickBot="1" x14ac:dyDescent="0.25">
      <c r="A63" s="97" t="s">
        <v>226</v>
      </c>
      <c r="B63" s="6"/>
      <c r="C63" s="93"/>
      <c r="E63" s="4"/>
      <c r="F63" s="4"/>
      <c r="G63" s="40"/>
      <c r="H63" s="181"/>
      <c r="I63" s="6"/>
    </row>
    <row r="64" spans="1:9" ht="13.5" thickBot="1" x14ac:dyDescent="0.25">
      <c r="A64" s="354" t="s">
        <v>26</v>
      </c>
      <c r="B64" s="355"/>
      <c r="C64" s="218" t="s">
        <v>27</v>
      </c>
      <c r="D64" s="218" t="s">
        <v>20</v>
      </c>
      <c r="E64" s="219" t="s">
        <v>90</v>
      </c>
      <c r="F64" s="219" t="s">
        <v>28</v>
      </c>
      <c r="G64" s="220" t="s">
        <v>29</v>
      </c>
      <c r="H64" s="220" t="s">
        <v>141</v>
      </c>
      <c r="I64" s="6"/>
    </row>
    <row r="65" spans="1:9" x14ac:dyDescent="0.2">
      <c r="A65" s="365" t="s">
        <v>40</v>
      </c>
      <c r="B65" s="357"/>
      <c r="C65" s="10" t="s">
        <v>19</v>
      </c>
      <c r="D65" s="32">
        <v>1</v>
      </c>
      <c r="E65" s="243">
        <v>6.05</v>
      </c>
      <c r="F65" s="11"/>
      <c r="G65" s="129"/>
      <c r="H65" s="129"/>
      <c r="I65" s="6"/>
    </row>
    <row r="66" spans="1:9" x14ac:dyDescent="0.2">
      <c r="A66" s="364" t="s">
        <v>41</v>
      </c>
      <c r="B66" s="352"/>
      <c r="C66" s="10" t="s">
        <v>42</v>
      </c>
      <c r="D66" s="21">
        <v>20</v>
      </c>
      <c r="E66" s="11"/>
      <c r="F66" s="11"/>
      <c r="G66" s="130"/>
      <c r="H66" s="181"/>
      <c r="I66" s="6"/>
    </row>
    <row r="67" spans="1:9" ht="13.5" thickBot="1" x14ac:dyDescent="0.25">
      <c r="A67" s="351" t="s">
        <v>98</v>
      </c>
      <c r="B67" s="352"/>
      <c r="C67" s="8" t="s">
        <v>6</v>
      </c>
      <c r="D67" s="21">
        <f>$D$66*2*(F30)</f>
        <v>40</v>
      </c>
      <c r="E67" s="9">
        <f>IF(E65=0,"",IFERROR((($D$66*2*$E$65)-(F48*0.06*D66/D66))/($D$66*2),"-"))</f>
        <v>2.6524999999999999</v>
      </c>
      <c r="F67" s="9">
        <f>IFERROR(D67*E67,"-")</f>
        <v>106.1</v>
      </c>
      <c r="G67" s="221">
        <f>F67</f>
        <v>106.1</v>
      </c>
      <c r="H67" s="290">
        <f>G67/G$38</f>
        <v>3.9007352941176465E-2</v>
      </c>
      <c r="I67" s="6"/>
    </row>
    <row r="68" spans="1:9" s="155" customFormat="1" ht="13.9" customHeight="1" thickBot="1" x14ac:dyDescent="0.25">
      <c r="A68" s="340"/>
      <c r="B68" s="198"/>
      <c r="C68" s="198"/>
      <c r="D68" s="198"/>
      <c r="E68" s="341" t="s">
        <v>261</v>
      </c>
      <c r="F68" s="339">
        <f>$C$42</f>
        <v>0.5</v>
      </c>
      <c r="G68" s="221">
        <f>F67*F68</f>
        <v>53.05</v>
      </c>
      <c r="H68" s="221">
        <f>G68/G$38</f>
        <v>1.9503676470588233E-2</v>
      </c>
      <c r="I68" s="6"/>
    </row>
    <row r="69" spans="1:9" ht="11.25" customHeight="1" x14ac:dyDescent="0.2">
      <c r="A69" s="96"/>
      <c r="E69" s="27"/>
      <c r="F69" s="27"/>
      <c r="G69" s="128"/>
      <c r="H69" s="181"/>
      <c r="I69" s="6"/>
    </row>
    <row r="70" spans="1:9" ht="13.5" thickBot="1" x14ac:dyDescent="0.25">
      <c r="A70" s="97" t="s">
        <v>227</v>
      </c>
      <c r="B70" s="6"/>
      <c r="E70" s="27"/>
      <c r="F70" s="27"/>
      <c r="G70" s="132"/>
      <c r="H70" s="181"/>
      <c r="I70" s="6"/>
    </row>
    <row r="71" spans="1:9" ht="13.5" thickBot="1" x14ac:dyDescent="0.25">
      <c r="A71" s="222" t="s">
        <v>26</v>
      </c>
      <c r="B71" s="223"/>
      <c r="C71" s="218" t="s">
        <v>27</v>
      </c>
      <c r="D71" s="218" t="s">
        <v>20</v>
      </c>
      <c r="E71" s="219" t="s">
        <v>90</v>
      </c>
      <c r="F71" s="219" t="s">
        <v>28</v>
      </c>
      <c r="G71" s="220" t="s">
        <v>29</v>
      </c>
      <c r="H71" s="220" t="s">
        <v>141</v>
      </c>
      <c r="I71" s="6"/>
    </row>
    <row r="72" spans="1:9" ht="13.5" thickBot="1" x14ac:dyDescent="0.25">
      <c r="A72" s="351" t="s">
        <v>231</v>
      </c>
      <c r="B72" s="352"/>
      <c r="C72" s="89" t="s">
        <v>7</v>
      </c>
      <c r="D72" s="33">
        <f>D66*(F30)</f>
        <v>20</v>
      </c>
      <c r="E72" s="241">
        <f>13+26</f>
        <v>39</v>
      </c>
      <c r="F72" s="23">
        <f>D72*E72</f>
        <v>780</v>
      </c>
      <c r="G72" s="221">
        <f>F72</f>
        <v>780</v>
      </c>
      <c r="H72" s="221">
        <f>G72/G$38</f>
        <v>0.28676470588235292</v>
      </c>
      <c r="I72" s="6"/>
    </row>
    <row r="73" spans="1:9" s="155" customFormat="1" ht="13.9" customHeight="1" thickBot="1" x14ac:dyDescent="0.25">
      <c r="A73" s="340"/>
      <c r="B73" s="198"/>
      <c r="C73" s="198"/>
      <c r="D73" s="198"/>
      <c r="E73" s="341" t="s">
        <v>261</v>
      </c>
      <c r="F73" s="339">
        <f>$C$42</f>
        <v>0.5</v>
      </c>
      <c r="G73" s="221">
        <f>F72*F73</f>
        <v>390</v>
      </c>
      <c r="H73" s="221">
        <f>G73/G$38</f>
        <v>0.14338235294117646</v>
      </c>
      <c r="I73" s="6"/>
    </row>
    <row r="74" spans="1:9" x14ac:dyDescent="0.2">
      <c r="A74" s="96"/>
      <c r="E74" s="92"/>
      <c r="F74" s="92"/>
      <c r="G74" s="40"/>
      <c r="H74" s="181"/>
      <c r="I74" s="6"/>
    </row>
    <row r="75" spans="1:9" ht="13.5" thickBot="1" x14ac:dyDescent="0.25">
      <c r="A75" s="96"/>
      <c r="E75" s="27"/>
      <c r="F75" s="27"/>
      <c r="G75" s="40"/>
      <c r="H75" s="181"/>
      <c r="I75" s="6"/>
    </row>
    <row r="76" spans="1:9" ht="13.5" thickBot="1" x14ac:dyDescent="0.25">
      <c r="A76" s="12" t="s">
        <v>102</v>
      </c>
      <c r="B76" s="13"/>
      <c r="C76" s="13"/>
      <c r="D76" s="13"/>
      <c r="E76" s="14"/>
      <c r="F76" s="15"/>
      <c r="G76" s="224">
        <f>G55+G68+G73</f>
        <v>2375.21</v>
      </c>
      <c r="H76" s="225">
        <f>G76/G$38</f>
        <v>0.8732389705882353</v>
      </c>
      <c r="I76" s="6"/>
    </row>
    <row r="77" spans="1:9" ht="13.5" thickBot="1" x14ac:dyDescent="0.25">
      <c r="A77" s="12" t="s">
        <v>103</v>
      </c>
      <c r="B77" s="13"/>
      <c r="C77" s="13"/>
      <c r="D77" s="13"/>
      <c r="E77" s="14"/>
      <c r="F77" s="15"/>
      <c r="G77" s="226">
        <f>G61+G68+G73</f>
        <v>1947.2049999999999</v>
      </c>
      <c r="H77" s="221">
        <f>G77/G$38</f>
        <v>0.71588419117647051</v>
      </c>
      <c r="I77" s="6"/>
    </row>
    <row r="78" spans="1:9" x14ac:dyDescent="0.2">
      <c r="A78" s="96"/>
      <c r="E78" s="27"/>
      <c r="F78" s="27"/>
      <c r="G78" s="128"/>
      <c r="H78" s="181"/>
      <c r="I78" s="6"/>
    </row>
    <row r="79" spans="1:9" x14ac:dyDescent="0.2">
      <c r="A79" s="97" t="s">
        <v>189</v>
      </c>
      <c r="B79" s="6"/>
      <c r="E79" s="27"/>
      <c r="F79" s="27"/>
      <c r="G79" s="40"/>
      <c r="H79" s="181"/>
    </row>
    <row r="80" spans="1:9" ht="13.5" thickBot="1" x14ac:dyDescent="0.25">
      <c r="A80" s="97" t="s">
        <v>190</v>
      </c>
      <c r="B80" s="6"/>
      <c r="E80" s="27"/>
      <c r="F80" s="27"/>
      <c r="G80" s="40"/>
      <c r="H80" s="181"/>
    </row>
    <row r="81" spans="1:8" ht="13.5" thickBot="1" x14ac:dyDescent="0.25">
      <c r="A81" s="222" t="s">
        <v>26</v>
      </c>
      <c r="B81" s="223"/>
      <c r="C81" s="218" t="s">
        <v>27</v>
      </c>
      <c r="D81" s="218" t="s">
        <v>20</v>
      </c>
      <c r="E81" s="219" t="s">
        <v>90</v>
      </c>
      <c r="F81" s="219" t="s">
        <v>28</v>
      </c>
      <c r="G81" s="220" t="s">
        <v>29</v>
      </c>
      <c r="H81" s="220" t="s">
        <v>141</v>
      </c>
    </row>
    <row r="82" spans="1:8" x14ac:dyDescent="0.2">
      <c r="A82" s="356" t="s">
        <v>124</v>
      </c>
      <c r="B82" s="357"/>
      <c r="C82" s="8" t="s">
        <v>7</v>
      </c>
      <c r="D82" s="8">
        <v>1</v>
      </c>
      <c r="E82" s="175">
        <f>G34</f>
        <v>208627</v>
      </c>
      <c r="F82" s="9">
        <f>D82*E82</f>
        <v>208627</v>
      </c>
      <c r="G82" s="129"/>
      <c r="H82" s="129"/>
    </row>
    <row r="83" spans="1:8" x14ac:dyDescent="0.2">
      <c r="A83" s="351" t="s">
        <v>132</v>
      </c>
      <c r="B83" s="352"/>
      <c r="C83" s="10" t="s">
        <v>43</v>
      </c>
      <c r="D83" s="176">
        <f>C34</f>
        <v>10</v>
      </c>
      <c r="E83" s="31"/>
      <c r="F83" s="11"/>
      <c r="G83" s="130"/>
      <c r="H83" s="181"/>
    </row>
    <row r="84" spans="1:8" x14ac:dyDescent="0.2">
      <c r="A84" s="351" t="s">
        <v>127</v>
      </c>
      <c r="B84" s="352"/>
      <c r="C84" s="10" t="s">
        <v>0</v>
      </c>
      <c r="D84" s="41">
        <f>Depr.!B12</f>
        <v>65.180000000000007</v>
      </c>
      <c r="E84" s="184">
        <f>F82</f>
        <v>208627</v>
      </c>
      <c r="F84" s="184">
        <f>D84*E84/100</f>
        <v>135983.07860000001</v>
      </c>
      <c r="G84" s="130"/>
      <c r="H84" s="181"/>
    </row>
    <row r="85" spans="1:8" x14ac:dyDescent="0.2">
      <c r="A85" s="353" t="s">
        <v>133</v>
      </c>
      <c r="B85" s="352"/>
      <c r="C85" s="34" t="s">
        <v>5</v>
      </c>
      <c r="D85" s="34">
        <f>D83*12</f>
        <v>120</v>
      </c>
      <c r="E85" s="35">
        <f>F84</f>
        <v>135983.07860000001</v>
      </c>
      <c r="F85" s="35">
        <f>IFERROR(E85/D85,0)</f>
        <v>1133.1923216666667</v>
      </c>
      <c r="G85" s="130"/>
      <c r="H85" s="181"/>
    </row>
    <row r="86" spans="1:8" ht="13.5" thickBot="1" x14ac:dyDescent="0.25">
      <c r="A86" s="353" t="s">
        <v>94</v>
      </c>
      <c r="B86" s="352"/>
      <c r="C86" s="148" t="s">
        <v>7</v>
      </c>
      <c r="D86" s="183">
        <f>F34</f>
        <v>1</v>
      </c>
      <c r="E86" s="149">
        <f>F85</f>
        <v>1133.1923216666667</v>
      </c>
      <c r="F86" s="319">
        <f>D86*E86</f>
        <v>1133.1923216666667</v>
      </c>
      <c r="G86" s="221">
        <f>F86</f>
        <v>1133.1923216666667</v>
      </c>
      <c r="H86" s="221">
        <f>G86/G$38</f>
        <v>0.41661482414215684</v>
      </c>
    </row>
    <row r="87" spans="1:8" x14ac:dyDescent="0.2">
      <c r="A87" s="100"/>
      <c r="B87" s="87"/>
      <c r="C87" s="87"/>
      <c r="D87" s="87"/>
      <c r="E87" s="92"/>
      <c r="F87" s="92"/>
      <c r="G87" s="40"/>
      <c r="H87" s="181"/>
    </row>
    <row r="88" spans="1:8" ht="13.5" thickBot="1" x14ac:dyDescent="0.25">
      <c r="A88" s="97" t="s">
        <v>191</v>
      </c>
      <c r="B88" s="6"/>
      <c r="E88" s="27"/>
      <c r="F88" s="253"/>
      <c r="G88" s="40"/>
      <c r="H88" s="181"/>
    </row>
    <row r="89" spans="1:8" ht="13.5" thickBot="1" x14ac:dyDescent="0.25">
      <c r="A89" s="354" t="s">
        <v>26</v>
      </c>
      <c r="B89" s="355"/>
      <c r="C89" s="218" t="s">
        <v>27</v>
      </c>
      <c r="D89" s="218" t="s">
        <v>20</v>
      </c>
      <c r="E89" s="219" t="s">
        <v>90</v>
      </c>
      <c r="F89" s="219" t="s">
        <v>28</v>
      </c>
      <c r="G89" s="220" t="s">
        <v>29</v>
      </c>
      <c r="H89" s="220" t="s">
        <v>141</v>
      </c>
    </row>
    <row r="90" spans="1:8" x14ac:dyDescent="0.2">
      <c r="A90" s="356" t="s">
        <v>134</v>
      </c>
      <c r="B90" s="357"/>
      <c r="C90" s="8" t="s">
        <v>7</v>
      </c>
      <c r="D90" s="8">
        <v>1</v>
      </c>
      <c r="E90" s="9">
        <f>E82</f>
        <v>208627</v>
      </c>
      <c r="F90" s="9">
        <f>D90*E90</f>
        <v>208627</v>
      </c>
      <c r="G90" s="134"/>
      <c r="H90" s="129"/>
    </row>
    <row r="91" spans="1:8" x14ac:dyDescent="0.2">
      <c r="A91" s="364" t="s">
        <v>86</v>
      </c>
      <c r="B91" s="352"/>
      <c r="C91" s="10" t="s">
        <v>0</v>
      </c>
      <c r="D91" s="244">
        <v>10.5</v>
      </c>
      <c r="E91" s="11"/>
      <c r="F91" s="11"/>
      <c r="G91" s="133"/>
      <c r="H91" s="181"/>
    </row>
    <row r="92" spans="1:8" x14ac:dyDescent="0.2">
      <c r="A92" s="351" t="s">
        <v>197</v>
      </c>
      <c r="B92" s="352"/>
      <c r="C92" s="10" t="s">
        <v>19</v>
      </c>
      <c r="D92" s="45">
        <f>F90</f>
        <v>208627</v>
      </c>
      <c r="E92" s="11"/>
      <c r="F92" s="11"/>
      <c r="G92" s="133"/>
      <c r="H92" s="181"/>
    </row>
    <row r="93" spans="1:8" x14ac:dyDescent="0.2">
      <c r="A93" s="351" t="s">
        <v>196</v>
      </c>
      <c r="B93" s="352"/>
      <c r="C93" s="10"/>
      <c r="D93" s="45">
        <f>F82-F84</f>
        <v>72643.921399999992</v>
      </c>
      <c r="E93" s="11"/>
      <c r="F93" s="11"/>
      <c r="G93" s="133"/>
      <c r="H93" s="181"/>
    </row>
    <row r="94" spans="1:8" x14ac:dyDescent="0.2">
      <c r="A94" s="351" t="s">
        <v>188</v>
      </c>
      <c r="B94" s="352"/>
      <c r="C94" s="10" t="s">
        <v>19</v>
      </c>
      <c r="D94" s="31">
        <f>(D92-D93)*((D83+1)/(2*D83))+D93</f>
        <v>147434.61463</v>
      </c>
      <c r="E94" s="11"/>
      <c r="F94" s="11"/>
      <c r="G94" s="133"/>
      <c r="H94" s="181"/>
    </row>
    <row r="95" spans="1:8" x14ac:dyDescent="0.2">
      <c r="A95" s="353" t="s">
        <v>135</v>
      </c>
      <c r="B95" s="352"/>
      <c r="C95" s="34" t="s">
        <v>19</v>
      </c>
      <c r="D95" s="34"/>
      <c r="E95" s="151">
        <f>ROUND(D91*D94/12/100,2)</f>
        <v>1290.05</v>
      </c>
      <c r="F95" s="35">
        <f>E95</f>
        <v>1290.05</v>
      </c>
      <c r="G95" s="133"/>
      <c r="H95" s="181"/>
    </row>
    <row r="96" spans="1:8" x14ac:dyDescent="0.2">
      <c r="A96" s="353" t="s">
        <v>136</v>
      </c>
      <c r="B96" s="361"/>
      <c r="C96" s="91"/>
      <c r="D96" s="91"/>
      <c r="E96" s="19"/>
      <c r="F96" s="150">
        <f>F95</f>
        <v>1290.05</v>
      </c>
      <c r="G96" s="133"/>
      <c r="H96" s="181"/>
    </row>
    <row r="97" spans="1:8" ht="13.5" thickBot="1" x14ac:dyDescent="0.25">
      <c r="A97" s="353" t="s">
        <v>94</v>
      </c>
      <c r="B97" s="352"/>
      <c r="C97" s="34" t="s">
        <v>7</v>
      </c>
      <c r="D97" s="10">
        <f>D86</f>
        <v>1</v>
      </c>
      <c r="E97" s="35">
        <f>F96</f>
        <v>1290.05</v>
      </c>
      <c r="F97" s="319">
        <f>D97*E97</f>
        <v>1290.05</v>
      </c>
      <c r="G97" s="221">
        <f>F97</f>
        <v>1290.05</v>
      </c>
      <c r="H97" s="221">
        <f>G97/G$38</f>
        <v>0.47428308823529408</v>
      </c>
    </row>
    <row r="98" spans="1:8" ht="11.25" customHeight="1" x14ac:dyDescent="0.2">
      <c r="A98" s="96"/>
      <c r="E98" s="27"/>
      <c r="F98" s="27"/>
      <c r="G98" s="128"/>
      <c r="H98" s="181"/>
    </row>
    <row r="99" spans="1:8" ht="13.5" thickBot="1" x14ac:dyDescent="0.25">
      <c r="A99" s="97" t="s">
        <v>192</v>
      </c>
      <c r="B99" s="6"/>
      <c r="E99" s="27"/>
      <c r="F99" s="27"/>
      <c r="G99" s="40"/>
      <c r="H99" s="181"/>
    </row>
    <row r="100" spans="1:8" ht="13.5" thickBot="1" x14ac:dyDescent="0.25">
      <c r="A100" s="354" t="s">
        <v>26</v>
      </c>
      <c r="B100" s="355"/>
      <c r="C100" s="218" t="s">
        <v>27</v>
      </c>
      <c r="D100" s="218" t="s">
        <v>20</v>
      </c>
      <c r="E100" s="219" t="s">
        <v>90</v>
      </c>
      <c r="F100" s="219" t="s">
        <v>28</v>
      </c>
      <c r="G100" s="220" t="s">
        <v>29</v>
      </c>
      <c r="H100" s="220" t="s">
        <v>141</v>
      </c>
    </row>
    <row r="101" spans="1:8" x14ac:dyDescent="0.2">
      <c r="A101" s="365" t="s">
        <v>8</v>
      </c>
      <c r="B101" s="357"/>
      <c r="C101" s="8" t="s">
        <v>7</v>
      </c>
      <c r="D101" s="9">
        <f>D86</f>
        <v>1</v>
      </c>
      <c r="E101" s="9">
        <f>0.01*($F$82)</f>
        <v>2086.27</v>
      </c>
      <c r="F101" s="9">
        <f t="shared" ref="F101:F107" si="5">D101*E101</f>
        <v>2086.27</v>
      </c>
      <c r="G101" s="129"/>
      <c r="H101" s="129"/>
    </row>
    <row r="102" spans="1:8" x14ac:dyDescent="0.2">
      <c r="A102" s="351" t="s">
        <v>232</v>
      </c>
      <c r="B102" s="352"/>
      <c r="C102" s="10" t="s">
        <v>7</v>
      </c>
      <c r="D102" s="9">
        <f>D86</f>
        <v>1</v>
      </c>
      <c r="E102" s="241">
        <v>160.22</v>
      </c>
      <c r="F102" s="11">
        <f t="shared" si="5"/>
        <v>160.22</v>
      </c>
      <c r="G102" s="130"/>
      <c r="H102" s="181"/>
    </row>
    <row r="103" spans="1:8" x14ac:dyDescent="0.2">
      <c r="A103" s="364" t="s">
        <v>9</v>
      </c>
      <c r="B103" s="352"/>
      <c r="C103" s="10" t="s">
        <v>7</v>
      </c>
      <c r="D103" s="9">
        <f>D86</f>
        <v>1</v>
      </c>
      <c r="E103" s="241">
        <v>1310.25</v>
      </c>
      <c r="F103" s="11">
        <f t="shared" si="5"/>
        <v>1310.25</v>
      </c>
      <c r="G103" s="135"/>
      <c r="H103" s="181"/>
    </row>
    <row r="104" spans="1:8" x14ac:dyDescent="0.2">
      <c r="A104" s="351" t="s">
        <v>249</v>
      </c>
      <c r="B104" s="352"/>
      <c r="C104" s="10" t="s">
        <v>7</v>
      </c>
      <c r="D104" s="9">
        <v>1</v>
      </c>
      <c r="E104" s="241">
        <v>1171.9000000000001</v>
      </c>
      <c r="F104" s="11">
        <f t="shared" si="5"/>
        <v>1171.9000000000001</v>
      </c>
      <c r="G104" s="135"/>
      <c r="H104" s="181"/>
    </row>
    <row r="105" spans="1:8" x14ac:dyDescent="0.2">
      <c r="A105" s="351" t="s">
        <v>255</v>
      </c>
      <c r="B105" s="352"/>
      <c r="C105" s="10" t="s">
        <v>7</v>
      </c>
      <c r="D105" s="9">
        <v>1</v>
      </c>
      <c r="E105" s="241">
        <v>540.09</v>
      </c>
      <c r="F105" s="11">
        <f t="shared" si="5"/>
        <v>540.09</v>
      </c>
      <c r="G105" s="135"/>
      <c r="H105" s="181"/>
    </row>
    <row r="106" spans="1:8" x14ac:dyDescent="0.2">
      <c r="A106" s="306" t="s">
        <v>244</v>
      </c>
      <c r="B106" s="307"/>
      <c r="C106" s="10" t="s">
        <v>7</v>
      </c>
      <c r="D106" s="9">
        <v>1</v>
      </c>
      <c r="E106" s="241">
        <v>400</v>
      </c>
      <c r="F106" s="11">
        <f t="shared" si="5"/>
        <v>400</v>
      </c>
      <c r="G106" s="135"/>
      <c r="H106" s="181"/>
    </row>
    <row r="107" spans="1:8" x14ac:dyDescent="0.2">
      <c r="A107" s="351" t="s">
        <v>177</v>
      </c>
      <c r="B107" s="352"/>
      <c r="C107" s="10" t="s">
        <v>7</v>
      </c>
      <c r="D107" s="9">
        <v>1</v>
      </c>
      <c r="E107" s="241">
        <v>45</v>
      </c>
      <c r="F107" s="11">
        <f t="shared" si="5"/>
        <v>45</v>
      </c>
      <c r="G107" s="135"/>
      <c r="H107" s="181"/>
    </row>
    <row r="108" spans="1:8" ht="13.5" thickBot="1" x14ac:dyDescent="0.25">
      <c r="A108" s="353" t="s">
        <v>10</v>
      </c>
      <c r="B108" s="352"/>
      <c r="C108" s="34" t="s">
        <v>5</v>
      </c>
      <c r="D108" s="34">
        <v>12</v>
      </c>
      <c r="E108" s="35">
        <f>SUM(F101:F107)</f>
        <v>5713.73</v>
      </c>
      <c r="F108" s="35">
        <f>ROUND(E108/D108,2)</f>
        <v>476.14</v>
      </c>
      <c r="G108" s="221">
        <f>F108</f>
        <v>476.14</v>
      </c>
      <c r="H108" s="221">
        <f>G108/G$38</f>
        <v>0.17505147058823528</v>
      </c>
    </row>
    <row r="109" spans="1:8" x14ac:dyDescent="0.2">
      <c r="A109" s="316"/>
      <c r="B109" s="317"/>
      <c r="C109" s="317"/>
      <c r="D109" s="317"/>
      <c r="E109" s="318"/>
      <c r="F109" s="27"/>
      <c r="G109" s="40"/>
      <c r="H109" s="181"/>
    </row>
    <row r="110" spans="1:8" x14ac:dyDescent="0.2">
      <c r="A110" s="97" t="s">
        <v>193</v>
      </c>
      <c r="B110" s="6"/>
      <c r="C110" s="95"/>
      <c r="E110" s="27"/>
      <c r="F110" s="27"/>
      <c r="G110" s="40"/>
      <c r="H110" s="181"/>
    </row>
    <row r="111" spans="1:8" ht="13.5" thickBot="1" x14ac:dyDescent="0.25">
      <c r="A111" s="99" t="s">
        <v>137</v>
      </c>
      <c r="B111" s="197"/>
      <c r="C111" s="178">
        <f>G38</f>
        <v>2720</v>
      </c>
      <c r="E111" s="27"/>
      <c r="F111" s="27"/>
      <c r="G111" s="40"/>
      <c r="H111" s="181"/>
    </row>
    <row r="112" spans="1:8" ht="13.5" thickBot="1" x14ac:dyDescent="0.25">
      <c r="A112" s="354" t="s">
        <v>26</v>
      </c>
      <c r="B112" s="355"/>
      <c r="C112" s="218" t="s">
        <v>27</v>
      </c>
      <c r="D112" s="218" t="s">
        <v>93</v>
      </c>
      <c r="E112" s="219" t="s">
        <v>90</v>
      </c>
      <c r="F112" s="219" t="s">
        <v>28</v>
      </c>
      <c r="G112" s="220" t="s">
        <v>29</v>
      </c>
      <c r="H112" s="220" t="s">
        <v>141</v>
      </c>
    </row>
    <row r="113" spans="1:8" x14ac:dyDescent="0.2">
      <c r="A113" s="365" t="s">
        <v>11</v>
      </c>
      <c r="B113" s="357"/>
      <c r="C113" s="8" t="s">
        <v>12</v>
      </c>
      <c r="D113" s="175">
        <f>F35</f>
        <v>7.5</v>
      </c>
      <c r="E113" s="175">
        <f>G35</f>
        <v>5.54</v>
      </c>
      <c r="F113" s="9"/>
      <c r="G113" s="129"/>
      <c r="H113" s="129"/>
    </row>
    <row r="114" spans="1:8" x14ac:dyDescent="0.2">
      <c r="A114" s="351" t="s">
        <v>253</v>
      </c>
      <c r="B114" s="352"/>
      <c r="C114" s="10" t="s">
        <v>13</v>
      </c>
      <c r="D114" s="32">
        <f>C111</f>
        <v>2720</v>
      </c>
      <c r="E114" s="86">
        <f>IFERROR(+E113/D113,"-")</f>
        <v>0.73866666666666669</v>
      </c>
      <c r="F114" s="11">
        <f>IFERROR(D114*E114,"-")</f>
        <v>2009.1733333333334</v>
      </c>
      <c r="G114" s="130"/>
      <c r="H114" s="181"/>
    </row>
    <row r="115" spans="1:8" x14ac:dyDescent="0.2">
      <c r="A115" s="306" t="s">
        <v>263</v>
      </c>
      <c r="B115" s="307"/>
      <c r="C115" s="10" t="s">
        <v>12</v>
      </c>
      <c r="D115" s="241">
        <v>65</v>
      </c>
      <c r="E115" s="346">
        <v>4</v>
      </c>
      <c r="F115" s="11"/>
      <c r="G115" s="130"/>
      <c r="H115" s="181"/>
    </row>
    <row r="116" spans="1:8" x14ac:dyDescent="0.2">
      <c r="A116" s="306" t="s">
        <v>264</v>
      </c>
      <c r="B116" s="307"/>
      <c r="C116" s="10" t="s">
        <v>13</v>
      </c>
      <c r="D116" s="32">
        <f>C111</f>
        <v>2720</v>
      </c>
      <c r="E116" s="86">
        <f>IFERROR(+E115/D115,"-")</f>
        <v>6.1538461538461542E-2</v>
      </c>
      <c r="F116" s="11">
        <f>IFERROR(D116*E116,"-")</f>
        <v>167.38461538461539</v>
      </c>
      <c r="G116" s="130"/>
      <c r="H116" s="181"/>
    </row>
    <row r="117" spans="1:8" x14ac:dyDescent="0.2">
      <c r="A117" s="351" t="s">
        <v>206</v>
      </c>
      <c r="B117" s="352"/>
      <c r="C117" s="89" t="s">
        <v>207</v>
      </c>
      <c r="D117" s="245">
        <v>10.5</v>
      </c>
      <c r="E117" s="241">
        <v>19.3</v>
      </c>
      <c r="F117" s="11"/>
      <c r="G117" s="130"/>
      <c r="H117" s="181"/>
    </row>
    <row r="118" spans="1:8" x14ac:dyDescent="0.2">
      <c r="A118" s="364" t="s">
        <v>14</v>
      </c>
      <c r="B118" s="352"/>
      <c r="C118" s="10" t="s">
        <v>13</v>
      </c>
      <c r="D118" s="32">
        <f>D114</f>
        <v>2720</v>
      </c>
      <c r="E118" s="83">
        <f>+D117*E117/10000</f>
        <v>2.0265000000000002E-2</v>
      </c>
      <c r="F118" s="11">
        <f>D118*E118</f>
        <v>55.120800000000003</v>
      </c>
      <c r="G118" s="130"/>
      <c r="H118" s="181"/>
    </row>
    <row r="119" spans="1:8" x14ac:dyDescent="0.2">
      <c r="A119" s="351" t="s">
        <v>208</v>
      </c>
      <c r="B119" s="352"/>
      <c r="C119" s="89" t="s">
        <v>209</v>
      </c>
      <c r="D119" s="245">
        <v>4.5999999999999996</v>
      </c>
      <c r="E119" s="241">
        <v>22.8</v>
      </c>
      <c r="F119" s="11"/>
      <c r="G119" s="130"/>
      <c r="H119" s="181"/>
    </row>
    <row r="120" spans="1:8" x14ac:dyDescent="0.2">
      <c r="A120" s="364" t="s">
        <v>15</v>
      </c>
      <c r="B120" s="352"/>
      <c r="C120" s="10" t="s">
        <v>13</v>
      </c>
      <c r="D120" s="32">
        <f>D114</f>
        <v>2720</v>
      </c>
      <c r="E120" s="214">
        <f>+D119*E119/100000</f>
        <v>1.0487999999999999E-3</v>
      </c>
      <c r="F120" s="11">
        <f>D120*E120</f>
        <v>2.8527359999999997</v>
      </c>
      <c r="G120" s="130"/>
      <c r="H120" s="181"/>
    </row>
    <row r="121" spans="1:8" x14ac:dyDescent="0.2">
      <c r="A121" s="351" t="s">
        <v>211</v>
      </c>
      <c r="B121" s="352"/>
      <c r="C121" s="89" t="s">
        <v>210</v>
      </c>
      <c r="D121" s="245">
        <v>1.7</v>
      </c>
      <c r="E121" s="241">
        <v>21.95</v>
      </c>
      <c r="F121" s="11"/>
      <c r="G121" s="130"/>
      <c r="H121" s="181"/>
    </row>
    <row r="122" spans="1:8" x14ac:dyDescent="0.2">
      <c r="A122" s="364" t="s">
        <v>16</v>
      </c>
      <c r="B122" s="352"/>
      <c r="C122" s="10" t="s">
        <v>13</v>
      </c>
      <c r="D122" s="32">
        <f>D114</f>
        <v>2720</v>
      </c>
      <c r="E122" s="214">
        <f>+D121*E121/80000</f>
        <v>4.6643749999999995E-4</v>
      </c>
      <c r="F122" s="11">
        <f>D122*E122</f>
        <v>1.2687099999999998</v>
      </c>
      <c r="G122" s="130"/>
      <c r="H122" s="181"/>
    </row>
    <row r="123" spans="1:8" x14ac:dyDescent="0.2">
      <c r="A123" s="351" t="s">
        <v>213</v>
      </c>
      <c r="B123" s="352"/>
      <c r="C123" s="89" t="s">
        <v>212</v>
      </c>
      <c r="D123" s="245">
        <v>1</v>
      </c>
      <c r="E123" s="241">
        <v>20.9</v>
      </c>
      <c r="F123" s="11"/>
      <c r="G123" s="130"/>
      <c r="H123" s="181"/>
    </row>
    <row r="124" spans="1:8" x14ac:dyDescent="0.2">
      <c r="A124" s="364" t="s">
        <v>17</v>
      </c>
      <c r="B124" s="352"/>
      <c r="C124" s="10" t="s">
        <v>13</v>
      </c>
      <c r="D124" s="32">
        <f>D114</f>
        <v>2720</v>
      </c>
      <c r="E124" s="83">
        <f>+D123*E123/10000</f>
        <v>2.0899999999999998E-3</v>
      </c>
      <c r="F124" s="11">
        <f>D124*E124</f>
        <v>5.6847999999999992</v>
      </c>
      <c r="G124" s="130"/>
      <c r="H124" s="181"/>
    </row>
    <row r="125" spans="1:8" ht="13.5" thickBot="1" x14ac:dyDescent="0.25">
      <c r="A125" s="353" t="s">
        <v>92</v>
      </c>
      <c r="B125" s="352"/>
      <c r="C125" s="34" t="s">
        <v>44</v>
      </c>
      <c r="D125" s="84"/>
      <c r="E125" s="85">
        <f>IFERROR(E114+E118+E120+E122+E124,0)</f>
        <v>0.76253690416666664</v>
      </c>
      <c r="F125" s="35">
        <f>ROUND(SUM(F113:F124),2)</f>
        <v>2241.48</v>
      </c>
      <c r="G125" s="221">
        <f>F125</f>
        <v>2241.48</v>
      </c>
      <c r="H125" s="221">
        <f>G125/G$38</f>
        <v>0.8240735294117647</v>
      </c>
    </row>
    <row r="126" spans="1:8" ht="11.25" customHeight="1" x14ac:dyDescent="0.2">
      <c r="A126" s="96"/>
      <c r="E126" s="27"/>
      <c r="F126" s="27"/>
      <c r="G126" s="128"/>
      <c r="H126" s="181"/>
    </row>
    <row r="127" spans="1:8" ht="13.5" thickBot="1" x14ac:dyDescent="0.25">
      <c r="A127" s="97" t="s">
        <v>194</v>
      </c>
      <c r="B127" s="6"/>
      <c r="E127" s="27"/>
      <c r="F127" s="27"/>
      <c r="G127" s="40"/>
      <c r="H127" s="181"/>
    </row>
    <row r="128" spans="1:8" ht="13.5" thickBot="1" x14ac:dyDescent="0.25">
      <c r="A128" s="354" t="s">
        <v>26</v>
      </c>
      <c r="B128" s="355"/>
      <c r="C128" s="218" t="s">
        <v>27</v>
      </c>
      <c r="D128" s="218" t="s">
        <v>20</v>
      </c>
      <c r="E128" s="219" t="s">
        <v>90</v>
      </c>
      <c r="F128" s="219" t="s">
        <v>28</v>
      </c>
      <c r="G128" s="220" t="s">
        <v>29</v>
      </c>
      <c r="H128" s="220" t="s">
        <v>141</v>
      </c>
    </row>
    <row r="129" spans="1:10" x14ac:dyDescent="0.2">
      <c r="A129" s="356" t="s">
        <v>169</v>
      </c>
      <c r="B129" s="357"/>
      <c r="C129" s="8" t="s">
        <v>44</v>
      </c>
      <c r="D129" s="32">
        <f>D114</f>
        <v>2720</v>
      </c>
      <c r="E129" s="246">
        <v>0.35</v>
      </c>
      <c r="F129" s="9">
        <f>D129*E129</f>
        <v>951.99999999999989</v>
      </c>
      <c r="G129" s="129"/>
      <c r="H129" s="129"/>
      <c r="J129" s="325"/>
    </row>
    <row r="130" spans="1:10" x14ac:dyDescent="0.2">
      <c r="A130" s="351" t="s">
        <v>128</v>
      </c>
      <c r="B130" s="352"/>
      <c r="C130" s="152" t="s">
        <v>129</v>
      </c>
      <c r="D130" s="248">
        <v>4</v>
      </c>
      <c r="E130" s="247">
        <v>100</v>
      </c>
      <c r="F130" s="153">
        <f>D130*E130</f>
        <v>400</v>
      </c>
      <c r="G130" s="40"/>
      <c r="H130" s="40"/>
    </row>
    <row r="131" spans="1:10" s="155" customFormat="1" x14ac:dyDescent="0.2">
      <c r="A131" s="351" t="s">
        <v>236</v>
      </c>
      <c r="B131" s="352"/>
      <c r="C131" s="152" t="s">
        <v>129</v>
      </c>
      <c r="D131" s="300">
        <f>F39*2</f>
        <v>40</v>
      </c>
      <c r="E131" s="301">
        <f>8.6+8.6</f>
        <v>17.2</v>
      </c>
      <c r="F131" s="153">
        <f>D131*E131</f>
        <v>688</v>
      </c>
      <c r="G131" s="154"/>
      <c r="H131" s="182"/>
      <c r="I131" s="155" t="s">
        <v>299</v>
      </c>
    </row>
    <row r="132" spans="1:10" s="155" customFormat="1" ht="13.5" thickBot="1" x14ac:dyDescent="0.25">
      <c r="A132" s="353" t="s">
        <v>130</v>
      </c>
      <c r="B132" s="352"/>
      <c r="C132" s="89" t="s">
        <v>131</v>
      </c>
      <c r="D132" s="156"/>
      <c r="E132" s="23"/>
      <c r="F132" s="149">
        <f>ROUND(SUM(F129:F131),2)</f>
        <v>2040</v>
      </c>
      <c r="G132" s="221">
        <f>F132</f>
        <v>2040</v>
      </c>
      <c r="H132" s="221">
        <f>G132/G$38</f>
        <v>0.75</v>
      </c>
      <c r="I132" s="4"/>
    </row>
    <row r="133" spans="1:10" ht="11.25" customHeight="1" x14ac:dyDescent="0.2">
      <c r="A133" s="96"/>
      <c r="E133" s="27"/>
      <c r="F133" s="27"/>
      <c r="G133" s="128"/>
      <c r="H133" s="181"/>
    </row>
    <row r="134" spans="1:10" ht="13.5" thickBot="1" x14ac:dyDescent="0.25">
      <c r="A134" s="97" t="s">
        <v>195</v>
      </c>
      <c r="B134" s="6"/>
      <c r="E134" s="27"/>
      <c r="F134" s="27"/>
      <c r="G134" s="40"/>
      <c r="H134" s="181"/>
    </row>
    <row r="135" spans="1:10" ht="13.5" thickBot="1" x14ac:dyDescent="0.25">
      <c r="A135" s="354" t="s">
        <v>26</v>
      </c>
      <c r="B135" s="355"/>
      <c r="C135" s="218" t="s">
        <v>27</v>
      </c>
      <c r="D135" s="218" t="s">
        <v>20</v>
      </c>
      <c r="E135" s="219" t="s">
        <v>90</v>
      </c>
      <c r="F135" s="219" t="s">
        <v>28</v>
      </c>
      <c r="G135" s="220" t="s">
        <v>29</v>
      </c>
      <c r="H135" s="220" t="s">
        <v>141</v>
      </c>
    </row>
    <row r="136" spans="1:10" x14ac:dyDescent="0.2">
      <c r="A136" s="356" t="s">
        <v>262</v>
      </c>
      <c r="B136" s="357"/>
      <c r="C136" s="8" t="s">
        <v>7</v>
      </c>
      <c r="D136" s="249">
        <v>6</v>
      </c>
      <c r="E136" s="247">
        <v>745</v>
      </c>
      <c r="F136" s="9">
        <f>D136*E136</f>
        <v>4470</v>
      </c>
      <c r="G136" s="129"/>
      <c r="H136" s="129"/>
    </row>
    <row r="137" spans="1:10" x14ac:dyDescent="0.2">
      <c r="A137" s="294" t="s">
        <v>233</v>
      </c>
      <c r="B137" s="295"/>
      <c r="C137" s="152" t="s">
        <v>27</v>
      </c>
      <c r="D137" s="298">
        <v>0</v>
      </c>
      <c r="E137" s="296"/>
      <c r="F137" s="153"/>
      <c r="G137" s="130"/>
      <c r="H137" s="40"/>
    </row>
    <row r="138" spans="1:10" x14ac:dyDescent="0.2">
      <c r="A138" s="294" t="s">
        <v>234</v>
      </c>
      <c r="B138" s="295"/>
      <c r="C138" s="152" t="s">
        <v>27</v>
      </c>
      <c r="D138" s="153">
        <f>D136*D137</f>
        <v>0</v>
      </c>
      <c r="E138" s="247">
        <v>0</v>
      </c>
      <c r="F138" s="153">
        <f>D138*E138</f>
        <v>0</v>
      </c>
      <c r="G138" s="130"/>
      <c r="H138" s="40"/>
    </row>
    <row r="139" spans="1:10" x14ac:dyDescent="0.2">
      <c r="A139" s="351" t="s">
        <v>125</v>
      </c>
      <c r="B139" s="352"/>
      <c r="C139" s="10" t="s">
        <v>18</v>
      </c>
      <c r="D139" s="299">
        <v>45000</v>
      </c>
      <c r="E139" s="184">
        <f>F136+F138</f>
        <v>4470</v>
      </c>
      <c r="F139" s="184">
        <f>IFERROR(E139/D139,"-")</f>
        <v>9.9333333333333329E-2</v>
      </c>
      <c r="G139" s="130"/>
      <c r="H139" s="181"/>
    </row>
    <row r="140" spans="1:10" ht="13.5" thickBot="1" x14ac:dyDescent="0.25">
      <c r="A140" s="353" t="s">
        <v>24</v>
      </c>
      <c r="B140" s="352"/>
      <c r="C140" s="10" t="s">
        <v>13</v>
      </c>
      <c r="D140" s="297">
        <f>C111</f>
        <v>2720</v>
      </c>
      <c r="E140" s="184">
        <f>F139</f>
        <v>9.9333333333333329E-2</v>
      </c>
      <c r="F140" s="184">
        <f>ROUND(D140*E140,2)</f>
        <v>270.19</v>
      </c>
      <c r="G140" s="221">
        <f>F140</f>
        <v>270.19</v>
      </c>
      <c r="H140" s="221">
        <f>G140/G$38</f>
        <v>9.9334558823529415E-2</v>
      </c>
    </row>
    <row r="141" spans="1:10" ht="11.25" customHeight="1" x14ac:dyDescent="0.2">
      <c r="A141" s="96"/>
      <c r="E141" s="27"/>
      <c r="F141" s="27"/>
      <c r="G141" s="128"/>
      <c r="H141" s="181"/>
    </row>
    <row r="142" spans="1:10" ht="13.5" thickBot="1" x14ac:dyDescent="0.25">
      <c r="A142" s="97" t="s">
        <v>245</v>
      </c>
      <c r="B142" s="6"/>
      <c r="E142" s="27"/>
      <c r="F142" s="27"/>
      <c r="G142" s="40"/>
      <c r="H142" s="181"/>
    </row>
    <row r="143" spans="1:10" ht="13.5" thickBot="1" x14ac:dyDescent="0.25">
      <c r="A143" s="354" t="s">
        <v>26</v>
      </c>
      <c r="B143" s="355"/>
      <c r="C143" s="218" t="s">
        <v>27</v>
      </c>
      <c r="D143" s="218" t="s">
        <v>20</v>
      </c>
      <c r="E143" s="219" t="s">
        <v>90</v>
      </c>
      <c r="F143" s="219" t="s">
        <v>28</v>
      </c>
      <c r="G143" s="220" t="s">
        <v>29</v>
      </c>
      <c r="H143" s="220" t="s">
        <v>141</v>
      </c>
    </row>
    <row r="144" spans="1:10" x14ac:dyDescent="0.2">
      <c r="A144" s="356" t="s">
        <v>250</v>
      </c>
      <c r="B144" s="357"/>
      <c r="C144" s="152" t="s">
        <v>142</v>
      </c>
      <c r="D144" s="298">
        <v>1</v>
      </c>
      <c r="E144" s="247">
        <f>149/12</f>
        <v>12.416666666666666</v>
      </c>
      <c r="F144" s="9">
        <f>D144*E144</f>
        <v>12.416666666666666</v>
      </c>
      <c r="G144" s="129"/>
      <c r="H144" s="129"/>
    </row>
    <row r="145" spans="1:8" x14ac:dyDescent="0.2">
      <c r="A145" s="294" t="s">
        <v>246</v>
      </c>
      <c r="B145" s="295"/>
      <c r="C145" s="152" t="s">
        <v>142</v>
      </c>
      <c r="D145" s="298">
        <v>1</v>
      </c>
      <c r="E145" s="247">
        <v>59.99</v>
      </c>
      <c r="F145" s="153">
        <f>D145*E145</f>
        <v>59.99</v>
      </c>
      <c r="G145" s="130"/>
      <c r="H145" s="40"/>
    </row>
    <row r="146" spans="1:8" ht="13.5" thickBot="1" x14ac:dyDescent="0.25">
      <c r="A146" s="353" t="s">
        <v>247</v>
      </c>
      <c r="B146" s="352"/>
      <c r="C146" s="10"/>
      <c r="D146" s="297"/>
      <c r="E146" s="184"/>
      <c r="F146" s="184"/>
      <c r="G146" s="221">
        <f>F144+F145</f>
        <v>72.406666666666666</v>
      </c>
      <c r="H146" s="221">
        <f>G146/G$38</f>
        <v>2.6620098039215685E-2</v>
      </c>
    </row>
    <row r="147" spans="1:8" ht="11.25" customHeight="1" thickBot="1" x14ac:dyDescent="0.25">
      <c r="A147" s="96"/>
      <c r="E147" s="27"/>
      <c r="F147" s="27"/>
      <c r="G147" s="128"/>
      <c r="H147" s="181"/>
    </row>
    <row r="148" spans="1:8" ht="13.5" thickBot="1" x14ac:dyDescent="0.25">
      <c r="A148" s="12" t="s">
        <v>138</v>
      </c>
      <c r="B148" s="13"/>
      <c r="C148" s="13"/>
      <c r="D148" s="13"/>
      <c r="E148" s="14"/>
      <c r="F148" s="15"/>
      <c r="G148" s="227">
        <f>+SUM(G82:G147)</f>
        <v>7523.4589883333329</v>
      </c>
      <c r="H148" s="221">
        <f>G148/G$38</f>
        <v>2.7659775692401958</v>
      </c>
    </row>
    <row r="149" spans="1:8" ht="11.25" customHeight="1" x14ac:dyDescent="0.2">
      <c r="A149" s="96"/>
      <c r="E149" s="27"/>
      <c r="F149" s="27"/>
      <c r="G149" s="128"/>
      <c r="H149" s="181"/>
    </row>
    <row r="150" spans="1:8" ht="13.5" thickBot="1" x14ac:dyDescent="0.25">
      <c r="A150" s="97" t="s">
        <v>149</v>
      </c>
      <c r="B150" s="6"/>
      <c r="C150" s="6"/>
      <c r="D150" s="6"/>
      <c r="E150" s="20"/>
      <c r="F150" s="20"/>
      <c r="G150" s="136"/>
      <c r="H150" s="181"/>
    </row>
    <row r="151" spans="1:8" ht="13.5" thickBot="1" x14ac:dyDescent="0.25">
      <c r="A151" s="354" t="s">
        <v>26</v>
      </c>
      <c r="B151" s="355"/>
      <c r="C151" s="218" t="s">
        <v>27</v>
      </c>
      <c r="D151" s="218" t="s">
        <v>20</v>
      </c>
      <c r="E151" s="219" t="s">
        <v>90</v>
      </c>
      <c r="F151" s="219" t="s">
        <v>28</v>
      </c>
      <c r="G151" s="220" t="s">
        <v>29</v>
      </c>
      <c r="H151" s="220" t="s">
        <v>141</v>
      </c>
    </row>
    <row r="152" spans="1:8" x14ac:dyDescent="0.2">
      <c r="A152" s="356" t="s">
        <v>171</v>
      </c>
      <c r="B152" s="357"/>
      <c r="C152" s="89" t="s">
        <v>170</v>
      </c>
      <c r="D152" s="250">
        <f>1/12</f>
        <v>8.3333333333333329E-2</v>
      </c>
      <c r="E152" s="247">
        <v>28</v>
      </c>
      <c r="F152" s="11">
        <f>D152*E152</f>
        <v>2.333333333333333</v>
      </c>
      <c r="G152" s="137"/>
      <c r="H152" s="129"/>
    </row>
    <row r="153" spans="1:8" x14ac:dyDescent="0.2">
      <c r="A153" s="351" t="s">
        <v>172</v>
      </c>
      <c r="B153" s="352"/>
      <c r="C153" s="89" t="s">
        <v>170</v>
      </c>
      <c r="D153" s="250">
        <f>3/12</f>
        <v>0.25</v>
      </c>
      <c r="E153" s="247">
        <v>19.899999999999999</v>
      </c>
      <c r="F153" s="11">
        <f>D153*E153</f>
        <v>4.9749999999999996</v>
      </c>
      <c r="G153" s="138"/>
      <c r="H153" s="181"/>
    </row>
    <row r="154" spans="1:8" x14ac:dyDescent="0.2">
      <c r="A154" s="351" t="s">
        <v>173</v>
      </c>
      <c r="B154" s="352"/>
      <c r="C154" s="89" t="s">
        <v>170</v>
      </c>
      <c r="D154" s="250">
        <f>2/12</f>
        <v>0.16666666666666666</v>
      </c>
      <c r="E154" s="247">
        <v>14.8</v>
      </c>
      <c r="F154" s="11">
        <f>D154*E154</f>
        <v>2.4666666666666668</v>
      </c>
      <c r="G154" s="138"/>
      <c r="H154" s="181"/>
    </row>
    <row r="155" spans="1:8" ht="13.5" thickBot="1" x14ac:dyDescent="0.25">
      <c r="A155" s="351" t="s">
        <v>174</v>
      </c>
      <c r="B155" s="352"/>
      <c r="C155" s="89" t="s">
        <v>187</v>
      </c>
      <c r="D155" s="250">
        <f>4</f>
        <v>4</v>
      </c>
      <c r="E155" s="247">
        <v>17.98</v>
      </c>
      <c r="F155" s="11">
        <f>D155*E155</f>
        <v>71.92</v>
      </c>
      <c r="G155" s="138"/>
      <c r="H155" s="181"/>
    </row>
    <row r="156" spans="1:8" ht="13.5" thickBot="1" x14ac:dyDescent="0.25">
      <c r="A156" s="351" t="s">
        <v>175</v>
      </c>
      <c r="B156" s="352"/>
      <c r="C156" s="89" t="s">
        <v>170</v>
      </c>
      <c r="D156" s="250">
        <v>4</v>
      </c>
      <c r="E156" s="247">
        <v>4.7</v>
      </c>
      <c r="F156" s="11">
        <f t="shared" ref="F156" si="6">D156*E156</f>
        <v>18.8</v>
      </c>
      <c r="G156" s="225">
        <f>ROUND(SUM(F152:F156),2)</f>
        <v>100.5</v>
      </c>
      <c r="H156" s="225">
        <f>G156/G$38</f>
        <v>3.6948529411764706E-2</v>
      </c>
    </row>
    <row r="157" spans="1:8" ht="11.25" customHeight="1" thickBot="1" x14ac:dyDescent="0.25">
      <c r="A157" s="96"/>
      <c r="E157" s="27"/>
      <c r="F157" s="27"/>
      <c r="G157" s="40"/>
      <c r="H157" s="40"/>
    </row>
    <row r="158" spans="1:8" ht="13.5" thickBot="1" x14ac:dyDescent="0.25">
      <c r="A158" s="12" t="s">
        <v>89</v>
      </c>
      <c r="B158" s="13"/>
      <c r="C158" s="13"/>
      <c r="D158" s="13"/>
      <c r="E158" s="14"/>
      <c r="F158" s="15"/>
      <c r="G158" s="227">
        <f>+G156</f>
        <v>100.5</v>
      </c>
      <c r="H158" s="227">
        <f>G158/G$38</f>
        <v>3.6948529411764706E-2</v>
      </c>
    </row>
    <row r="159" spans="1:8" ht="11.25" customHeight="1" thickBot="1" x14ac:dyDescent="0.25">
      <c r="A159" s="96"/>
      <c r="E159" s="27"/>
      <c r="F159" s="27"/>
      <c r="G159" s="128"/>
      <c r="H159" s="128"/>
    </row>
    <row r="160" spans="1:8" ht="17.25" customHeight="1" thickBot="1" x14ac:dyDescent="0.25">
      <c r="A160" s="12" t="s">
        <v>122</v>
      </c>
      <c r="B160" s="13"/>
      <c r="C160" s="16"/>
      <c r="D160" s="16"/>
      <c r="E160" s="17"/>
      <c r="F160" s="18"/>
      <c r="G160" s="224">
        <f>+G76+G148+G158</f>
        <v>9999.1689883333329</v>
      </c>
      <c r="H160" s="224">
        <f>G160/G$38</f>
        <v>3.6761650692401959</v>
      </c>
    </row>
    <row r="161" spans="1:8" ht="17.25" customHeight="1" thickBot="1" x14ac:dyDescent="0.25">
      <c r="A161" s="12" t="s">
        <v>123</v>
      </c>
      <c r="B161" s="13"/>
      <c r="C161" s="16"/>
      <c r="D161" s="16"/>
      <c r="E161" s="17"/>
      <c r="F161" s="18"/>
      <c r="G161" s="226">
        <f>+G77+G148+G158</f>
        <v>9571.1639883333337</v>
      </c>
      <c r="H161" s="226">
        <f>G161/G$38</f>
        <v>3.5188102898284317</v>
      </c>
    </row>
    <row r="162" spans="1:8" ht="11.25" customHeight="1" x14ac:dyDescent="0.2">
      <c r="A162" s="96"/>
      <c r="E162" s="27"/>
      <c r="F162" s="27"/>
      <c r="G162" s="128"/>
      <c r="H162" s="128"/>
    </row>
    <row r="163" spans="1:8" ht="13.5" thickBot="1" x14ac:dyDescent="0.25">
      <c r="A163" s="97" t="s">
        <v>150</v>
      </c>
      <c r="B163" s="6"/>
      <c r="E163" s="27"/>
      <c r="F163" s="27"/>
      <c r="G163" s="40"/>
      <c r="H163" s="40"/>
    </row>
    <row r="164" spans="1:8" ht="13.5" thickBot="1" x14ac:dyDescent="0.25">
      <c r="A164" s="354" t="s">
        <v>26</v>
      </c>
      <c r="B164" s="355"/>
      <c r="C164" s="218" t="s">
        <v>27</v>
      </c>
      <c r="D164" s="218" t="s">
        <v>20</v>
      </c>
      <c r="E164" s="219" t="s">
        <v>90</v>
      </c>
      <c r="F164" s="219" t="s">
        <v>28</v>
      </c>
      <c r="G164" s="220" t="s">
        <v>29</v>
      </c>
      <c r="H164" s="220" t="s">
        <v>141</v>
      </c>
    </row>
    <row r="165" spans="1:8" ht="13.5" thickBot="1" x14ac:dyDescent="0.25">
      <c r="A165" s="356" t="s">
        <v>151</v>
      </c>
      <c r="B165" s="357"/>
      <c r="C165" s="8" t="s">
        <v>0</v>
      </c>
      <c r="D165" s="41">
        <f>BDI!E11*100</f>
        <v>32.35</v>
      </c>
      <c r="E165" s="9">
        <f>+G160</f>
        <v>9999.1689883333329</v>
      </c>
      <c r="F165" s="9">
        <f>ROUND(D165*E165/100,2)</f>
        <v>3234.73</v>
      </c>
      <c r="G165" s="227">
        <f>+F165</f>
        <v>3234.73</v>
      </c>
      <c r="H165" s="227">
        <f>G165/G$38</f>
        <v>1.1892389705882354</v>
      </c>
    </row>
    <row r="166" spans="1:8" x14ac:dyDescent="0.2">
      <c r="A166" s="96"/>
      <c r="E166" s="27"/>
      <c r="F166" s="27"/>
      <c r="G166" s="128"/>
      <c r="H166" s="128"/>
    </row>
    <row r="167" spans="1:8" ht="11.25" customHeight="1" thickBot="1" x14ac:dyDescent="0.25">
      <c r="A167" s="96"/>
      <c r="E167" s="27"/>
      <c r="F167" s="27"/>
      <c r="G167" s="40"/>
      <c r="H167" s="40"/>
    </row>
    <row r="168" spans="1:8" ht="13.5" thickBot="1" x14ac:dyDescent="0.25">
      <c r="A168" s="12" t="s">
        <v>152</v>
      </c>
      <c r="B168" s="13"/>
      <c r="C168" s="16"/>
      <c r="D168" s="16"/>
      <c r="E168" s="17"/>
      <c r="F168" s="18"/>
      <c r="G168" s="226">
        <f>G165</f>
        <v>3234.73</v>
      </c>
      <c r="H168" s="226">
        <f>G168/G$38</f>
        <v>1.1892389705882354</v>
      </c>
    </row>
    <row r="169" spans="1:8" ht="13.5" thickBot="1" x14ac:dyDescent="0.25">
      <c r="A169" s="97"/>
      <c r="B169" s="6"/>
      <c r="C169" s="6"/>
      <c r="D169" s="6"/>
      <c r="E169" s="20"/>
      <c r="F169" s="20"/>
      <c r="G169" s="139"/>
      <c r="H169" s="139"/>
    </row>
    <row r="170" spans="1:8" ht="24.75" customHeight="1" thickBot="1" x14ac:dyDescent="0.25">
      <c r="A170" s="12" t="s">
        <v>153</v>
      </c>
      <c r="B170" s="13"/>
      <c r="C170" s="16"/>
      <c r="D170" s="16"/>
      <c r="E170" s="17"/>
      <c r="F170" s="18"/>
      <c r="G170" s="189">
        <f>G160+G168</f>
        <v>13233.898988333332</v>
      </c>
      <c r="H170" s="226">
        <f>G170/G$38</f>
        <v>4.8654040398284311</v>
      </c>
    </row>
    <row r="171" spans="1:8" ht="12.6" customHeight="1" x14ac:dyDescent="0.2">
      <c r="A171" s="101"/>
      <c r="B171" s="24"/>
      <c r="C171" s="24"/>
      <c r="D171" s="24"/>
      <c r="E171" s="25"/>
      <c r="F171" s="25"/>
      <c r="G171" s="140"/>
      <c r="H171" s="140"/>
    </row>
    <row r="172" spans="1:8" ht="16.149999999999999" customHeight="1" x14ac:dyDescent="0.2">
      <c r="A172" s="351" t="s">
        <v>154</v>
      </c>
      <c r="B172" s="361"/>
      <c r="C172" s="79"/>
      <c r="D172" s="79"/>
      <c r="E172" s="147">
        <f>C111</f>
        <v>2720</v>
      </c>
      <c r="F172" s="146" t="s">
        <v>140</v>
      </c>
      <c r="G172" s="40"/>
      <c r="H172" s="40"/>
    </row>
    <row r="173" spans="1:8" ht="13.5" thickBot="1" x14ac:dyDescent="0.25">
      <c r="A173" s="96"/>
      <c r="E173" s="27"/>
      <c r="F173" s="27"/>
      <c r="G173" s="40"/>
      <c r="H173" s="40"/>
    </row>
    <row r="174" spans="1:8" ht="25.5" customHeight="1" thickBot="1" x14ac:dyDescent="0.25">
      <c r="A174" s="12" t="s">
        <v>155</v>
      </c>
      <c r="B174" s="13"/>
      <c r="C174" s="13"/>
      <c r="D174" s="13"/>
      <c r="E174" s="14"/>
      <c r="F174" s="145" t="s">
        <v>141</v>
      </c>
      <c r="G174" s="358">
        <f>ROUND(IFERROR(G170/E172,"-"),2)</f>
        <v>4.87</v>
      </c>
      <c r="H174" s="359"/>
    </row>
    <row r="175" spans="1:8" ht="12.6" customHeight="1" x14ac:dyDescent="0.2">
      <c r="A175" s="97"/>
      <c r="B175" s="6"/>
      <c r="C175" s="6"/>
      <c r="D175" s="6"/>
      <c r="E175" s="20"/>
      <c r="F175" s="20"/>
      <c r="G175" s="141"/>
      <c r="H175" s="141"/>
    </row>
    <row r="176" spans="1:8" x14ac:dyDescent="0.2">
      <c r="A176" s="97" t="s">
        <v>156</v>
      </c>
      <c r="B176" s="6"/>
      <c r="E176" s="27"/>
      <c r="F176" s="27"/>
      <c r="G176" s="40"/>
      <c r="H176" s="40"/>
    </row>
    <row r="177" spans="1:8" ht="11.25" customHeight="1" thickBot="1" x14ac:dyDescent="0.25">
      <c r="A177" s="96"/>
      <c r="E177" s="27"/>
      <c r="F177" s="27"/>
      <c r="G177" s="40"/>
      <c r="H177" s="40"/>
    </row>
    <row r="178" spans="1:8" ht="13.5" thickBot="1" x14ac:dyDescent="0.25">
      <c r="A178" s="222" t="s">
        <v>26</v>
      </c>
      <c r="B178" s="223"/>
      <c r="C178" s="218" t="s">
        <v>27</v>
      </c>
      <c r="D178" s="218" t="s">
        <v>20</v>
      </c>
      <c r="E178" s="219" t="s">
        <v>90</v>
      </c>
      <c r="F178" s="219" t="s">
        <v>28</v>
      </c>
      <c r="G178" s="220" t="s">
        <v>29</v>
      </c>
      <c r="H178" s="220" t="s">
        <v>141</v>
      </c>
    </row>
    <row r="179" spans="1:8" ht="13.5" thickBot="1" x14ac:dyDescent="0.25">
      <c r="A179" s="356" t="s">
        <v>139</v>
      </c>
      <c r="B179" s="357"/>
      <c r="C179" s="8" t="s">
        <v>0</v>
      </c>
      <c r="D179" s="41">
        <f>BDI!E$24*100</f>
        <v>24.46</v>
      </c>
      <c r="E179" s="9">
        <f>G160</f>
        <v>9999.1689883333329</v>
      </c>
      <c r="F179" s="9">
        <f>ROUND(D179*E179/100,2)</f>
        <v>2445.8000000000002</v>
      </c>
      <c r="G179" s="227">
        <f>+F179</f>
        <v>2445.8000000000002</v>
      </c>
      <c r="H179" s="227">
        <f>G179/G$38</f>
        <v>0.89919117647058833</v>
      </c>
    </row>
    <row r="180" spans="1:8" x14ac:dyDescent="0.2">
      <c r="A180" s="96"/>
      <c r="E180" s="27"/>
      <c r="F180" s="27"/>
      <c r="G180" s="141"/>
      <c r="H180" s="141"/>
    </row>
    <row r="181" spans="1:8" ht="11.25" customHeight="1" thickBot="1" x14ac:dyDescent="0.25">
      <c r="A181" s="96"/>
      <c r="E181" s="27"/>
      <c r="F181" s="27"/>
      <c r="G181" s="40"/>
      <c r="H181" s="40"/>
    </row>
    <row r="182" spans="1:8" ht="13.5" thickBot="1" x14ac:dyDescent="0.25">
      <c r="A182" s="12" t="s">
        <v>157</v>
      </c>
      <c r="B182" s="13"/>
      <c r="C182" s="16"/>
      <c r="D182" s="16"/>
      <c r="E182" s="17"/>
      <c r="F182" s="18"/>
      <c r="G182" s="226">
        <f>G179</f>
        <v>2445.8000000000002</v>
      </c>
      <c r="H182" s="226">
        <f>G182/G$38</f>
        <v>0.89919117647058833</v>
      </c>
    </row>
    <row r="183" spans="1:8" ht="13.5" thickBot="1" x14ac:dyDescent="0.25">
      <c r="A183" s="97"/>
      <c r="B183" s="6"/>
      <c r="C183" s="6"/>
      <c r="D183" s="6"/>
      <c r="E183" s="20"/>
      <c r="F183" s="20"/>
      <c r="G183" s="139"/>
      <c r="H183" s="139"/>
    </row>
    <row r="184" spans="1:8" ht="24.75" customHeight="1" thickBot="1" x14ac:dyDescent="0.25">
      <c r="A184" s="12" t="s">
        <v>158</v>
      </c>
      <c r="B184" s="13"/>
      <c r="C184" s="16"/>
      <c r="D184" s="16"/>
      <c r="E184" s="17"/>
      <c r="F184" s="18"/>
      <c r="G184" s="189">
        <f>G160+G182</f>
        <v>12444.968988333334</v>
      </c>
      <c r="H184" s="226">
        <f>G184/G$38</f>
        <v>4.5753562457107844</v>
      </c>
    </row>
    <row r="185" spans="1:8" ht="12.6" customHeight="1" x14ac:dyDescent="0.2">
      <c r="A185" s="101"/>
      <c r="B185" s="24"/>
      <c r="C185" s="24"/>
      <c r="D185" s="24"/>
      <c r="E185" s="25"/>
      <c r="F185" s="25"/>
      <c r="G185" s="140"/>
      <c r="H185" s="140"/>
    </row>
    <row r="186" spans="1:8" ht="16.149999999999999" customHeight="1" x14ac:dyDescent="0.2">
      <c r="A186" s="144" t="s">
        <v>159</v>
      </c>
      <c r="B186" s="198"/>
      <c r="C186" s="79"/>
      <c r="D186" s="79"/>
      <c r="E186" s="147">
        <f>E$172</f>
        <v>2720</v>
      </c>
      <c r="F186" s="146" t="s">
        <v>140</v>
      </c>
      <c r="G186" s="40"/>
      <c r="H186" s="40"/>
    </row>
    <row r="187" spans="1:8" ht="13.5" thickBot="1" x14ac:dyDescent="0.25">
      <c r="A187" s="96"/>
      <c r="E187" s="27"/>
      <c r="F187" s="27"/>
      <c r="G187" s="40"/>
      <c r="H187" s="40"/>
    </row>
    <row r="188" spans="1:8" ht="25.5" customHeight="1" thickBot="1" x14ac:dyDescent="0.25">
      <c r="A188" s="12" t="s">
        <v>160</v>
      </c>
      <c r="B188" s="13"/>
      <c r="C188" s="13"/>
      <c r="D188" s="13"/>
      <c r="E188" s="14"/>
      <c r="F188" s="145" t="s">
        <v>141</v>
      </c>
      <c r="G188" s="358">
        <f>ROUND(IFERROR(G184/E186,"-"),2)</f>
        <v>4.58</v>
      </c>
      <c r="H188" s="359"/>
    </row>
    <row r="189" spans="1:8" x14ac:dyDescent="0.2">
      <c r="A189" s="116"/>
      <c r="B189" s="117"/>
      <c r="C189" s="117"/>
      <c r="D189" s="117"/>
      <c r="E189" s="118"/>
      <c r="F189" s="118"/>
      <c r="G189" s="128"/>
      <c r="H189" s="128"/>
    </row>
    <row r="190" spans="1:8" x14ac:dyDescent="0.2">
      <c r="A190" s="127" t="s">
        <v>161</v>
      </c>
      <c r="B190" s="199"/>
      <c r="E190" s="27"/>
      <c r="F190" s="27"/>
      <c r="G190" s="40"/>
      <c r="H190" s="40"/>
    </row>
    <row r="191" spans="1:8" ht="11.25" customHeight="1" thickBot="1" x14ac:dyDescent="0.25">
      <c r="A191" s="96"/>
      <c r="E191" s="27"/>
      <c r="F191" s="27"/>
      <c r="G191" s="40"/>
      <c r="H191" s="40"/>
    </row>
    <row r="192" spans="1:8" ht="13.5" thickBot="1" x14ac:dyDescent="0.25">
      <c r="A192" s="222" t="s">
        <v>26</v>
      </c>
      <c r="B192" s="223"/>
      <c r="C192" s="218" t="s">
        <v>27</v>
      </c>
      <c r="D192" s="218" t="s">
        <v>20</v>
      </c>
      <c r="E192" s="219" t="s">
        <v>90</v>
      </c>
      <c r="F192" s="219" t="s">
        <v>28</v>
      </c>
      <c r="G192" s="220" t="s">
        <v>29</v>
      </c>
      <c r="H192" s="220" t="s">
        <v>141</v>
      </c>
    </row>
    <row r="193" spans="1:11" ht="13.5" thickBot="1" x14ac:dyDescent="0.25">
      <c r="A193" s="98" t="s">
        <v>162</v>
      </c>
      <c r="B193" s="196"/>
      <c r="C193" s="8" t="s">
        <v>0</v>
      </c>
      <c r="D193" s="41">
        <f>BDI!C35*100</f>
        <v>16.93</v>
      </c>
      <c r="E193" s="9">
        <f>G161</f>
        <v>9571.1639883333337</v>
      </c>
      <c r="F193" s="9">
        <f>ROUND(D193*E193/100,2)</f>
        <v>1620.4</v>
      </c>
      <c r="G193" s="227">
        <f>+F193</f>
        <v>1620.4</v>
      </c>
      <c r="H193" s="227">
        <f>G193/G$38</f>
        <v>0.59573529411764714</v>
      </c>
    </row>
    <row r="194" spans="1:11" x14ac:dyDescent="0.2">
      <c r="A194" s="96"/>
      <c r="E194" s="27"/>
      <c r="F194" s="27"/>
      <c r="G194" s="128"/>
      <c r="H194" s="128"/>
    </row>
    <row r="195" spans="1:11" ht="11.25" customHeight="1" thickBot="1" x14ac:dyDescent="0.25">
      <c r="A195" s="96"/>
      <c r="E195" s="27"/>
      <c r="F195" s="27"/>
      <c r="G195" s="40"/>
      <c r="H195" s="40"/>
    </row>
    <row r="196" spans="1:11" ht="13.5" thickBot="1" x14ac:dyDescent="0.25">
      <c r="A196" s="12" t="s">
        <v>163</v>
      </c>
      <c r="B196" s="13"/>
      <c r="C196" s="16"/>
      <c r="D196" s="16"/>
      <c r="E196" s="17"/>
      <c r="F196" s="18"/>
      <c r="G196" s="226">
        <f>G193</f>
        <v>1620.4</v>
      </c>
      <c r="H196" s="226">
        <f>G196/G$38</f>
        <v>0.59573529411764714</v>
      </c>
    </row>
    <row r="197" spans="1:11" ht="13.5" thickBot="1" x14ac:dyDescent="0.25">
      <c r="A197" s="97"/>
      <c r="B197" s="6"/>
      <c r="C197" s="6"/>
      <c r="D197" s="6"/>
      <c r="E197" s="20"/>
      <c r="F197" s="20"/>
      <c r="G197" s="139"/>
      <c r="H197" s="139"/>
    </row>
    <row r="198" spans="1:11" ht="24.75" customHeight="1" thickBot="1" x14ac:dyDescent="0.25">
      <c r="A198" s="12" t="s">
        <v>164</v>
      </c>
      <c r="B198" s="13"/>
      <c r="C198" s="16"/>
      <c r="D198" s="16"/>
      <c r="E198" s="17"/>
      <c r="F198" s="18"/>
      <c r="G198" s="226">
        <f>E193+G196</f>
        <v>11191.563988333333</v>
      </c>
      <c r="H198" s="226">
        <f>G198/G$38</f>
        <v>4.1145455839460787</v>
      </c>
    </row>
    <row r="199" spans="1:11" ht="12.6" customHeight="1" x14ac:dyDescent="0.2">
      <c r="A199" s="101"/>
      <c r="B199" s="24"/>
      <c r="C199" s="24"/>
      <c r="D199" s="24"/>
      <c r="E199" s="25"/>
      <c r="F199" s="25"/>
      <c r="G199" s="140"/>
      <c r="H199" s="140"/>
    </row>
    <row r="200" spans="1:11" ht="12.6" customHeight="1" x14ac:dyDescent="0.2">
      <c r="A200" s="101" t="s">
        <v>121</v>
      </c>
      <c r="B200" s="24"/>
      <c r="C200" s="24"/>
      <c r="D200" s="24"/>
      <c r="E200" s="25"/>
      <c r="F200" s="25"/>
      <c r="G200" s="142"/>
      <c r="H200" s="142"/>
    </row>
    <row r="201" spans="1:11" x14ac:dyDescent="0.2">
      <c r="A201" s="143" t="s">
        <v>118</v>
      </c>
      <c r="B201" s="6"/>
      <c r="E201" s="27"/>
      <c r="F201" s="27"/>
      <c r="G201" s="40"/>
      <c r="H201" s="40"/>
    </row>
    <row r="202" spans="1:11" x14ac:dyDescent="0.2">
      <c r="A202" s="97" t="s">
        <v>116</v>
      </c>
      <c r="B202" s="6"/>
      <c r="E202" s="27"/>
      <c r="F202" s="27"/>
      <c r="G202" s="40"/>
      <c r="H202" s="40"/>
    </row>
    <row r="203" spans="1:11" x14ac:dyDescent="0.2">
      <c r="A203" s="362" t="s">
        <v>296</v>
      </c>
      <c r="B203" s="363"/>
      <c r="E203" s="27"/>
      <c r="F203" s="27"/>
      <c r="G203" s="40"/>
      <c r="H203" s="40"/>
    </row>
    <row r="204" spans="1:11" ht="11.25" customHeight="1" thickBot="1" x14ac:dyDescent="0.25">
      <c r="A204" s="119"/>
      <c r="E204" s="27"/>
      <c r="F204" s="27"/>
      <c r="G204" s="40"/>
      <c r="H204" s="40"/>
    </row>
    <row r="205" spans="1:11" ht="15.75" thickBot="1" x14ac:dyDescent="0.3">
      <c r="A205" s="222" t="s">
        <v>26</v>
      </c>
      <c r="B205" s="223"/>
      <c r="C205" s="218" t="s">
        <v>27</v>
      </c>
      <c r="D205" s="218" t="s">
        <v>20</v>
      </c>
      <c r="E205" s="219" t="s">
        <v>117</v>
      </c>
      <c r="F205" s="219" t="s">
        <v>28</v>
      </c>
      <c r="G205" s="220" t="s">
        <v>29</v>
      </c>
      <c r="H205" s="220" t="s">
        <v>141</v>
      </c>
      <c r="I205" s="328"/>
      <c r="J205" s="329"/>
      <c r="K205" s="328"/>
    </row>
    <row r="206" spans="1:11" ht="15.75" thickBot="1" x14ac:dyDescent="0.3">
      <c r="A206" s="356" t="s">
        <v>165</v>
      </c>
      <c r="B206" s="357"/>
      <c r="C206" s="120" t="s">
        <v>0</v>
      </c>
      <c r="D206" s="291">
        <v>6</v>
      </c>
      <c r="E206" s="121">
        <f>G198</f>
        <v>11191.563988333333</v>
      </c>
      <c r="F206" s="9">
        <f>ROUND(G209*(D206/100),2)</f>
        <v>714.36</v>
      </c>
      <c r="G206" s="226">
        <f>F206</f>
        <v>714.36</v>
      </c>
      <c r="H206" s="226">
        <f>G206/G$38</f>
        <v>0.26263235294117648</v>
      </c>
      <c r="I206" s="330"/>
      <c r="J206" s="331">
        <f>G209*12</f>
        <v>142871.02963829786</v>
      </c>
      <c r="K206" s="331"/>
    </row>
    <row r="207" spans="1:11" ht="15.75" x14ac:dyDescent="0.25">
      <c r="A207" s="96"/>
      <c r="E207" s="27"/>
      <c r="F207" s="27"/>
      <c r="G207" s="140"/>
      <c r="H207" s="140"/>
      <c r="I207" s="328"/>
      <c r="J207" s="328"/>
      <c r="K207" s="328"/>
    </row>
    <row r="208" spans="1:11" ht="15.75" thickBot="1" x14ac:dyDescent="0.3">
      <c r="A208" s="122"/>
      <c r="B208" s="123"/>
      <c r="C208" s="123"/>
      <c r="D208" s="123"/>
      <c r="E208" s="124"/>
      <c r="F208" s="124"/>
      <c r="G208" s="40"/>
      <c r="H208" s="40"/>
      <c r="I208" s="332"/>
      <c r="J208" s="332"/>
      <c r="K208" s="333"/>
    </row>
    <row r="209" spans="1:8" ht="24.75" customHeight="1" thickBot="1" x14ac:dyDescent="0.25">
      <c r="A209" s="12" t="s">
        <v>166</v>
      </c>
      <c r="B209" s="13"/>
      <c r="C209" s="16"/>
      <c r="D209" s="16"/>
      <c r="E209" s="17"/>
      <c r="F209" s="18"/>
      <c r="G209" s="189">
        <f>E206/((100-D206)/100)</f>
        <v>11905.919136524823</v>
      </c>
      <c r="H209" s="226">
        <f>G209/G$38</f>
        <v>4.3771761531341262</v>
      </c>
    </row>
    <row r="210" spans="1:8" ht="12.6" customHeight="1" x14ac:dyDescent="0.2">
      <c r="A210" s="101"/>
      <c r="B210" s="24"/>
      <c r="C210" s="24"/>
      <c r="D210" s="24"/>
      <c r="E210" s="25"/>
      <c r="F210" s="25"/>
      <c r="G210" s="140"/>
      <c r="H210" s="140"/>
    </row>
    <row r="211" spans="1:8" ht="16.149999999999999" customHeight="1" x14ac:dyDescent="0.2">
      <c r="A211" s="144" t="s">
        <v>167</v>
      </c>
      <c r="B211" s="198"/>
      <c r="C211" s="79"/>
      <c r="D211" s="79"/>
      <c r="E211" s="147">
        <f>E$172</f>
        <v>2720</v>
      </c>
      <c r="F211" s="146" t="s">
        <v>140</v>
      </c>
      <c r="G211" s="40"/>
      <c r="H211" s="40"/>
    </row>
    <row r="212" spans="1:8" ht="13.5" thickBot="1" x14ac:dyDescent="0.25">
      <c r="A212" s="96"/>
      <c r="E212" s="27"/>
      <c r="F212" s="27"/>
      <c r="G212" s="40"/>
      <c r="H212" s="40"/>
    </row>
    <row r="213" spans="1:8" ht="25.5" customHeight="1" thickBot="1" x14ac:dyDescent="0.25">
      <c r="A213" s="12" t="s">
        <v>168</v>
      </c>
      <c r="B213" s="13"/>
      <c r="C213" s="13"/>
      <c r="D213" s="13"/>
      <c r="E213" s="14"/>
      <c r="F213" s="145" t="s">
        <v>141</v>
      </c>
      <c r="G213" s="358">
        <f>ROUND(IFERROR(G209/E211,"-"),2)</f>
        <v>4.38</v>
      </c>
      <c r="H213" s="359"/>
    </row>
    <row r="214" spans="1:8" ht="9" customHeight="1" x14ac:dyDescent="0.2">
      <c r="E214" s="4"/>
      <c r="F214" s="4"/>
      <c r="G214" s="4"/>
      <c r="H214" s="27"/>
    </row>
    <row r="215" spans="1:8" x14ac:dyDescent="0.2">
      <c r="H215" s="27"/>
    </row>
    <row r="216" spans="1:8" x14ac:dyDescent="0.2">
      <c r="H216" s="27"/>
    </row>
    <row r="217" spans="1:8" x14ac:dyDescent="0.2">
      <c r="A217" s="6"/>
      <c r="B217" s="6"/>
      <c r="C217" s="6"/>
      <c r="D217" s="6"/>
      <c r="E217" s="286"/>
      <c r="F217" s="286"/>
      <c r="G217" s="286"/>
      <c r="H217" s="20"/>
    </row>
    <row r="218" spans="1:8" x14ac:dyDescent="0.2">
      <c r="A218" s="6"/>
      <c r="B218" s="6"/>
      <c r="C218" s="6"/>
      <c r="D218" s="6"/>
      <c r="E218" s="286"/>
      <c r="F218" s="286"/>
      <c r="G218" s="286"/>
      <c r="H218" s="20"/>
    </row>
    <row r="219" spans="1:8" x14ac:dyDescent="0.2">
      <c r="A219" s="6"/>
      <c r="B219" s="6"/>
      <c r="C219" s="6"/>
      <c r="D219" s="6"/>
      <c r="E219" s="286"/>
      <c r="F219" s="286"/>
      <c r="G219" s="286"/>
      <c r="H219" s="20"/>
    </row>
    <row r="220" spans="1:8" x14ac:dyDescent="0.2">
      <c r="A220" s="6"/>
      <c r="B220" s="6"/>
      <c r="C220" s="6"/>
      <c r="D220" s="6"/>
      <c r="E220" s="286"/>
      <c r="F220" s="286"/>
      <c r="G220" s="286"/>
      <c r="H220" s="20"/>
    </row>
    <row r="221" spans="1:8" x14ac:dyDescent="0.2">
      <c r="A221" s="6"/>
      <c r="B221" s="6"/>
      <c r="C221" s="360"/>
      <c r="D221" s="360"/>
      <c r="E221" s="360"/>
      <c r="F221" s="286"/>
      <c r="G221" s="286"/>
      <c r="H221" s="20"/>
    </row>
    <row r="222" spans="1:8" x14ac:dyDescent="0.2">
      <c r="A222" s="6"/>
      <c r="B222" s="6"/>
      <c r="C222" s="360"/>
      <c r="D222" s="360"/>
      <c r="E222" s="360"/>
      <c r="F222" s="286"/>
      <c r="G222" s="286"/>
      <c r="H222" s="20"/>
    </row>
    <row r="223" spans="1:8" x14ac:dyDescent="0.2">
      <c r="A223" s="6"/>
      <c r="B223" s="6"/>
      <c r="C223" s="360"/>
      <c r="D223" s="360"/>
      <c r="E223" s="360"/>
      <c r="F223" s="286"/>
      <c r="G223" s="286"/>
      <c r="H223" s="20"/>
    </row>
    <row r="224" spans="1:8" x14ac:dyDescent="0.2">
      <c r="H224" s="27"/>
    </row>
    <row r="225" spans="8:8" x14ac:dyDescent="0.2">
      <c r="H225" s="27"/>
    </row>
    <row r="226" spans="8:8" x14ac:dyDescent="0.2">
      <c r="H226" s="27"/>
    </row>
  </sheetData>
  <mergeCells count="117">
    <mergeCell ref="A1:H1"/>
    <mergeCell ref="D3:E3"/>
    <mergeCell ref="G3:H3"/>
    <mergeCell ref="B4:C4"/>
    <mergeCell ref="C7:D7"/>
    <mergeCell ref="E7:F7"/>
    <mergeCell ref="G7:H7"/>
    <mergeCell ref="A14:B14"/>
    <mergeCell ref="A15:B15"/>
    <mergeCell ref="A16:B16"/>
    <mergeCell ref="A17:B17"/>
    <mergeCell ref="A18:B18"/>
    <mergeCell ref="A19:B19"/>
    <mergeCell ref="A8:B8"/>
    <mergeCell ref="A9:B9"/>
    <mergeCell ref="A10:B10"/>
    <mergeCell ref="A11:B11"/>
    <mergeCell ref="A12:B12"/>
    <mergeCell ref="A13:B13"/>
    <mergeCell ref="A28:G28"/>
    <mergeCell ref="A29:B29"/>
    <mergeCell ref="A30:B30"/>
    <mergeCell ref="A31:B31"/>
    <mergeCell ref="A33:B33"/>
    <mergeCell ref="A34:B34"/>
    <mergeCell ref="A21:B21"/>
    <mergeCell ref="A22:B22"/>
    <mergeCell ref="A23:B23"/>
    <mergeCell ref="A24:B24"/>
    <mergeCell ref="A25:B25"/>
    <mergeCell ref="A26:B26"/>
    <mergeCell ref="A44:G44"/>
    <mergeCell ref="A47:B47"/>
    <mergeCell ref="A48:B48"/>
    <mergeCell ref="A51:B51"/>
    <mergeCell ref="A52:B52"/>
    <mergeCell ref="A53:B53"/>
    <mergeCell ref="A35:B35"/>
    <mergeCell ref="A37:B37"/>
    <mergeCell ref="A38:B38"/>
    <mergeCell ref="A39:B39"/>
    <mergeCell ref="D41:G41"/>
    <mergeCell ref="A42:B42"/>
    <mergeCell ref="D42:F42"/>
    <mergeCell ref="A66:B66"/>
    <mergeCell ref="A67:B67"/>
    <mergeCell ref="A72:B72"/>
    <mergeCell ref="A82:B82"/>
    <mergeCell ref="A83:B83"/>
    <mergeCell ref="A84:B84"/>
    <mergeCell ref="A54:B54"/>
    <mergeCell ref="A58:B58"/>
    <mergeCell ref="A59:B59"/>
    <mergeCell ref="A60:B60"/>
    <mergeCell ref="A64:B64"/>
    <mergeCell ref="A65:B65"/>
    <mergeCell ref="A93:B93"/>
    <mergeCell ref="A94:B94"/>
    <mergeCell ref="A95:B95"/>
    <mergeCell ref="A96:B96"/>
    <mergeCell ref="A97:B97"/>
    <mergeCell ref="A100:B100"/>
    <mergeCell ref="A85:B85"/>
    <mergeCell ref="A86:B86"/>
    <mergeCell ref="A89:B89"/>
    <mergeCell ref="A90:B90"/>
    <mergeCell ref="A91:B91"/>
    <mergeCell ref="A92:B92"/>
    <mergeCell ref="A108:B108"/>
    <mergeCell ref="A112:B112"/>
    <mergeCell ref="A113:B113"/>
    <mergeCell ref="A114:B114"/>
    <mergeCell ref="A117:B117"/>
    <mergeCell ref="A118:B118"/>
    <mergeCell ref="A101:B101"/>
    <mergeCell ref="A102:B102"/>
    <mergeCell ref="A103:B103"/>
    <mergeCell ref="A104:B104"/>
    <mergeCell ref="A105:B105"/>
    <mergeCell ref="A107:B107"/>
    <mergeCell ref="A125:B125"/>
    <mergeCell ref="A128:B128"/>
    <mergeCell ref="A129:B129"/>
    <mergeCell ref="A130:B130"/>
    <mergeCell ref="A131:B131"/>
    <mergeCell ref="A132:B132"/>
    <mergeCell ref="A119:B119"/>
    <mergeCell ref="A120:B120"/>
    <mergeCell ref="A121:B121"/>
    <mergeCell ref="A122:B122"/>
    <mergeCell ref="A123:B123"/>
    <mergeCell ref="A124:B124"/>
    <mergeCell ref="A146:B146"/>
    <mergeCell ref="A151:B151"/>
    <mergeCell ref="A152:B152"/>
    <mergeCell ref="A153:B153"/>
    <mergeCell ref="A154:B154"/>
    <mergeCell ref="A155:B155"/>
    <mergeCell ref="A135:B135"/>
    <mergeCell ref="A136:B136"/>
    <mergeCell ref="A139:B139"/>
    <mergeCell ref="A140:B140"/>
    <mergeCell ref="A143:B143"/>
    <mergeCell ref="A144:B144"/>
    <mergeCell ref="C223:E223"/>
    <mergeCell ref="G188:H188"/>
    <mergeCell ref="A203:B203"/>
    <mergeCell ref="A206:B206"/>
    <mergeCell ref="G213:H213"/>
    <mergeCell ref="C221:E221"/>
    <mergeCell ref="C222:E222"/>
    <mergeCell ref="A156:B156"/>
    <mergeCell ref="A164:B164"/>
    <mergeCell ref="A165:B165"/>
    <mergeCell ref="A172:B172"/>
    <mergeCell ref="G174:H174"/>
    <mergeCell ref="A179:B179"/>
  </mergeCells>
  <pageMargins left="0.39370078740157483" right="0" top="0.59055118110236227" bottom="0.39370078740157483" header="0" footer="0"/>
  <pageSetup paperSize="9" scale="82" fitToHeight="0" orientation="portrait" r:id="rId1"/>
  <headerFooter alignWithMargins="0">
    <oddFooter>&amp;R&amp;P de &amp;N</oddFooter>
  </headerFooter>
  <rowBreaks count="3" manualBreakCount="3">
    <brk id="61" max="7" man="1"/>
    <brk id="125" max="7" man="1"/>
    <brk id="188" max="7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226"/>
  <sheetViews>
    <sheetView tabSelected="1" topLeftCell="A197" zoomScale="110" zoomScaleNormal="110" zoomScaleSheetLayoutView="110" workbookViewId="0">
      <selection activeCell="B216" sqref="B216"/>
    </sheetView>
  </sheetViews>
  <sheetFormatPr defaultColWidth="9.140625" defaultRowHeight="12.75" x14ac:dyDescent="0.2"/>
  <cols>
    <col min="1" max="1" width="17.85546875" style="4" customWidth="1"/>
    <col min="2" max="2" width="26.85546875" style="4" customWidth="1"/>
    <col min="3" max="3" width="14.140625" style="4" bestFit="1" customWidth="1"/>
    <col min="4" max="4" width="12.85546875" style="4" bestFit="1" customWidth="1"/>
    <col min="5" max="5" width="14.7109375" style="5" customWidth="1"/>
    <col min="6" max="6" width="13.42578125" style="5" bestFit="1" customWidth="1"/>
    <col min="7" max="7" width="14.140625" style="5" bestFit="1" customWidth="1"/>
    <col min="8" max="8" width="8.28515625" style="5" customWidth="1"/>
    <col min="9" max="9" width="14.42578125" style="4" customWidth="1"/>
    <col min="10" max="10" width="20.42578125" style="4" customWidth="1"/>
    <col min="11" max="11" width="10.5703125" style="4" bestFit="1" customWidth="1"/>
    <col min="12" max="16384" width="9.140625" style="4"/>
  </cols>
  <sheetData>
    <row r="1" spans="1:8" s="88" customFormat="1" ht="23.25" customHeight="1" thickBot="1" x14ac:dyDescent="0.25">
      <c r="A1" s="370" t="s">
        <v>184</v>
      </c>
      <c r="B1" s="371"/>
      <c r="C1" s="371"/>
      <c r="D1" s="371"/>
      <c r="E1" s="371"/>
      <c r="F1" s="371"/>
      <c r="G1" s="371"/>
      <c r="H1" s="372"/>
    </row>
    <row r="2" spans="1:8" s="2" customFormat="1" ht="15.75" customHeight="1" thickBot="1" x14ac:dyDescent="0.25">
      <c r="A2" s="215" t="s">
        <v>199</v>
      </c>
      <c r="B2" s="216"/>
      <c r="C2" s="252" t="s">
        <v>216</v>
      </c>
      <c r="D2" s="232"/>
      <c r="E2" s="232"/>
      <c r="F2" s="232"/>
      <c r="G2" s="232"/>
      <c r="H2" s="233"/>
    </row>
    <row r="3" spans="1:8" s="88" customFormat="1" ht="23.25" customHeight="1" thickBot="1" x14ac:dyDescent="0.25">
      <c r="A3" s="229" t="s">
        <v>96</v>
      </c>
      <c r="B3" s="236" t="s">
        <v>297</v>
      </c>
      <c r="C3" s="228" t="s">
        <v>222</v>
      </c>
      <c r="D3" s="373"/>
      <c r="E3" s="374"/>
      <c r="F3" s="228" t="s">
        <v>214</v>
      </c>
      <c r="G3" s="373"/>
      <c r="H3" s="375"/>
    </row>
    <row r="4" spans="1:8" s="3" customFormat="1" ht="18.75" thickBot="1" x14ac:dyDescent="0.3">
      <c r="A4" s="230" t="s">
        <v>228</v>
      </c>
      <c r="B4" s="378" t="s">
        <v>302</v>
      </c>
      <c r="C4" s="378"/>
      <c r="D4" s="293" t="s">
        <v>229</v>
      </c>
      <c r="E4" s="200" t="s">
        <v>298</v>
      </c>
      <c r="F4" s="200"/>
      <c r="G4" s="200"/>
      <c r="H4" s="201"/>
    </row>
    <row r="5" spans="1:8" s="2" customFormat="1" ht="10.9" customHeight="1" thickBot="1" x14ac:dyDescent="0.25">
      <c r="A5" s="202"/>
      <c r="B5" s="203"/>
      <c r="C5" s="204"/>
      <c r="D5" s="204"/>
      <c r="E5" s="205"/>
      <c r="F5" s="205"/>
      <c r="G5" s="205"/>
      <c r="H5" s="206"/>
    </row>
    <row r="6" spans="1:8" s="2" customFormat="1" ht="15.75" customHeight="1" thickBot="1" x14ac:dyDescent="0.25">
      <c r="A6" s="215" t="s">
        <v>200</v>
      </c>
      <c r="B6" s="216"/>
      <c r="C6" s="216"/>
      <c r="D6" s="216"/>
      <c r="E6" s="216"/>
      <c r="F6" s="216"/>
      <c r="G6" s="216"/>
      <c r="H6" s="217"/>
    </row>
    <row r="7" spans="1:8" s="2" customFormat="1" ht="16.5" thickBot="1" x14ac:dyDescent="0.25">
      <c r="A7" s="126" t="s">
        <v>119</v>
      </c>
      <c r="B7" s="126"/>
      <c r="C7" s="376" t="s">
        <v>109</v>
      </c>
      <c r="D7" s="377"/>
      <c r="E7" s="376" t="s">
        <v>110</v>
      </c>
      <c r="F7" s="377"/>
      <c r="G7" s="376" t="s">
        <v>113</v>
      </c>
      <c r="H7" s="377"/>
    </row>
    <row r="8" spans="1:8" s="2" customFormat="1" ht="28.5" customHeight="1" x14ac:dyDescent="0.2">
      <c r="A8" s="390" t="s">
        <v>85</v>
      </c>
      <c r="B8" s="391"/>
      <c r="C8" s="106" t="s">
        <v>111</v>
      </c>
      <c r="D8" s="22" t="s">
        <v>112</v>
      </c>
      <c r="E8" s="106" t="s">
        <v>111</v>
      </c>
      <c r="F8" s="22" t="s">
        <v>112</v>
      </c>
      <c r="G8" s="106" t="s">
        <v>111</v>
      </c>
      <c r="H8" s="22" t="s">
        <v>112</v>
      </c>
    </row>
    <row r="9" spans="1:8" s="6" customFormat="1" ht="15.75" customHeight="1" x14ac:dyDescent="0.2">
      <c r="A9" s="379" t="str">
        <f>A45</f>
        <v>1. Mão-de-obra</v>
      </c>
      <c r="B9" s="380"/>
      <c r="C9" s="102">
        <f>+G76</f>
        <v>2375.21</v>
      </c>
      <c r="D9" s="37">
        <f>SUM(D10:D12)</f>
        <v>0.1336</v>
      </c>
      <c r="E9" s="102">
        <f>G76</f>
        <v>2375.21</v>
      </c>
      <c r="F9" s="37">
        <f>SUM(F10:F12)</f>
        <v>0.14213644153607785</v>
      </c>
      <c r="G9" s="102">
        <f>G77</f>
        <v>1947.2049999999999</v>
      </c>
      <c r="H9" s="37">
        <f>SUM(H10:H12)</f>
        <v>0.12039999999999999</v>
      </c>
    </row>
    <row r="10" spans="1:8" s="2" customFormat="1" ht="15.75" customHeight="1" x14ac:dyDescent="0.2">
      <c r="A10" s="392" t="s">
        <v>223</v>
      </c>
      <c r="B10" s="380"/>
      <c r="C10" s="103">
        <f>G55</f>
        <v>1932.1599999999999</v>
      </c>
      <c r="D10" s="26">
        <f>ROUND(IFERROR(C10/$C$25,0),4)</f>
        <v>0.1087</v>
      </c>
      <c r="E10" s="103">
        <f t="shared" ref="E10:E21" si="0">C10</f>
        <v>1932.1599999999999</v>
      </c>
      <c r="F10" s="26">
        <f>(IFERROR(E10/$E$25,0))</f>
        <v>0.11562360670355386</v>
      </c>
      <c r="G10" s="103">
        <f>G61</f>
        <v>1504.155</v>
      </c>
      <c r="H10" s="26">
        <f t="shared" ref="H10:H20" si="1">ROUND(IFERROR(G10/$G$25,0),4)</f>
        <v>9.2999999999999999E-2</v>
      </c>
    </row>
    <row r="11" spans="1:8" s="2" customFormat="1" ht="15.75" customHeight="1" x14ac:dyDescent="0.2">
      <c r="A11" s="393" t="str">
        <f>A63</f>
        <v>1.2. Vale Transporte</v>
      </c>
      <c r="B11" s="380"/>
      <c r="C11" s="103">
        <f>G68</f>
        <v>53.05</v>
      </c>
      <c r="D11" s="26">
        <f>ROUND(IFERROR(C11/$C$25,0),4)</f>
        <v>3.0000000000000001E-3</v>
      </c>
      <c r="E11" s="103">
        <f t="shared" si="0"/>
        <v>53.05</v>
      </c>
      <c r="F11" s="26">
        <f>(IFERROR(E11/$E$25,0))</f>
        <v>3.1745985506498077E-3</v>
      </c>
      <c r="G11" s="103">
        <f t="shared" ref="G11:G20" si="2">E11</f>
        <v>53.05</v>
      </c>
      <c r="H11" s="26">
        <f t="shared" si="1"/>
        <v>3.3E-3</v>
      </c>
    </row>
    <row r="12" spans="1:8" s="2" customFormat="1" ht="15.75" customHeight="1" x14ac:dyDescent="0.2">
      <c r="A12" s="393" t="str">
        <f>A70</f>
        <v>1.3. Vale-refeição (diário)</v>
      </c>
      <c r="B12" s="380"/>
      <c r="C12" s="103">
        <f>G73</f>
        <v>390</v>
      </c>
      <c r="D12" s="26">
        <f>ROUND(IFERROR(C12/$C$25,0),4)</f>
        <v>2.1899999999999999E-2</v>
      </c>
      <c r="E12" s="103">
        <f t="shared" si="0"/>
        <v>390</v>
      </c>
      <c r="F12" s="26">
        <f>(IFERROR(E12/$E$25,0))</f>
        <v>2.3338236281874179E-2</v>
      </c>
      <c r="G12" s="103">
        <f t="shared" si="2"/>
        <v>390</v>
      </c>
      <c r="H12" s="26">
        <f t="shared" si="1"/>
        <v>2.41E-2</v>
      </c>
    </row>
    <row r="13" spans="1:8" s="6" customFormat="1" ht="15.75" customHeight="1" x14ac:dyDescent="0.2">
      <c r="A13" s="379" t="str">
        <f>A79</f>
        <v>2. Veículos</v>
      </c>
      <c r="B13" s="380"/>
      <c r="C13" s="102">
        <f>+G148</f>
        <v>10950.914339999999</v>
      </c>
      <c r="D13" s="37">
        <f>SUM(D14:D20)</f>
        <v>0.61619999999999997</v>
      </c>
      <c r="E13" s="102">
        <f t="shared" si="0"/>
        <v>10950.914339999999</v>
      </c>
      <c r="F13" s="37">
        <f>SUM(F14:F20)</f>
        <v>0.65532058043457486</v>
      </c>
      <c r="G13" s="102">
        <f t="shared" si="2"/>
        <v>10950.914339999999</v>
      </c>
      <c r="H13" s="37">
        <f>SUM(H14:H20)</f>
        <v>0.67730000000000001</v>
      </c>
    </row>
    <row r="14" spans="1:8" s="2" customFormat="1" ht="15.75" customHeight="1" x14ac:dyDescent="0.2">
      <c r="A14" s="382" t="str">
        <f>A80</f>
        <v>2.1 Depreciação</v>
      </c>
      <c r="B14" s="380"/>
      <c r="C14" s="103">
        <f>G86</f>
        <v>2628.6876733333334</v>
      </c>
      <c r="D14" s="43">
        <f t="shared" ref="D14:D22" si="3">ROUND(IFERROR(C14/$C$25,0),4)</f>
        <v>0.1479</v>
      </c>
      <c r="E14" s="103">
        <f t="shared" si="0"/>
        <v>2628.6876733333334</v>
      </c>
      <c r="F14" s="26">
        <f t="shared" ref="F14:F21" si="4">(IFERROR(E14/$E$25,0))</f>
        <v>0.15730495905513697</v>
      </c>
      <c r="G14" s="103">
        <f t="shared" si="2"/>
        <v>2628.6876733333334</v>
      </c>
      <c r="H14" s="43">
        <f t="shared" si="1"/>
        <v>0.16259999999999999</v>
      </c>
    </row>
    <row r="15" spans="1:8" s="2" customFormat="1" ht="15.75" customHeight="1" x14ac:dyDescent="0.2">
      <c r="A15" s="382" t="str">
        <f>A88</f>
        <v>2.2 Remuneração do Capital</v>
      </c>
      <c r="B15" s="380"/>
      <c r="C15" s="103">
        <f>G97</f>
        <v>2992.56</v>
      </c>
      <c r="D15" s="43">
        <f t="shared" si="3"/>
        <v>0.16839999999999999</v>
      </c>
      <c r="E15" s="103">
        <f t="shared" si="0"/>
        <v>2992.56</v>
      </c>
      <c r="F15" s="26">
        <f t="shared" si="4"/>
        <v>0.17907967273765482</v>
      </c>
      <c r="G15" s="103">
        <f t="shared" si="2"/>
        <v>2992.56</v>
      </c>
      <c r="H15" s="43">
        <f t="shared" si="1"/>
        <v>0.18509999999999999</v>
      </c>
    </row>
    <row r="16" spans="1:8" s="2" customFormat="1" ht="15.75" customHeight="1" x14ac:dyDescent="0.2">
      <c r="A16" s="382" t="str">
        <f>A99</f>
        <v>2.3. Impostos e Seguros</v>
      </c>
      <c r="B16" s="380"/>
      <c r="C16" s="103">
        <f>G108</f>
        <v>705.59</v>
      </c>
      <c r="D16" s="43">
        <f t="shared" si="3"/>
        <v>3.9699999999999999E-2</v>
      </c>
      <c r="E16" s="103">
        <f t="shared" si="0"/>
        <v>705.59</v>
      </c>
      <c r="F16" s="26">
        <f t="shared" si="4"/>
        <v>4.2223656764429747E-2</v>
      </c>
      <c r="G16" s="103">
        <f t="shared" si="2"/>
        <v>705.59</v>
      </c>
      <c r="H16" s="43">
        <f t="shared" si="1"/>
        <v>4.36E-2</v>
      </c>
    </row>
    <row r="17" spans="1:10" s="2" customFormat="1" ht="15.75" customHeight="1" x14ac:dyDescent="0.2">
      <c r="A17" s="382" t="str">
        <f>A110</f>
        <v>2.4. Consumos</v>
      </c>
      <c r="B17" s="380"/>
      <c r="C17" s="103">
        <f>G125</f>
        <v>2241.48</v>
      </c>
      <c r="D17" s="43">
        <f t="shared" si="3"/>
        <v>0.12609999999999999</v>
      </c>
      <c r="E17" s="103">
        <f t="shared" si="0"/>
        <v>2241.48</v>
      </c>
      <c r="F17" s="26">
        <f t="shared" si="4"/>
        <v>0.1341338201566547</v>
      </c>
      <c r="G17" s="103">
        <f t="shared" si="2"/>
        <v>2241.48</v>
      </c>
      <c r="H17" s="43">
        <f t="shared" si="1"/>
        <v>0.1386</v>
      </c>
    </row>
    <row r="18" spans="1:10" s="2" customFormat="1" ht="15.75" customHeight="1" x14ac:dyDescent="0.2">
      <c r="A18" s="382" t="str">
        <f>A127</f>
        <v>2.5. Manutenção</v>
      </c>
      <c r="B18" s="380"/>
      <c r="C18" s="103">
        <f>G132</f>
        <v>2040</v>
      </c>
      <c r="D18" s="43">
        <f t="shared" si="3"/>
        <v>0.1148</v>
      </c>
      <c r="E18" s="103">
        <f t="shared" si="0"/>
        <v>2040</v>
      </c>
      <c r="F18" s="26">
        <f t="shared" si="4"/>
        <v>0.12207692824364955</v>
      </c>
      <c r="G18" s="103">
        <f t="shared" si="2"/>
        <v>2040</v>
      </c>
      <c r="H18" s="43">
        <f t="shared" si="1"/>
        <v>0.12620000000000001</v>
      </c>
    </row>
    <row r="19" spans="1:10" s="2" customFormat="1" ht="15.75" customHeight="1" x14ac:dyDescent="0.2">
      <c r="A19" s="382" t="str">
        <f>A134</f>
        <v>2.6. Pneus</v>
      </c>
      <c r="B19" s="380"/>
      <c r="C19" s="103">
        <f>G140</f>
        <v>270.19</v>
      </c>
      <c r="D19" s="43">
        <f t="shared" si="3"/>
        <v>1.52E-2</v>
      </c>
      <c r="E19" s="103">
        <f t="shared" si="0"/>
        <v>270.19</v>
      </c>
      <c r="F19" s="26">
        <f t="shared" si="4"/>
        <v>1.6168610412819445E-2</v>
      </c>
      <c r="G19" s="103">
        <f t="shared" si="2"/>
        <v>270.19</v>
      </c>
      <c r="H19" s="43">
        <f t="shared" si="1"/>
        <v>1.67E-2</v>
      </c>
    </row>
    <row r="20" spans="1:10" s="2" customFormat="1" ht="15.75" customHeight="1" x14ac:dyDescent="0.2">
      <c r="A20" s="345" t="str">
        <f>A142</f>
        <v>2.7. Rastreador GPS</v>
      </c>
      <c r="B20" s="344"/>
      <c r="C20" s="103">
        <f>G146</f>
        <v>72.406666666666666</v>
      </c>
      <c r="D20" s="43">
        <f t="shared" si="3"/>
        <v>4.1000000000000003E-3</v>
      </c>
      <c r="E20" s="103">
        <f t="shared" si="0"/>
        <v>72.406666666666666</v>
      </c>
      <c r="F20" s="26">
        <f t="shared" si="4"/>
        <v>4.3329330642296656E-3</v>
      </c>
      <c r="G20" s="103">
        <f t="shared" si="2"/>
        <v>72.406666666666666</v>
      </c>
      <c r="H20" s="43">
        <f t="shared" si="1"/>
        <v>4.4999999999999997E-3</v>
      </c>
    </row>
    <row r="21" spans="1:10" s="6" customFormat="1" ht="15.75" customHeight="1" x14ac:dyDescent="0.2">
      <c r="A21" s="379" t="str">
        <f>A150</f>
        <v>3. Ferramentas e Materiais de Consumo</v>
      </c>
      <c r="B21" s="380"/>
      <c r="C21" s="102">
        <f>+G158</f>
        <v>100.5</v>
      </c>
      <c r="D21" s="37">
        <f t="shared" si="3"/>
        <v>5.7000000000000002E-3</v>
      </c>
      <c r="E21" s="102">
        <f t="shared" si="0"/>
        <v>100.5</v>
      </c>
      <c r="F21" s="37">
        <f t="shared" si="4"/>
        <v>6.0140839649444992E-3</v>
      </c>
      <c r="G21" s="102">
        <f>E21</f>
        <v>100.5</v>
      </c>
      <c r="H21" s="37">
        <f>ROUND(IFERROR(G21/$G$25,0),4)</f>
        <v>6.1999999999999998E-3</v>
      </c>
    </row>
    <row r="22" spans="1:10" s="6" customFormat="1" ht="15.75" customHeight="1" x14ac:dyDescent="0.2">
      <c r="A22" s="381" t="str">
        <f>A163</f>
        <v>4. Benefícios e Desp. Ind. - BDI - LUCRO REAL</v>
      </c>
      <c r="B22" s="380"/>
      <c r="C22" s="102">
        <f>+G168</f>
        <v>4343.51</v>
      </c>
      <c r="D22" s="37">
        <f t="shared" si="3"/>
        <v>0.24440000000000001</v>
      </c>
      <c r="E22" s="111"/>
      <c r="F22" s="105"/>
      <c r="G22" s="111"/>
      <c r="H22" s="108"/>
    </row>
    <row r="23" spans="1:10" s="6" customFormat="1" ht="15.75" customHeight="1" x14ac:dyDescent="0.2">
      <c r="A23" s="381" t="str">
        <f>A176</f>
        <v>5. Benefícios e Desp. Ind. - BDI - LUCRO PRESUMIDO</v>
      </c>
      <c r="B23" s="380"/>
      <c r="C23" s="111"/>
      <c r="D23" s="107"/>
      <c r="E23" s="102">
        <f>G182</f>
        <v>3284.15</v>
      </c>
      <c r="F23" s="37">
        <f>(IFERROR(E23/$E$25,0))</f>
        <v>0.19652889406440277</v>
      </c>
      <c r="G23" s="111"/>
      <c r="H23" s="110"/>
    </row>
    <row r="24" spans="1:10" s="6" customFormat="1" ht="15.75" customHeight="1" thickBot="1" x14ac:dyDescent="0.25">
      <c r="A24" s="394" t="str">
        <f>A190</f>
        <v>6. Benef. Desp. Ind. + Impostos - SIMPLES NACIONAL</v>
      </c>
      <c r="B24" s="395"/>
      <c r="C24" s="112"/>
      <c r="D24" s="113"/>
      <c r="E24" s="112"/>
      <c r="F24" s="105"/>
      <c r="G24" s="115">
        <f>G193+G206</f>
        <v>3170.84</v>
      </c>
      <c r="H24" s="104">
        <f>ROUND(IFERROR(G24/$G$25,0),4)</f>
        <v>0.1961</v>
      </c>
    </row>
    <row r="25" spans="1:10" s="2" customFormat="1" ht="15.75" customHeight="1" thickBot="1" x14ac:dyDescent="0.25">
      <c r="A25" s="388" t="s">
        <v>185</v>
      </c>
      <c r="B25" s="396"/>
      <c r="C25" s="292">
        <f>C9+C13+C21+C22</f>
        <v>17770.134339999997</v>
      </c>
      <c r="D25" s="302">
        <f>D9+D13+D21+D22</f>
        <v>0.99990000000000001</v>
      </c>
      <c r="E25" s="292">
        <f>E9+E13+E21+E23</f>
        <v>16710.77434</v>
      </c>
      <c r="F25" s="302">
        <f>F9+F13+F21+F23</f>
        <v>1</v>
      </c>
      <c r="G25" s="292">
        <f>G9+G13+G21+G24</f>
        <v>16169.459339999999</v>
      </c>
      <c r="H25" s="302">
        <f>H9+H13+H21+H24</f>
        <v>1</v>
      </c>
      <c r="I25" s="342"/>
      <c r="J25" s="335"/>
    </row>
    <row r="26" spans="1:10" s="2" customFormat="1" ht="15.75" customHeight="1" thickBot="1" x14ac:dyDescent="0.25">
      <c r="A26" s="388" t="s">
        <v>186</v>
      </c>
      <c r="B26" s="396"/>
      <c r="C26" s="125">
        <f>G174</f>
        <v>6.53</v>
      </c>
      <c r="D26" s="42"/>
      <c r="E26" s="125">
        <f>G188</f>
        <v>6.14</v>
      </c>
      <c r="F26" s="42"/>
      <c r="G26" s="292">
        <f>G213</f>
        <v>5.94</v>
      </c>
      <c r="H26" s="42"/>
      <c r="J26" s="335"/>
    </row>
    <row r="27" spans="1:10" ht="13.5" thickBot="1" x14ac:dyDescent="0.25">
      <c r="A27" s="116"/>
      <c r="B27" s="117"/>
      <c r="C27" s="117"/>
      <c r="D27" s="117"/>
      <c r="E27" s="118"/>
      <c r="F27" s="118"/>
      <c r="G27" s="128"/>
      <c r="H27" s="179"/>
    </row>
    <row r="28" spans="1:10" s="2" customFormat="1" ht="15" customHeight="1" thickBot="1" x14ac:dyDescent="0.25">
      <c r="A28" s="367" t="s">
        <v>215</v>
      </c>
      <c r="B28" s="368"/>
      <c r="C28" s="368"/>
      <c r="D28" s="368"/>
      <c r="E28" s="368"/>
      <c r="F28" s="368"/>
      <c r="G28" s="369"/>
      <c r="H28" s="180"/>
    </row>
    <row r="29" spans="1:10" s="2" customFormat="1" ht="15" customHeight="1" thickBot="1" x14ac:dyDescent="0.25">
      <c r="A29" s="388" t="s">
        <v>201</v>
      </c>
      <c r="B29" s="387"/>
      <c r="C29" s="14"/>
      <c r="D29" s="14"/>
      <c r="E29" s="166"/>
      <c r="F29" s="160" t="s">
        <v>20</v>
      </c>
      <c r="G29" s="160" t="s">
        <v>142</v>
      </c>
      <c r="H29" s="180"/>
    </row>
    <row r="30" spans="1:10" s="2" customFormat="1" ht="15" customHeight="1" x14ac:dyDescent="0.2">
      <c r="A30" s="401" t="s">
        <v>259</v>
      </c>
      <c r="B30" s="402"/>
      <c r="C30" s="158"/>
      <c r="D30" s="158"/>
      <c r="E30" s="159"/>
      <c r="F30" s="237">
        <v>1</v>
      </c>
      <c r="G30" s="238">
        <v>2265</v>
      </c>
      <c r="H30" s="181"/>
      <c r="I30" s="308"/>
    </row>
    <row r="31" spans="1:10" s="2" customFormat="1" ht="15" customHeight="1" thickBot="1" x14ac:dyDescent="0.25">
      <c r="A31" s="403" t="s">
        <v>25</v>
      </c>
      <c r="B31" s="404"/>
      <c r="C31" s="28"/>
      <c r="D31" s="28"/>
      <c r="E31" s="29"/>
      <c r="F31" s="30">
        <f>SUM(F30:F30)</f>
        <v>1</v>
      </c>
      <c r="G31" s="157">
        <f>SUM(G30:G30)</f>
        <v>2265</v>
      </c>
      <c r="H31" s="181"/>
    </row>
    <row r="32" spans="1:10" s="2" customFormat="1" ht="15" customHeight="1" thickBot="1" x14ac:dyDescent="0.25">
      <c r="A32" s="38"/>
      <c r="B32" s="20"/>
      <c r="C32" s="39"/>
      <c r="D32" s="27"/>
      <c r="E32" s="17"/>
      <c r="F32" s="17"/>
      <c r="G32" s="18"/>
      <c r="H32" s="181"/>
    </row>
    <row r="33" spans="1:13" s="2" customFormat="1" ht="33" customHeight="1" x14ac:dyDescent="0.2">
      <c r="A33" s="399" t="s">
        <v>202</v>
      </c>
      <c r="B33" s="405"/>
      <c r="C33" s="168" t="s">
        <v>183</v>
      </c>
      <c r="D33" s="168" t="s">
        <v>248</v>
      </c>
      <c r="E33" s="168" t="s">
        <v>143</v>
      </c>
      <c r="F33" s="177" t="s">
        <v>20</v>
      </c>
      <c r="G33" s="163" t="s">
        <v>144</v>
      </c>
      <c r="H33" s="181"/>
    </row>
    <row r="34" spans="1:13" s="2" customFormat="1" ht="30.75" customHeight="1" x14ac:dyDescent="0.2">
      <c r="A34" s="406" t="s">
        <v>301</v>
      </c>
      <c r="B34" s="407"/>
      <c r="C34" s="240">
        <v>10</v>
      </c>
      <c r="D34" s="172">
        <f>1/C34</f>
        <v>0.1</v>
      </c>
      <c r="E34" s="240">
        <v>33</v>
      </c>
      <c r="F34" s="241">
        <v>1</v>
      </c>
      <c r="G34" s="239">
        <v>483956</v>
      </c>
      <c r="H34" s="181"/>
    </row>
    <row r="35" spans="1:13" s="2" customFormat="1" ht="15" customHeight="1" thickBot="1" x14ac:dyDescent="0.25">
      <c r="A35" s="397" t="s">
        <v>176</v>
      </c>
      <c r="B35" s="398"/>
      <c r="C35" s="170"/>
      <c r="D35" s="173"/>
      <c r="E35" s="169" t="s">
        <v>267</v>
      </c>
      <c r="F35" s="242">
        <v>7.5</v>
      </c>
      <c r="G35" s="289">
        <v>5.54</v>
      </c>
      <c r="H35" s="181"/>
    </row>
    <row r="36" spans="1:13" s="2" customFormat="1" ht="15" customHeight="1" thickBot="1" x14ac:dyDescent="0.25">
      <c r="A36" s="161"/>
      <c r="B36" s="195"/>
      <c r="C36" s="90"/>
      <c r="D36" s="90"/>
      <c r="E36" s="90"/>
      <c r="F36" s="287"/>
      <c r="G36" s="288"/>
      <c r="H36" s="181"/>
    </row>
    <row r="37" spans="1:13" s="2" customFormat="1" x14ac:dyDescent="0.2">
      <c r="A37" s="399" t="s">
        <v>203</v>
      </c>
      <c r="B37" s="357"/>
      <c r="C37" s="177" t="s">
        <v>27</v>
      </c>
      <c r="D37" s="168"/>
      <c r="E37" s="168"/>
      <c r="F37" s="177" t="s">
        <v>147</v>
      </c>
      <c r="G37" s="162" t="s">
        <v>148</v>
      </c>
      <c r="H37" s="190"/>
    </row>
    <row r="38" spans="1:13" s="2" customFormat="1" ht="15" customHeight="1" x14ac:dyDescent="0.2">
      <c r="A38" s="400" t="s">
        <v>145</v>
      </c>
      <c r="B38" s="352"/>
      <c r="C38" s="171" t="s">
        <v>140</v>
      </c>
      <c r="D38" s="172"/>
      <c r="E38" s="172"/>
      <c r="F38" s="241">
        <v>136</v>
      </c>
      <c r="G38" s="174">
        <f>F38*F39</f>
        <v>2720</v>
      </c>
      <c r="H38" s="181"/>
      <c r="I38" s="308">
        <f>G38*12</f>
        <v>32640</v>
      </c>
    </row>
    <row r="39" spans="1:13" s="2" customFormat="1" ht="15" customHeight="1" thickBot="1" x14ac:dyDescent="0.25">
      <c r="A39" s="397" t="s">
        <v>300</v>
      </c>
      <c r="B39" s="398"/>
      <c r="C39" s="169" t="s">
        <v>146</v>
      </c>
      <c r="D39" s="170"/>
      <c r="E39" s="170"/>
      <c r="F39" s="349">
        <v>20</v>
      </c>
      <c r="G39" s="167"/>
      <c r="H39" s="181"/>
      <c r="I39" s="155"/>
    </row>
    <row r="40" spans="1:13" s="2" customFormat="1" ht="15" customHeight="1" thickBot="1" x14ac:dyDescent="0.25">
      <c r="A40" s="161"/>
      <c r="B40" s="195"/>
      <c r="C40" s="90"/>
      <c r="D40" s="90"/>
      <c r="E40" s="17"/>
      <c r="F40" s="164"/>
      <c r="G40" s="165"/>
      <c r="H40" s="181"/>
      <c r="I40" s="155"/>
    </row>
    <row r="41" spans="1:13" s="2" customFormat="1" ht="15" customHeight="1" thickBot="1" x14ac:dyDescent="0.25">
      <c r="A41" s="336" t="s">
        <v>256</v>
      </c>
      <c r="B41" s="195"/>
      <c r="C41" s="177" t="s">
        <v>0</v>
      </c>
      <c r="D41" s="383" t="s">
        <v>257</v>
      </c>
      <c r="E41" s="384"/>
      <c r="F41" s="384"/>
      <c r="G41" s="385"/>
      <c r="H41" s="190"/>
      <c r="J41" s="2">
        <f>136/80</f>
        <v>1.7</v>
      </c>
      <c r="K41" s="6" t="s">
        <v>273</v>
      </c>
      <c r="L41" s="6"/>
      <c r="M41" s="6"/>
    </row>
    <row r="42" spans="1:13" s="6" customFormat="1" ht="15.75" customHeight="1" thickBot="1" x14ac:dyDescent="0.25">
      <c r="A42" s="386" t="s">
        <v>258</v>
      </c>
      <c r="B42" s="387"/>
      <c r="C42" s="337">
        <f>100/20*F39/2/100</f>
        <v>0.5</v>
      </c>
      <c r="D42" s="388" t="s">
        <v>260</v>
      </c>
      <c r="E42" s="389"/>
      <c r="F42" s="389"/>
      <c r="G42" s="338"/>
      <c r="H42" s="190"/>
      <c r="I42" s="2"/>
      <c r="J42" s="2">
        <v>2</v>
      </c>
      <c r="K42" s="155" t="s">
        <v>274</v>
      </c>
      <c r="L42" s="2"/>
      <c r="M42" s="2"/>
    </row>
    <row r="43" spans="1:13" s="2" customFormat="1" ht="15" customHeight="1" thickBot="1" x14ac:dyDescent="0.25">
      <c r="A43" s="161"/>
      <c r="B43" s="195"/>
      <c r="C43" s="90"/>
      <c r="D43" s="90"/>
      <c r="E43" s="17"/>
      <c r="F43" s="164"/>
      <c r="G43" s="165"/>
      <c r="H43" s="181"/>
      <c r="J43" s="2">
        <v>4</v>
      </c>
      <c r="K43" s="155" t="s">
        <v>278</v>
      </c>
    </row>
    <row r="44" spans="1:13" s="2" customFormat="1" ht="15" customHeight="1" thickBot="1" x14ac:dyDescent="0.25">
      <c r="A44" s="367" t="s">
        <v>204</v>
      </c>
      <c r="B44" s="368"/>
      <c r="C44" s="368"/>
      <c r="D44" s="368"/>
      <c r="E44" s="368"/>
      <c r="F44" s="368"/>
      <c r="G44" s="369"/>
      <c r="H44" s="180"/>
    </row>
    <row r="45" spans="1:13" ht="11.25" customHeight="1" x14ac:dyDescent="0.2">
      <c r="A45" s="97" t="s">
        <v>23</v>
      </c>
      <c r="B45" s="6"/>
      <c r="E45" s="27"/>
      <c r="F45" s="27"/>
      <c r="G45" s="40"/>
      <c r="H45" s="181"/>
    </row>
    <row r="46" spans="1:13" ht="13.5" thickBot="1" x14ac:dyDescent="0.25">
      <c r="A46" s="97" t="s">
        <v>224</v>
      </c>
      <c r="B46" s="6"/>
      <c r="E46" s="27"/>
      <c r="F46" s="27"/>
      <c r="G46" s="40"/>
      <c r="H46" s="181"/>
    </row>
    <row r="47" spans="1:13" s="7" customFormat="1" ht="13.15" customHeight="1" thickBot="1" x14ac:dyDescent="0.25">
      <c r="A47" s="354" t="s">
        <v>26</v>
      </c>
      <c r="B47" s="355"/>
      <c r="C47" s="218" t="s">
        <v>27</v>
      </c>
      <c r="D47" s="218" t="s">
        <v>20</v>
      </c>
      <c r="E47" s="219" t="s">
        <v>90</v>
      </c>
      <c r="F47" s="219" t="s">
        <v>28</v>
      </c>
      <c r="G47" s="220" t="s">
        <v>29</v>
      </c>
      <c r="H47" s="220" t="s">
        <v>141</v>
      </c>
    </row>
    <row r="48" spans="1:13" x14ac:dyDescent="0.2">
      <c r="A48" s="356" t="s">
        <v>126</v>
      </c>
      <c r="B48" s="357"/>
      <c r="C48" s="8" t="s">
        <v>5</v>
      </c>
      <c r="D48" s="8">
        <v>1</v>
      </c>
      <c r="E48" s="175">
        <f>G30</f>
        <v>2265</v>
      </c>
      <c r="F48" s="9">
        <f>D48*E48</f>
        <v>2265</v>
      </c>
      <c r="G48" s="129"/>
      <c r="H48" s="129"/>
    </row>
    <row r="49" spans="1:9" x14ac:dyDescent="0.2">
      <c r="A49" s="294" t="s">
        <v>251</v>
      </c>
      <c r="B49" s="326"/>
      <c r="C49" s="89" t="s">
        <v>252</v>
      </c>
      <c r="D49" s="327"/>
      <c r="E49" s="11">
        <f>(E48/220)*0.2</f>
        <v>2.0590909090909091</v>
      </c>
      <c r="F49" s="9">
        <f>D49*E49</f>
        <v>0</v>
      </c>
      <c r="G49" s="130"/>
      <c r="H49" s="40"/>
    </row>
    <row r="50" spans="1:9" s="155" customFormat="1" ht="13.15" customHeight="1" x14ac:dyDescent="0.2">
      <c r="A50" s="334" t="s">
        <v>254</v>
      </c>
      <c r="C50" s="89" t="s">
        <v>19</v>
      </c>
      <c r="D50" s="184"/>
      <c r="E50" s="184">
        <f>((D49/F39)*5)*(SUM(E49))</f>
        <v>0</v>
      </c>
      <c r="F50" s="184">
        <f>E50</f>
        <v>0</v>
      </c>
      <c r="G50" s="130"/>
      <c r="H50" s="40"/>
      <c r="I50" s="4"/>
    </row>
    <row r="51" spans="1:9" s="6" customFormat="1" x14ac:dyDescent="0.2">
      <c r="A51" s="353" t="s">
        <v>1</v>
      </c>
      <c r="B51" s="361"/>
      <c r="C51" s="91"/>
      <c r="D51" s="91"/>
      <c r="E51" s="19"/>
      <c r="F51" s="35">
        <f>SUM(F48:F50)</f>
        <v>2265</v>
      </c>
      <c r="G51" s="131"/>
      <c r="H51" s="181"/>
    </row>
    <row r="52" spans="1:9" x14ac:dyDescent="0.2">
      <c r="A52" s="364" t="s">
        <v>2</v>
      </c>
      <c r="B52" s="352"/>
      <c r="C52" s="10" t="s">
        <v>0</v>
      </c>
      <c r="D52" s="41">
        <f>'Enc. Soc. - LR-LP e SN'!C$28*100</f>
        <v>70.61</v>
      </c>
      <c r="E52" s="11">
        <f>F51</f>
        <v>2265</v>
      </c>
      <c r="F52" s="11">
        <f>ROUND(E52*D52/100,2)</f>
        <v>1599.32</v>
      </c>
      <c r="G52" s="130"/>
      <c r="H52" s="181"/>
      <c r="I52" s="6"/>
    </row>
    <row r="53" spans="1:9" s="6" customFormat="1" x14ac:dyDescent="0.2">
      <c r="A53" s="353" t="s">
        <v>91</v>
      </c>
      <c r="B53" s="361"/>
      <c r="C53" s="81"/>
      <c r="D53" s="81"/>
      <c r="E53" s="82"/>
      <c r="F53" s="35">
        <f>F51+F52</f>
        <v>3864.3199999999997</v>
      </c>
      <c r="G53" s="131"/>
      <c r="H53" s="181"/>
    </row>
    <row r="54" spans="1:9" ht="13.5" thickBot="1" x14ac:dyDescent="0.25">
      <c r="A54" s="364" t="s">
        <v>3</v>
      </c>
      <c r="B54" s="352"/>
      <c r="C54" s="10" t="s">
        <v>4</v>
      </c>
      <c r="D54" s="176">
        <f>F30</f>
        <v>1</v>
      </c>
      <c r="E54" s="11">
        <f>F53</f>
        <v>3864.3199999999997</v>
      </c>
      <c r="F54" s="11">
        <f>D54*E54</f>
        <v>3864.3199999999997</v>
      </c>
      <c r="G54" s="221">
        <f>F54</f>
        <v>3864.3199999999997</v>
      </c>
      <c r="H54" s="221">
        <f>G54/G$38</f>
        <v>1.420705882352941</v>
      </c>
      <c r="I54" s="6"/>
    </row>
    <row r="55" spans="1:9" s="155" customFormat="1" ht="13.9" customHeight="1" thickBot="1" x14ac:dyDescent="0.25">
      <c r="A55" s="340"/>
      <c r="B55" s="198"/>
      <c r="C55" s="198"/>
      <c r="D55" s="198"/>
      <c r="E55" s="341" t="s">
        <v>261</v>
      </c>
      <c r="F55" s="339">
        <f>$C$42</f>
        <v>0.5</v>
      </c>
      <c r="G55" s="221">
        <f>F54*F55</f>
        <v>1932.1599999999999</v>
      </c>
      <c r="H55" s="221">
        <f>G55/G$38</f>
        <v>0.71035294117647052</v>
      </c>
      <c r="I55" s="6"/>
    </row>
    <row r="56" spans="1:9" ht="11.25" customHeight="1" x14ac:dyDescent="0.2">
      <c r="A56" s="96"/>
      <c r="E56" s="27"/>
      <c r="F56" s="27"/>
      <c r="G56" s="128"/>
      <c r="H56" s="181"/>
      <c r="I56" s="6"/>
    </row>
    <row r="57" spans="1:9" ht="11.25" customHeight="1" x14ac:dyDescent="0.2">
      <c r="A57" s="97" t="s">
        <v>225</v>
      </c>
      <c r="B57" s="6"/>
      <c r="E57" s="27"/>
      <c r="F57" s="27"/>
      <c r="G57" s="40"/>
      <c r="H57" s="181"/>
      <c r="I57" s="6"/>
    </row>
    <row r="58" spans="1:9" ht="11.25" customHeight="1" x14ac:dyDescent="0.2">
      <c r="A58" s="366" t="s">
        <v>2</v>
      </c>
      <c r="B58" s="352"/>
      <c r="C58" s="89" t="s">
        <v>0</v>
      </c>
      <c r="D58" s="41">
        <f>'Enc. Soc. - LR-LP e SN'!C$38*100</f>
        <v>32.817279999999997</v>
      </c>
      <c r="E58" s="11">
        <f>F51</f>
        <v>2265</v>
      </c>
      <c r="F58" s="11">
        <f>ROUND(E58*D58/100,2)</f>
        <v>743.31</v>
      </c>
      <c r="G58" s="40"/>
      <c r="H58" s="181"/>
      <c r="I58" s="6"/>
    </row>
    <row r="59" spans="1:9" x14ac:dyDescent="0.2">
      <c r="A59" s="353" t="s">
        <v>91</v>
      </c>
      <c r="B59" s="361"/>
      <c r="C59" s="91"/>
      <c r="D59" s="91"/>
      <c r="E59" s="19"/>
      <c r="F59" s="36">
        <f>E58+F58</f>
        <v>3008.31</v>
      </c>
      <c r="G59" s="40"/>
      <c r="H59" s="181"/>
      <c r="I59" s="6"/>
    </row>
    <row r="60" spans="1:9" ht="13.5" thickBot="1" x14ac:dyDescent="0.25">
      <c r="A60" s="364" t="s">
        <v>3</v>
      </c>
      <c r="B60" s="352"/>
      <c r="C60" s="10" t="s">
        <v>4</v>
      </c>
      <c r="D60" s="10">
        <f>D54</f>
        <v>1</v>
      </c>
      <c r="E60" s="11">
        <f>F59</f>
        <v>3008.31</v>
      </c>
      <c r="F60" s="11">
        <f>D60*E60</f>
        <v>3008.31</v>
      </c>
      <c r="G60" s="221">
        <f>F60</f>
        <v>3008.31</v>
      </c>
      <c r="H60" s="221">
        <f>G60/G$38</f>
        <v>1.1059963235294117</v>
      </c>
      <c r="I60" s="6"/>
    </row>
    <row r="61" spans="1:9" s="155" customFormat="1" ht="13.9" customHeight="1" thickBot="1" x14ac:dyDescent="0.25">
      <c r="A61" s="340"/>
      <c r="B61" s="198"/>
      <c r="C61" s="198"/>
      <c r="D61" s="198"/>
      <c r="E61" s="341" t="s">
        <v>261</v>
      </c>
      <c r="F61" s="339">
        <f>$C$42</f>
        <v>0.5</v>
      </c>
      <c r="G61" s="221">
        <f>F60*F61</f>
        <v>1504.155</v>
      </c>
      <c r="H61" s="221">
        <f>G61/G$38</f>
        <v>0.55299816176470584</v>
      </c>
      <c r="I61" s="6"/>
    </row>
    <row r="62" spans="1:9" ht="11.25" customHeight="1" x14ac:dyDescent="0.2">
      <c r="A62" s="96"/>
      <c r="E62" s="27"/>
      <c r="F62" s="27"/>
      <c r="G62" s="128"/>
      <c r="H62" s="181"/>
      <c r="I62" s="6"/>
    </row>
    <row r="63" spans="1:9" ht="13.5" thickBot="1" x14ac:dyDescent="0.25">
      <c r="A63" s="97" t="s">
        <v>226</v>
      </c>
      <c r="B63" s="6"/>
      <c r="C63" s="93"/>
      <c r="E63" s="4"/>
      <c r="F63" s="4"/>
      <c r="G63" s="40"/>
      <c r="H63" s="181"/>
      <c r="I63" s="6"/>
    </row>
    <row r="64" spans="1:9" ht="13.5" thickBot="1" x14ac:dyDescent="0.25">
      <c r="A64" s="354" t="s">
        <v>26</v>
      </c>
      <c r="B64" s="355"/>
      <c r="C64" s="218" t="s">
        <v>27</v>
      </c>
      <c r="D64" s="218" t="s">
        <v>20</v>
      </c>
      <c r="E64" s="219" t="s">
        <v>90</v>
      </c>
      <c r="F64" s="219" t="s">
        <v>28</v>
      </c>
      <c r="G64" s="220" t="s">
        <v>29</v>
      </c>
      <c r="H64" s="220" t="s">
        <v>141</v>
      </c>
      <c r="I64" s="6"/>
    </row>
    <row r="65" spans="1:9" x14ac:dyDescent="0.2">
      <c r="A65" s="365" t="s">
        <v>40</v>
      </c>
      <c r="B65" s="357"/>
      <c r="C65" s="10" t="s">
        <v>19</v>
      </c>
      <c r="D65" s="32">
        <v>1</v>
      </c>
      <c r="E65" s="243">
        <v>6.05</v>
      </c>
      <c r="F65" s="11"/>
      <c r="G65" s="129"/>
      <c r="H65" s="129"/>
      <c r="I65" s="6"/>
    </row>
    <row r="66" spans="1:9" x14ac:dyDescent="0.2">
      <c r="A66" s="364" t="s">
        <v>41</v>
      </c>
      <c r="B66" s="352"/>
      <c r="C66" s="10" t="s">
        <v>42</v>
      </c>
      <c r="D66" s="21">
        <v>20</v>
      </c>
      <c r="E66" s="11"/>
      <c r="F66" s="11"/>
      <c r="G66" s="130"/>
      <c r="H66" s="181"/>
      <c r="I66" s="6"/>
    </row>
    <row r="67" spans="1:9" ht="13.5" thickBot="1" x14ac:dyDescent="0.25">
      <c r="A67" s="351" t="s">
        <v>98</v>
      </c>
      <c r="B67" s="352"/>
      <c r="C67" s="8" t="s">
        <v>6</v>
      </c>
      <c r="D67" s="21">
        <f>$D$66*2*(F30)</f>
        <v>40</v>
      </c>
      <c r="E67" s="9">
        <f>IF(E65=0,"",IFERROR((($D$66*2*$E$65)-(F48*0.06*D66/D66))/($D$66*2),"-"))</f>
        <v>2.6524999999999999</v>
      </c>
      <c r="F67" s="9">
        <f>IFERROR(D67*E67,"-")</f>
        <v>106.1</v>
      </c>
      <c r="G67" s="221">
        <f>F67</f>
        <v>106.1</v>
      </c>
      <c r="H67" s="290">
        <f>G67/G$38</f>
        <v>3.9007352941176465E-2</v>
      </c>
      <c r="I67" s="6"/>
    </row>
    <row r="68" spans="1:9" s="155" customFormat="1" ht="13.9" customHeight="1" thickBot="1" x14ac:dyDescent="0.25">
      <c r="A68" s="340"/>
      <c r="B68" s="198"/>
      <c r="C68" s="198"/>
      <c r="D68" s="198"/>
      <c r="E68" s="341" t="s">
        <v>261</v>
      </c>
      <c r="F68" s="339">
        <f>$C$42</f>
        <v>0.5</v>
      </c>
      <c r="G68" s="221">
        <f>F67*F68</f>
        <v>53.05</v>
      </c>
      <c r="H68" s="221">
        <f>G68/G$38</f>
        <v>1.9503676470588233E-2</v>
      </c>
      <c r="I68" s="6"/>
    </row>
    <row r="69" spans="1:9" ht="11.25" customHeight="1" x14ac:dyDescent="0.2">
      <c r="A69" s="96"/>
      <c r="E69" s="27"/>
      <c r="F69" s="27"/>
      <c r="G69" s="128"/>
      <c r="H69" s="181"/>
      <c r="I69" s="6"/>
    </row>
    <row r="70" spans="1:9" ht="13.5" thickBot="1" x14ac:dyDescent="0.25">
      <c r="A70" s="97" t="s">
        <v>227</v>
      </c>
      <c r="B70" s="6"/>
      <c r="E70" s="27"/>
      <c r="F70" s="27"/>
      <c r="G70" s="132"/>
      <c r="H70" s="181"/>
      <c r="I70" s="6"/>
    </row>
    <row r="71" spans="1:9" ht="13.5" thickBot="1" x14ac:dyDescent="0.25">
      <c r="A71" s="222" t="s">
        <v>26</v>
      </c>
      <c r="B71" s="223"/>
      <c r="C71" s="218" t="s">
        <v>27</v>
      </c>
      <c r="D71" s="218" t="s">
        <v>20</v>
      </c>
      <c r="E71" s="219" t="s">
        <v>90</v>
      </c>
      <c r="F71" s="219" t="s">
        <v>28</v>
      </c>
      <c r="G71" s="220" t="s">
        <v>29</v>
      </c>
      <c r="H71" s="220" t="s">
        <v>141</v>
      </c>
      <c r="I71" s="6"/>
    </row>
    <row r="72" spans="1:9" ht="13.5" thickBot="1" x14ac:dyDescent="0.25">
      <c r="A72" s="351" t="s">
        <v>231</v>
      </c>
      <c r="B72" s="352"/>
      <c r="C72" s="89" t="s">
        <v>7</v>
      </c>
      <c r="D72" s="33">
        <f>D66*(F30)</f>
        <v>20</v>
      </c>
      <c r="E72" s="241">
        <f>13+26</f>
        <v>39</v>
      </c>
      <c r="F72" s="23">
        <f>D72*E72</f>
        <v>780</v>
      </c>
      <c r="G72" s="221">
        <f>F72</f>
        <v>780</v>
      </c>
      <c r="H72" s="221">
        <f>G72/G$38</f>
        <v>0.28676470588235292</v>
      </c>
      <c r="I72" s="6"/>
    </row>
    <row r="73" spans="1:9" s="155" customFormat="1" ht="13.9" customHeight="1" thickBot="1" x14ac:dyDescent="0.25">
      <c r="A73" s="340"/>
      <c r="B73" s="198"/>
      <c r="C73" s="198"/>
      <c r="D73" s="198"/>
      <c r="E73" s="341" t="s">
        <v>261</v>
      </c>
      <c r="F73" s="339">
        <f>$C$42</f>
        <v>0.5</v>
      </c>
      <c r="G73" s="221">
        <f>F72*F73</f>
        <v>390</v>
      </c>
      <c r="H73" s="221">
        <f>G73/G$38</f>
        <v>0.14338235294117646</v>
      </c>
      <c r="I73" s="6"/>
    </row>
    <row r="74" spans="1:9" x14ac:dyDescent="0.2">
      <c r="A74" s="96"/>
      <c r="E74" s="92"/>
      <c r="F74" s="92"/>
      <c r="G74" s="40"/>
      <c r="H74" s="181"/>
      <c r="I74" s="6"/>
    </row>
    <row r="75" spans="1:9" ht="13.5" thickBot="1" x14ac:dyDescent="0.25">
      <c r="A75" s="96"/>
      <c r="E75" s="27"/>
      <c r="F75" s="27"/>
      <c r="G75" s="40"/>
      <c r="H75" s="181"/>
      <c r="I75" s="6"/>
    </row>
    <row r="76" spans="1:9" ht="13.5" thickBot="1" x14ac:dyDescent="0.25">
      <c r="A76" s="12" t="s">
        <v>102</v>
      </c>
      <c r="B76" s="13"/>
      <c r="C76" s="13"/>
      <c r="D76" s="13"/>
      <c r="E76" s="14"/>
      <c r="F76" s="15"/>
      <c r="G76" s="224">
        <f>G55+G68+G73</f>
        <v>2375.21</v>
      </c>
      <c r="H76" s="225">
        <f>G76/G$38</f>
        <v>0.8732389705882353</v>
      </c>
      <c r="I76" s="6"/>
    </row>
    <row r="77" spans="1:9" ht="13.5" thickBot="1" x14ac:dyDescent="0.25">
      <c r="A77" s="12" t="s">
        <v>103</v>
      </c>
      <c r="B77" s="13"/>
      <c r="C77" s="13"/>
      <c r="D77" s="13"/>
      <c r="E77" s="14"/>
      <c r="F77" s="15"/>
      <c r="G77" s="226">
        <f>G61+G68+G73</f>
        <v>1947.2049999999999</v>
      </c>
      <c r="H77" s="221">
        <f>G77/G$38</f>
        <v>0.71588419117647051</v>
      </c>
      <c r="I77" s="6"/>
    </row>
    <row r="78" spans="1:9" x14ac:dyDescent="0.2">
      <c r="A78" s="96"/>
      <c r="E78" s="27"/>
      <c r="F78" s="27"/>
      <c r="G78" s="128"/>
      <c r="H78" s="181"/>
      <c r="I78" s="6"/>
    </row>
    <row r="79" spans="1:9" x14ac:dyDescent="0.2">
      <c r="A79" s="97" t="s">
        <v>189</v>
      </c>
      <c r="B79" s="6"/>
      <c r="E79" s="27"/>
      <c r="F79" s="27"/>
      <c r="G79" s="40"/>
      <c r="H79" s="181"/>
    </row>
    <row r="80" spans="1:9" ht="13.5" thickBot="1" x14ac:dyDescent="0.25">
      <c r="A80" s="97" t="s">
        <v>190</v>
      </c>
      <c r="B80" s="6"/>
      <c r="E80" s="27"/>
      <c r="F80" s="27"/>
      <c r="G80" s="40"/>
      <c r="H80" s="181"/>
    </row>
    <row r="81" spans="1:8" ht="13.5" thickBot="1" x14ac:dyDescent="0.25">
      <c r="A81" s="222" t="s">
        <v>26</v>
      </c>
      <c r="B81" s="223"/>
      <c r="C81" s="218" t="s">
        <v>27</v>
      </c>
      <c r="D81" s="218" t="s">
        <v>20</v>
      </c>
      <c r="E81" s="219" t="s">
        <v>90</v>
      </c>
      <c r="F81" s="219" t="s">
        <v>28</v>
      </c>
      <c r="G81" s="220" t="s">
        <v>29</v>
      </c>
      <c r="H81" s="220" t="s">
        <v>141</v>
      </c>
    </row>
    <row r="82" spans="1:8" x14ac:dyDescent="0.2">
      <c r="A82" s="356" t="s">
        <v>124</v>
      </c>
      <c r="B82" s="357"/>
      <c r="C82" s="8" t="s">
        <v>7</v>
      </c>
      <c r="D82" s="8">
        <v>1</v>
      </c>
      <c r="E82" s="175">
        <f>G34</f>
        <v>483956</v>
      </c>
      <c r="F82" s="9">
        <f>D82*E82</f>
        <v>483956</v>
      </c>
      <c r="G82" s="129"/>
      <c r="H82" s="129"/>
    </row>
    <row r="83" spans="1:8" x14ac:dyDescent="0.2">
      <c r="A83" s="351" t="s">
        <v>132</v>
      </c>
      <c r="B83" s="352"/>
      <c r="C83" s="10" t="s">
        <v>43</v>
      </c>
      <c r="D83" s="176">
        <f>C34</f>
        <v>10</v>
      </c>
      <c r="E83" s="31"/>
      <c r="F83" s="11"/>
      <c r="G83" s="130"/>
      <c r="H83" s="181"/>
    </row>
    <row r="84" spans="1:8" x14ac:dyDescent="0.2">
      <c r="A84" s="351" t="s">
        <v>127</v>
      </c>
      <c r="B84" s="352"/>
      <c r="C84" s="10" t="s">
        <v>0</v>
      </c>
      <c r="D84" s="41">
        <f>Depr.!B12</f>
        <v>65.180000000000007</v>
      </c>
      <c r="E84" s="184">
        <f>F82</f>
        <v>483956</v>
      </c>
      <c r="F84" s="184">
        <f>D84*E84/100</f>
        <v>315442.5208</v>
      </c>
      <c r="G84" s="130"/>
      <c r="H84" s="181"/>
    </row>
    <row r="85" spans="1:8" x14ac:dyDescent="0.2">
      <c r="A85" s="353" t="s">
        <v>133</v>
      </c>
      <c r="B85" s="352"/>
      <c r="C85" s="34" t="s">
        <v>5</v>
      </c>
      <c r="D85" s="34">
        <f>D83*12</f>
        <v>120</v>
      </c>
      <c r="E85" s="35">
        <f>F84</f>
        <v>315442.5208</v>
      </c>
      <c r="F85" s="35">
        <f>IFERROR(E85/D85,0)</f>
        <v>2628.6876733333334</v>
      </c>
      <c r="G85" s="130"/>
      <c r="H85" s="181"/>
    </row>
    <row r="86" spans="1:8" ht="13.5" thickBot="1" x14ac:dyDescent="0.25">
      <c r="A86" s="353" t="s">
        <v>94</v>
      </c>
      <c r="B86" s="352"/>
      <c r="C86" s="148" t="s">
        <v>7</v>
      </c>
      <c r="D86" s="183">
        <f>F34</f>
        <v>1</v>
      </c>
      <c r="E86" s="149">
        <f>F85</f>
        <v>2628.6876733333334</v>
      </c>
      <c r="F86" s="319">
        <f>D86*E86</f>
        <v>2628.6876733333334</v>
      </c>
      <c r="G86" s="221">
        <f>F86</f>
        <v>2628.6876733333334</v>
      </c>
      <c r="H86" s="221">
        <f>G86/G$38</f>
        <v>0.96642929166666669</v>
      </c>
    </row>
    <row r="87" spans="1:8" x14ac:dyDescent="0.2">
      <c r="A87" s="100"/>
      <c r="B87" s="87"/>
      <c r="C87" s="87"/>
      <c r="D87" s="87"/>
      <c r="E87" s="92"/>
      <c r="F87" s="92"/>
      <c r="G87" s="40"/>
      <c r="H87" s="181"/>
    </row>
    <row r="88" spans="1:8" ht="13.5" thickBot="1" x14ac:dyDescent="0.25">
      <c r="A88" s="97" t="s">
        <v>191</v>
      </c>
      <c r="B88" s="6"/>
      <c r="E88" s="27"/>
      <c r="F88" s="253"/>
      <c r="G88" s="40"/>
      <c r="H88" s="181"/>
    </row>
    <row r="89" spans="1:8" ht="13.5" thickBot="1" x14ac:dyDescent="0.25">
      <c r="A89" s="354" t="s">
        <v>26</v>
      </c>
      <c r="B89" s="355"/>
      <c r="C89" s="218" t="s">
        <v>27</v>
      </c>
      <c r="D89" s="218" t="s">
        <v>20</v>
      </c>
      <c r="E89" s="219" t="s">
        <v>90</v>
      </c>
      <c r="F89" s="219" t="s">
        <v>28</v>
      </c>
      <c r="G89" s="220" t="s">
        <v>29</v>
      </c>
      <c r="H89" s="220" t="s">
        <v>141</v>
      </c>
    </row>
    <row r="90" spans="1:8" x14ac:dyDescent="0.2">
      <c r="A90" s="356" t="s">
        <v>134</v>
      </c>
      <c r="B90" s="357"/>
      <c r="C90" s="8" t="s">
        <v>7</v>
      </c>
      <c r="D90" s="8">
        <v>1</v>
      </c>
      <c r="E90" s="9">
        <f>E82</f>
        <v>483956</v>
      </c>
      <c r="F90" s="9">
        <f>D90*E90</f>
        <v>483956</v>
      </c>
      <c r="G90" s="134"/>
      <c r="H90" s="129"/>
    </row>
    <row r="91" spans="1:8" x14ac:dyDescent="0.2">
      <c r="A91" s="364" t="s">
        <v>86</v>
      </c>
      <c r="B91" s="352"/>
      <c r="C91" s="10" t="s">
        <v>0</v>
      </c>
      <c r="D91" s="244">
        <v>10.5</v>
      </c>
      <c r="E91" s="11"/>
      <c r="F91" s="11"/>
      <c r="G91" s="133"/>
      <c r="H91" s="181"/>
    </row>
    <row r="92" spans="1:8" x14ac:dyDescent="0.2">
      <c r="A92" s="351" t="s">
        <v>197</v>
      </c>
      <c r="B92" s="352"/>
      <c r="C92" s="10" t="s">
        <v>19</v>
      </c>
      <c r="D92" s="45">
        <f>F90</f>
        <v>483956</v>
      </c>
      <c r="E92" s="11"/>
      <c r="F92" s="11"/>
      <c r="G92" s="133"/>
      <c r="H92" s="181"/>
    </row>
    <row r="93" spans="1:8" x14ac:dyDescent="0.2">
      <c r="A93" s="351" t="s">
        <v>196</v>
      </c>
      <c r="B93" s="352"/>
      <c r="C93" s="10"/>
      <c r="D93" s="45">
        <f>F82-F84</f>
        <v>168513.4792</v>
      </c>
      <c r="E93" s="11"/>
      <c r="F93" s="11"/>
      <c r="G93" s="133"/>
      <c r="H93" s="181"/>
    </row>
    <row r="94" spans="1:8" x14ac:dyDescent="0.2">
      <c r="A94" s="351" t="s">
        <v>188</v>
      </c>
      <c r="B94" s="352"/>
      <c r="C94" s="10" t="s">
        <v>19</v>
      </c>
      <c r="D94" s="31">
        <f>(D92-D93)*((D83+1)/(2*D83))+D93</f>
        <v>342006.86563999997</v>
      </c>
      <c r="E94" s="11"/>
      <c r="F94" s="11"/>
      <c r="G94" s="133"/>
      <c r="H94" s="181"/>
    </row>
    <row r="95" spans="1:8" x14ac:dyDescent="0.2">
      <c r="A95" s="353" t="s">
        <v>135</v>
      </c>
      <c r="B95" s="352"/>
      <c r="C95" s="34" t="s">
        <v>19</v>
      </c>
      <c r="D95" s="34"/>
      <c r="E95" s="151">
        <f>ROUND(D91*D94/12/100,2)</f>
        <v>2992.56</v>
      </c>
      <c r="F95" s="35">
        <f>E95</f>
        <v>2992.56</v>
      </c>
      <c r="G95" s="133"/>
      <c r="H95" s="181"/>
    </row>
    <row r="96" spans="1:8" x14ac:dyDescent="0.2">
      <c r="A96" s="353" t="s">
        <v>136</v>
      </c>
      <c r="B96" s="361"/>
      <c r="C96" s="91"/>
      <c r="D96" s="91"/>
      <c r="E96" s="19"/>
      <c r="F96" s="150">
        <f>F95</f>
        <v>2992.56</v>
      </c>
      <c r="G96" s="133"/>
      <c r="H96" s="181"/>
    </row>
    <row r="97" spans="1:8" ht="13.5" thickBot="1" x14ac:dyDescent="0.25">
      <c r="A97" s="353" t="s">
        <v>94</v>
      </c>
      <c r="B97" s="352"/>
      <c r="C97" s="34" t="s">
        <v>7</v>
      </c>
      <c r="D97" s="10">
        <f>D86</f>
        <v>1</v>
      </c>
      <c r="E97" s="35">
        <f>F96</f>
        <v>2992.56</v>
      </c>
      <c r="F97" s="319">
        <f>D97*E97</f>
        <v>2992.56</v>
      </c>
      <c r="G97" s="221">
        <f>F97</f>
        <v>2992.56</v>
      </c>
      <c r="H97" s="221">
        <f>G97/G$38</f>
        <v>1.1002058823529413</v>
      </c>
    </row>
    <row r="98" spans="1:8" ht="11.25" customHeight="1" x14ac:dyDescent="0.2">
      <c r="A98" s="96"/>
      <c r="E98" s="27"/>
      <c r="F98" s="27"/>
      <c r="G98" s="128"/>
      <c r="H98" s="181"/>
    </row>
    <row r="99" spans="1:8" ht="13.5" thickBot="1" x14ac:dyDescent="0.25">
      <c r="A99" s="97" t="s">
        <v>192</v>
      </c>
      <c r="B99" s="6"/>
      <c r="E99" s="27"/>
      <c r="F99" s="27"/>
      <c r="G99" s="40"/>
      <c r="H99" s="181"/>
    </row>
    <row r="100" spans="1:8" ht="13.5" thickBot="1" x14ac:dyDescent="0.25">
      <c r="A100" s="354" t="s">
        <v>26</v>
      </c>
      <c r="B100" s="355"/>
      <c r="C100" s="218" t="s">
        <v>27</v>
      </c>
      <c r="D100" s="218" t="s">
        <v>20</v>
      </c>
      <c r="E100" s="219" t="s">
        <v>90</v>
      </c>
      <c r="F100" s="219" t="s">
        <v>28</v>
      </c>
      <c r="G100" s="220" t="s">
        <v>29</v>
      </c>
      <c r="H100" s="220" t="s">
        <v>141</v>
      </c>
    </row>
    <row r="101" spans="1:8" x14ac:dyDescent="0.2">
      <c r="A101" s="365" t="s">
        <v>8</v>
      </c>
      <c r="B101" s="357"/>
      <c r="C101" s="8" t="s">
        <v>7</v>
      </c>
      <c r="D101" s="9">
        <f>D86</f>
        <v>1</v>
      </c>
      <c r="E101" s="9">
        <f>0.01*($F$82)</f>
        <v>4839.5600000000004</v>
      </c>
      <c r="F101" s="9">
        <f t="shared" ref="F101:F107" si="5">D101*E101</f>
        <v>4839.5600000000004</v>
      </c>
      <c r="G101" s="129"/>
      <c r="H101" s="129"/>
    </row>
    <row r="102" spans="1:8" x14ac:dyDescent="0.2">
      <c r="A102" s="351" t="s">
        <v>232</v>
      </c>
      <c r="B102" s="352"/>
      <c r="C102" s="10" t="s">
        <v>7</v>
      </c>
      <c r="D102" s="9">
        <f>D86</f>
        <v>1</v>
      </c>
      <c r="E102" s="241">
        <v>160.22</v>
      </c>
      <c r="F102" s="11">
        <f t="shared" si="5"/>
        <v>160.22</v>
      </c>
      <c r="G102" s="130"/>
      <c r="H102" s="181"/>
    </row>
    <row r="103" spans="1:8" x14ac:dyDescent="0.2">
      <c r="A103" s="364" t="s">
        <v>9</v>
      </c>
      <c r="B103" s="352"/>
      <c r="C103" s="10" t="s">
        <v>7</v>
      </c>
      <c r="D103" s="9">
        <f>D86</f>
        <v>1</v>
      </c>
      <c r="E103" s="241">
        <v>1310.25</v>
      </c>
      <c r="F103" s="11">
        <f t="shared" si="5"/>
        <v>1310.25</v>
      </c>
      <c r="G103" s="135"/>
      <c r="H103" s="181"/>
    </row>
    <row r="104" spans="1:8" x14ac:dyDescent="0.2">
      <c r="A104" s="351" t="s">
        <v>249</v>
      </c>
      <c r="B104" s="352"/>
      <c r="C104" s="10" t="s">
        <v>7</v>
      </c>
      <c r="D104" s="9">
        <v>1</v>
      </c>
      <c r="E104" s="241">
        <v>1171.9000000000001</v>
      </c>
      <c r="F104" s="11">
        <f t="shared" si="5"/>
        <v>1171.9000000000001</v>
      </c>
      <c r="G104" s="135"/>
      <c r="H104" s="181"/>
    </row>
    <row r="105" spans="1:8" x14ac:dyDescent="0.2">
      <c r="A105" s="351" t="s">
        <v>255</v>
      </c>
      <c r="B105" s="352"/>
      <c r="C105" s="10" t="s">
        <v>7</v>
      </c>
      <c r="D105" s="9">
        <v>1</v>
      </c>
      <c r="E105" s="241">
        <v>540.09</v>
      </c>
      <c r="F105" s="11">
        <f t="shared" si="5"/>
        <v>540.09</v>
      </c>
      <c r="G105" s="135"/>
      <c r="H105" s="181"/>
    </row>
    <row r="106" spans="1:8" x14ac:dyDescent="0.2">
      <c r="A106" s="306" t="s">
        <v>244</v>
      </c>
      <c r="B106" s="307"/>
      <c r="C106" s="10" t="s">
        <v>7</v>
      </c>
      <c r="D106" s="9">
        <v>1</v>
      </c>
      <c r="E106" s="241">
        <v>400</v>
      </c>
      <c r="F106" s="11">
        <f t="shared" si="5"/>
        <v>400</v>
      </c>
      <c r="G106" s="135"/>
      <c r="H106" s="181"/>
    </row>
    <row r="107" spans="1:8" x14ac:dyDescent="0.2">
      <c r="A107" s="351" t="s">
        <v>177</v>
      </c>
      <c r="B107" s="352"/>
      <c r="C107" s="10" t="s">
        <v>7</v>
      </c>
      <c r="D107" s="9">
        <v>1</v>
      </c>
      <c r="E107" s="241">
        <v>45</v>
      </c>
      <c r="F107" s="11">
        <f t="shared" si="5"/>
        <v>45</v>
      </c>
      <c r="G107" s="135"/>
      <c r="H107" s="181"/>
    </row>
    <row r="108" spans="1:8" ht="13.5" thickBot="1" x14ac:dyDescent="0.25">
      <c r="A108" s="353" t="s">
        <v>10</v>
      </c>
      <c r="B108" s="352"/>
      <c r="C108" s="34" t="s">
        <v>5</v>
      </c>
      <c r="D108" s="34">
        <v>12</v>
      </c>
      <c r="E108" s="35">
        <f>SUM(F101:F107)</f>
        <v>8467.02</v>
      </c>
      <c r="F108" s="35">
        <f>ROUND(E108/D108,2)</f>
        <v>705.59</v>
      </c>
      <c r="G108" s="221">
        <f>F108</f>
        <v>705.59</v>
      </c>
      <c r="H108" s="221">
        <f>G108/G$38</f>
        <v>0.25940808823529415</v>
      </c>
    </row>
    <row r="109" spans="1:8" x14ac:dyDescent="0.2">
      <c r="A109" s="316"/>
      <c r="B109" s="317"/>
      <c r="C109" s="317"/>
      <c r="D109" s="317"/>
      <c r="E109" s="318"/>
      <c r="F109" s="27"/>
      <c r="G109" s="40"/>
      <c r="H109" s="181"/>
    </row>
    <row r="110" spans="1:8" x14ac:dyDescent="0.2">
      <c r="A110" s="97" t="s">
        <v>193</v>
      </c>
      <c r="B110" s="6"/>
      <c r="C110" s="95"/>
      <c r="E110" s="27"/>
      <c r="F110" s="27"/>
      <c r="G110" s="40"/>
      <c r="H110" s="181"/>
    </row>
    <row r="111" spans="1:8" ht="13.5" thickBot="1" x14ac:dyDescent="0.25">
      <c r="A111" s="99" t="s">
        <v>137</v>
      </c>
      <c r="B111" s="197"/>
      <c r="C111" s="178">
        <f>G38</f>
        <v>2720</v>
      </c>
      <c r="E111" s="27"/>
      <c r="F111" s="27"/>
      <c r="G111" s="40"/>
      <c r="H111" s="181"/>
    </row>
    <row r="112" spans="1:8" ht="13.5" thickBot="1" x14ac:dyDescent="0.25">
      <c r="A112" s="354" t="s">
        <v>26</v>
      </c>
      <c r="B112" s="355"/>
      <c r="C112" s="218" t="s">
        <v>27</v>
      </c>
      <c r="D112" s="218" t="s">
        <v>93</v>
      </c>
      <c r="E112" s="219" t="s">
        <v>90</v>
      </c>
      <c r="F112" s="219" t="s">
        <v>28</v>
      </c>
      <c r="G112" s="220" t="s">
        <v>29</v>
      </c>
      <c r="H112" s="220" t="s">
        <v>141</v>
      </c>
    </row>
    <row r="113" spans="1:8" x14ac:dyDescent="0.2">
      <c r="A113" s="365" t="s">
        <v>11</v>
      </c>
      <c r="B113" s="357"/>
      <c r="C113" s="8" t="s">
        <v>12</v>
      </c>
      <c r="D113" s="175">
        <f>F35</f>
        <v>7.5</v>
      </c>
      <c r="E113" s="175">
        <f>G35</f>
        <v>5.54</v>
      </c>
      <c r="F113" s="9"/>
      <c r="G113" s="129"/>
      <c r="H113" s="129"/>
    </row>
    <row r="114" spans="1:8" x14ac:dyDescent="0.2">
      <c r="A114" s="351" t="s">
        <v>253</v>
      </c>
      <c r="B114" s="352"/>
      <c r="C114" s="10" t="s">
        <v>13</v>
      </c>
      <c r="D114" s="32">
        <f>C111</f>
        <v>2720</v>
      </c>
      <c r="E114" s="86">
        <f>IFERROR(+E113/D113,"-")</f>
        <v>0.73866666666666669</v>
      </c>
      <c r="F114" s="11">
        <f>IFERROR(D114*E114,"-")</f>
        <v>2009.1733333333334</v>
      </c>
      <c r="G114" s="130"/>
      <c r="H114" s="181"/>
    </row>
    <row r="115" spans="1:8" x14ac:dyDescent="0.2">
      <c r="A115" s="306" t="s">
        <v>263</v>
      </c>
      <c r="B115" s="307"/>
      <c r="C115" s="10" t="s">
        <v>12</v>
      </c>
      <c r="D115" s="241">
        <v>65</v>
      </c>
      <c r="E115" s="346">
        <v>4</v>
      </c>
      <c r="F115" s="11"/>
      <c r="G115" s="130"/>
      <c r="H115" s="181"/>
    </row>
    <row r="116" spans="1:8" x14ac:dyDescent="0.2">
      <c r="A116" s="306" t="s">
        <v>264</v>
      </c>
      <c r="B116" s="307"/>
      <c r="C116" s="10" t="s">
        <v>13</v>
      </c>
      <c r="D116" s="32">
        <f>C111</f>
        <v>2720</v>
      </c>
      <c r="E116" s="86">
        <f>IFERROR(+E115/D115,"-")</f>
        <v>6.1538461538461542E-2</v>
      </c>
      <c r="F116" s="11">
        <f>IFERROR(D116*E116,"-")</f>
        <v>167.38461538461539</v>
      </c>
      <c r="G116" s="130"/>
      <c r="H116" s="181"/>
    </row>
    <row r="117" spans="1:8" x14ac:dyDescent="0.2">
      <c r="A117" s="351" t="s">
        <v>206</v>
      </c>
      <c r="B117" s="352"/>
      <c r="C117" s="89" t="s">
        <v>207</v>
      </c>
      <c r="D117" s="245">
        <v>10.5</v>
      </c>
      <c r="E117" s="241">
        <v>19.3</v>
      </c>
      <c r="F117" s="11"/>
      <c r="G117" s="130"/>
      <c r="H117" s="181"/>
    </row>
    <row r="118" spans="1:8" x14ac:dyDescent="0.2">
      <c r="A118" s="364" t="s">
        <v>14</v>
      </c>
      <c r="B118" s="352"/>
      <c r="C118" s="10" t="s">
        <v>13</v>
      </c>
      <c r="D118" s="32">
        <f>D114</f>
        <v>2720</v>
      </c>
      <c r="E118" s="83">
        <f>+D117*E117/10000</f>
        <v>2.0265000000000002E-2</v>
      </c>
      <c r="F118" s="11">
        <f>D118*E118</f>
        <v>55.120800000000003</v>
      </c>
      <c r="G118" s="130"/>
      <c r="H118" s="181"/>
    </row>
    <row r="119" spans="1:8" x14ac:dyDescent="0.2">
      <c r="A119" s="351" t="s">
        <v>208</v>
      </c>
      <c r="B119" s="352"/>
      <c r="C119" s="89" t="s">
        <v>209</v>
      </c>
      <c r="D119" s="245">
        <v>4.5999999999999996</v>
      </c>
      <c r="E119" s="241">
        <v>22.8</v>
      </c>
      <c r="F119" s="11"/>
      <c r="G119" s="130"/>
      <c r="H119" s="181"/>
    </row>
    <row r="120" spans="1:8" x14ac:dyDescent="0.2">
      <c r="A120" s="364" t="s">
        <v>15</v>
      </c>
      <c r="B120" s="352"/>
      <c r="C120" s="10" t="s">
        <v>13</v>
      </c>
      <c r="D120" s="32">
        <f>D114</f>
        <v>2720</v>
      </c>
      <c r="E120" s="214">
        <f>+D119*E119/100000</f>
        <v>1.0487999999999999E-3</v>
      </c>
      <c r="F120" s="11">
        <f>D120*E120</f>
        <v>2.8527359999999997</v>
      </c>
      <c r="G120" s="130"/>
      <c r="H120" s="181"/>
    </row>
    <row r="121" spans="1:8" x14ac:dyDescent="0.2">
      <c r="A121" s="351" t="s">
        <v>211</v>
      </c>
      <c r="B121" s="352"/>
      <c r="C121" s="89" t="s">
        <v>210</v>
      </c>
      <c r="D121" s="245">
        <v>1.7</v>
      </c>
      <c r="E121" s="241">
        <v>21.95</v>
      </c>
      <c r="F121" s="11"/>
      <c r="G121" s="130"/>
      <c r="H121" s="181"/>
    </row>
    <row r="122" spans="1:8" x14ac:dyDescent="0.2">
      <c r="A122" s="364" t="s">
        <v>16</v>
      </c>
      <c r="B122" s="352"/>
      <c r="C122" s="10" t="s">
        <v>13</v>
      </c>
      <c r="D122" s="32">
        <f>D114</f>
        <v>2720</v>
      </c>
      <c r="E122" s="214">
        <f>+D121*E121/80000</f>
        <v>4.6643749999999995E-4</v>
      </c>
      <c r="F122" s="11">
        <f>D122*E122</f>
        <v>1.2687099999999998</v>
      </c>
      <c r="G122" s="130"/>
      <c r="H122" s="181"/>
    </row>
    <row r="123" spans="1:8" x14ac:dyDescent="0.2">
      <c r="A123" s="351" t="s">
        <v>213</v>
      </c>
      <c r="B123" s="352"/>
      <c r="C123" s="89" t="s">
        <v>212</v>
      </c>
      <c r="D123" s="245">
        <v>1</v>
      </c>
      <c r="E123" s="241">
        <v>20.9</v>
      </c>
      <c r="F123" s="11"/>
      <c r="G123" s="130"/>
      <c r="H123" s="181"/>
    </row>
    <row r="124" spans="1:8" x14ac:dyDescent="0.2">
      <c r="A124" s="364" t="s">
        <v>17</v>
      </c>
      <c r="B124" s="352"/>
      <c r="C124" s="10" t="s">
        <v>13</v>
      </c>
      <c r="D124" s="32">
        <f>D114</f>
        <v>2720</v>
      </c>
      <c r="E124" s="83">
        <f>+D123*E123/10000</f>
        <v>2.0899999999999998E-3</v>
      </c>
      <c r="F124" s="11">
        <f>D124*E124</f>
        <v>5.6847999999999992</v>
      </c>
      <c r="G124" s="130"/>
      <c r="H124" s="181"/>
    </row>
    <row r="125" spans="1:8" ht="13.5" thickBot="1" x14ac:dyDescent="0.25">
      <c r="A125" s="353" t="s">
        <v>92</v>
      </c>
      <c r="B125" s="352"/>
      <c r="C125" s="34" t="s">
        <v>44</v>
      </c>
      <c r="D125" s="84"/>
      <c r="E125" s="85">
        <f>IFERROR(E114+E118+E120+E122+E124,0)</f>
        <v>0.76253690416666664</v>
      </c>
      <c r="F125" s="35">
        <f>ROUND(SUM(F113:F124),2)</f>
        <v>2241.48</v>
      </c>
      <c r="G125" s="221">
        <f>F125</f>
        <v>2241.48</v>
      </c>
      <c r="H125" s="221">
        <f>G125/G$38</f>
        <v>0.8240735294117647</v>
      </c>
    </row>
    <row r="126" spans="1:8" ht="11.25" customHeight="1" x14ac:dyDescent="0.2">
      <c r="A126" s="96"/>
      <c r="E126" s="27"/>
      <c r="F126" s="27"/>
      <c r="G126" s="128"/>
      <c r="H126" s="181"/>
    </row>
    <row r="127" spans="1:8" ht="13.5" thickBot="1" x14ac:dyDescent="0.25">
      <c r="A127" s="97" t="s">
        <v>194</v>
      </c>
      <c r="B127" s="6"/>
      <c r="E127" s="27"/>
      <c r="F127" s="27"/>
      <c r="G127" s="40"/>
      <c r="H127" s="181"/>
    </row>
    <row r="128" spans="1:8" ht="13.5" thickBot="1" x14ac:dyDescent="0.25">
      <c r="A128" s="354" t="s">
        <v>26</v>
      </c>
      <c r="B128" s="355"/>
      <c r="C128" s="218" t="s">
        <v>27</v>
      </c>
      <c r="D128" s="218" t="s">
        <v>20</v>
      </c>
      <c r="E128" s="219" t="s">
        <v>90</v>
      </c>
      <c r="F128" s="219" t="s">
        <v>28</v>
      </c>
      <c r="G128" s="220" t="s">
        <v>29</v>
      </c>
      <c r="H128" s="220" t="s">
        <v>141</v>
      </c>
    </row>
    <row r="129" spans="1:10" x14ac:dyDescent="0.2">
      <c r="A129" s="356" t="s">
        <v>169</v>
      </c>
      <c r="B129" s="357"/>
      <c r="C129" s="8" t="s">
        <v>44</v>
      </c>
      <c r="D129" s="32">
        <f>D114</f>
        <v>2720</v>
      </c>
      <c r="E129" s="246">
        <v>0.35</v>
      </c>
      <c r="F129" s="9">
        <f>D129*E129</f>
        <v>951.99999999999989</v>
      </c>
      <c r="G129" s="129"/>
      <c r="H129" s="129"/>
      <c r="J129" s="325"/>
    </row>
    <row r="130" spans="1:10" x14ac:dyDescent="0.2">
      <c r="A130" s="351" t="s">
        <v>128</v>
      </c>
      <c r="B130" s="352"/>
      <c r="C130" s="152" t="s">
        <v>129</v>
      </c>
      <c r="D130" s="248">
        <v>4</v>
      </c>
      <c r="E130" s="247">
        <v>100</v>
      </c>
      <c r="F130" s="153">
        <f>D130*E130</f>
        <v>400</v>
      </c>
      <c r="G130" s="40"/>
      <c r="H130" s="40"/>
    </row>
    <row r="131" spans="1:10" s="155" customFormat="1" x14ac:dyDescent="0.2">
      <c r="A131" s="351" t="s">
        <v>236</v>
      </c>
      <c r="B131" s="352"/>
      <c r="C131" s="152" t="s">
        <v>129</v>
      </c>
      <c r="D131" s="300">
        <f>F39*2</f>
        <v>40</v>
      </c>
      <c r="E131" s="301">
        <f>8.6+8.6</f>
        <v>17.2</v>
      </c>
      <c r="F131" s="153">
        <f>D131*E131</f>
        <v>688</v>
      </c>
      <c r="G131" s="154"/>
      <c r="H131" s="182"/>
      <c r="I131" s="155" t="s">
        <v>299</v>
      </c>
    </row>
    <row r="132" spans="1:10" s="155" customFormat="1" ht="13.5" thickBot="1" x14ac:dyDescent="0.25">
      <c r="A132" s="353" t="s">
        <v>130</v>
      </c>
      <c r="B132" s="352"/>
      <c r="C132" s="89" t="s">
        <v>131</v>
      </c>
      <c r="D132" s="156"/>
      <c r="E132" s="23"/>
      <c r="F132" s="149">
        <f>ROUND(SUM(F129:F131),2)</f>
        <v>2040</v>
      </c>
      <c r="G132" s="221">
        <f>F132</f>
        <v>2040</v>
      </c>
      <c r="H132" s="221">
        <f>G132/G$38</f>
        <v>0.75</v>
      </c>
      <c r="I132" s="4"/>
    </row>
    <row r="133" spans="1:10" ht="11.25" customHeight="1" x14ac:dyDescent="0.2">
      <c r="A133" s="96"/>
      <c r="E133" s="27"/>
      <c r="F133" s="27"/>
      <c r="G133" s="128"/>
      <c r="H133" s="181"/>
    </row>
    <row r="134" spans="1:10" ht="13.5" thickBot="1" x14ac:dyDescent="0.25">
      <c r="A134" s="97" t="s">
        <v>195</v>
      </c>
      <c r="B134" s="6"/>
      <c r="E134" s="27"/>
      <c r="F134" s="27"/>
      <c r="G134" s="40"/>
      <c r="H134" s="181"/>
    </row>
    <row r="135" spans="1:10" ht="13.5" thickBot="1" x14ac:dyDescent="0.25">
      <c r="A135" s="354" t="s">
        <v>26</v>
      </c>
      <c r="B135" s="355"/>
      <c r="C135" s="218" t="s">
        <v>27</v>
      </c>
      <c r="D135" s="218" t="s">
        <v>20</v>
      </c>
      <c r="E135" s="219" t="s">
        <v>90</v>
      </c>
      <c r="F135" s="219" t="s">
        <v>28</v>
      </c>
      <c r="G135" s="220" t="s">
        <v>29</v>
      </c>
      <c r="H135" s="220" t="s">
        <v>141</v>
      </c>
    </row>
    <row r="136" spans="1:10" x14ac:dyDescent="0.2">
      <c r="A136" s="356" t="s">
        <v>262</v>
      </c>
      <c r="B136" s="357"/>
      <c r="C136" s="8" t="s">
        <v>7</v>
      </c>
      <c r="D136" s="249">
        <v>6</v>
      </c>
      <c r="E136" s="247">
        <v>745</v>
      </c>
      <c r="F136" s="9">
        <f>D136*E136</f>
        <v>4470</v>
      </c>
      <c r="G136" s="129"/>
      <c r="H136" s="129"/>
    </row>
    <row r="137" spans="1:10" x14ac:dyDescent="0.2">
      <c r="A137" s="294" t="s">
        <v>233</v>
      </c>
      <c r="B137" s="295"/>
      <c r="C137" s="152" t="s">
        <v>27</v>
      </c>
      <c r="D137" s="298">
        <v>0</v>
      </c>
      <c r="E137" s="296"/>
      <c r="F137" s="153"/>
      <c r="G137" s="130"/>
      <c r="H137" s="40"/>
    </row>
    <row r="138" spans="1:10" x14ac:dyDescent="0.2">
      <c r="A138" s="294" t="s">
        <v>234</v>
      </c>
      <c r="B138" s="295"/>
      <c r="C138" s="152" t="s">
        <v>27</v>
      </c>
      <c r="D138" s="153">
        <f>D136*D137</f>
        <v>0</v>
      </c>
      <c r="E138" s="247">
        <v>0</v>
      </c>
      <c r="F138" s="153">
        <f>D138*E138</f>
        <v>0</v>
      </c>
      <c r="G138" s="130"/>
      <c r="H138" s="40"/>
    </row>
    <row r="139" spans="1:10" x14ac:dyDescent="0.2">
      <c r="A139" s="351" t="s">
        <v>125</v>
      </c>
      <c r="B139" s="352"/>
      <c r="C139" s="10" t="s">
        <v>18</v>
      </c>
      <c r="D139" s="299">
        <v>45000</v>
      </c>
      <c r="E139" s="184">
        <f>F136+F138</f>
        <v>4470</v>
      </c>
      <c r="F139" s="184">
        <f>IFERROR(E139/D139,"-")</f>
        <v>9.9333333333333329E-2</v>
      </c>
      <c r="G139" s="130"/>
      <c r="H139" s="181"/>
    </row>
    <row r="140" spans="1:10" ht="13.5" thickBot="1" x14ac:dyDescent="0.25">
      <c r="A140" s="353" t="s">
        <v>24</v>
      </c>
      <c r="B140" s="352"/>
      <c r="C140" s="10" t="s">
        <v>13</v>
      </c>
      <c r="D140" s="297">
        <f>C111</f>
        <v>2720</v>
      </c>
      <c r="E140" s="184">
        <f>F139</f>
        <v>9.9333333333333329E-2</v>
      </c>
      <c r="F140" s="184">
        <f>ROUND(D140*E140,2)</f>
        <v>270.19</v>
      </c>
      <c r="G140" s="221">
        <f>F140</f>
        <v>270.19</v>
      </c>
      <c r="H140" s="221">
        <f>G140/G$38</f>
        <v>9.9334558823529415E-2</v>
      </c>
    </row>
    <row r="141" spans="1:10" ht="11.25" customHeight="1" x14ac:dyDescent="0.2">
      <c r="A141" s="96"/>
      <c r="E141" s="27"/>
      <c r="F141" s="27"/>
      <c r="G141" s="128"/>
      <c r="H141" s="181"/>
    </row>
    <row r="142" spans="1:10" ht="13.5" thickBot="1" x14ac:dyDescent="0.25">
      <c r="A142" s="97" t="s">
        <v>245</v>
      </c>
      <c r="B142" s="6"/>
      <c r="E142" s="27"/>
      <c r="F142" s="27"/>
      <c r="G142" s="40"/>
      <c r="H142" s="181"/>
    </row>
    <row r="143" spans="1:10" ht="13.5" thickBot="1" x14ac:dyDescent="0.25">
      <c r="A143" s="354" t="s">
        <v>26</v>
      </c>
      <c r="B143" s="355"/>
      <c r="C143" s="218" t="s">
        <v>27</v>
      </c>
      <c r="D143" s="218" t="s">
        <v>20</v>
      </c>
      <c r="E143" s="219" t="s">
        <v>90</v>
      </c>
      <c r="F143" s="219" t="s">
        <v>28</v>
      </c>
      <c r="G143" s="220" t="s">
        <v>29</v>
      </c>
      <c r="H143" s="220" t="s">
        <v>141</v>
      </c>
    </row>
    <row r="144" spans="1:10" x14ac:dyDescent="0.2">
      <c r="A144" s="356" t="s">
        <v>250</v>
      </c>
      <c r="B144" s="357"/>
      <c r="C144" s="152" t="s">
        <v>142</v>
      </c>
      <c r="D144" s="298">
        <v>1</v>
      </c>
      <c r="E144" s="247">
        <f>149/12</f>
        <v>12.416666666666666</v>
      </c>
      <c r="F144" s="9">
        <f>D144*E144</f>
        <v>12.416666666666666</v>
      </c>
      <c r="G144" s="129"/>
      <c r="H144" s="129"/>
    </row>
    <row r="145" spans="1:8" x14ac:dyDescent="0.2">
      <c r="A145" s="294" t="s">
        <v>246</v>
      </c>
      <c r="B145" s="295"/>
      <c r="C145" s="152" t="s">
        <v>142</v>
      </c>
      <c r="D145" s="298">
        <v>1</v>
      </c>
      <c r="E145" s="247">
        <v>59.99</v>
      </c>
      <c r="F145" s="153">
        <f>D145*E145</f>
        <v>59.99</v>
      </c>
      <c r="G145" s="130"/>
      <c r="H145" s="40"/>
    </row>
    <row r="146" spans="1:8" ht="13.5" thickBot="1" x14ac:dyDescent="0.25">
      <c r="A146" s="353" t="s">
        <v>247</v>
      </c>
      <c r="B146" s="352"/>
      <c r="C146" s="10"/>
      <c r="D146" s="297"/>
      <c r="E146" s="184"/>
      <c r="F146" s="184"/>
      <c r="G146" s="221">
        <f>F144+F145</f>
        <v>72.406666666666666</v>
      </c>
      <c r="H146" s="221">
        <f>G146/G$38</f>
        <v>2.6620098039215685E-2</v>
      </c>
    </row>
    <row r="147" spans="1:8" ht="11.25" customHeight="1" thickBot="1" x14ac:dyDescent="0.25">
      <c r="A147" s="96"/>
      <c r="E147" s="27"/>
      <c r="F147" s="27"/>
      <c r="G147" s="128"/>
      <c r="H147" s="181"/>
    </row>
    <row r="148" spans="1:8" ht="13.5" thickBot="1" x14ac:dyDescent="0.25">
      <c r="A148" s="12" t="s">
        <v>138</v>
      </c>
      <c r="B148" s="13"/>
      <c r="C148" s="13"/>
      <c r="D148" s="13"/>
      <c r="E148" s="14"/>
      <c r="F148" s="15"/>
      <c r="G148" s="227">
        <f>+SUM(G82:G147)</f>
        <v>10950.914339999999</v>
      </c>
      <c r="H148" s="221">
        <f>G148/G$38</f>
        <v>4.0260714485294118</v>
      </c>
    </row>
    <row r="149" spans="1:8" ht="11.25" customHeight="1" x14ac:dyDescent="0.2">
      <c r="A149" s="96"/>
      <c r="E149" s="27"/>
      <c r="F149" s="27"/>
      <c r="G149" s="128"/>
      <c r="H149" s="181"/>
    </row>
    <row r="150" spans="1:8" ht="13.5" thickBot="1" x14ac:dyDescent="0.25">
      <c r="A150" s="97" t="s">
        <v>149</v>
      </c>
      <c r="B150" s="6"/>
      <c r="C150" s="6"/>
      <c r="D150" s="6"/>
      <c r="E150" s="20"/>
      <c r="F150" s="20"/>
      <c r="G150" s="136"/>
      <c r="H150" s="181"/>
    </row>
    <row r="151" spans="1:8" ht="13.5" thickBot="1" x14ac:dyDescent="0.25">
      <c r="A151" s="354" t="s">
        <v>26</v>
      </c>
      <c r="B151" s="355"/>
      <c r="C151" s="218" t="s">
        <v>27</v>
      </c>
      <c r="D151" s="218" t="s">
        <v>20</v>
      </c>
      <c r="E151" s="219" t="s">
        <v>90</v>
      </c>
      <c r="F151" s="219" t="s">
        <v>28</v>
      </c>
      <c r="G151" s="220" t="s">
        <v>29</v>
      </c>
      <c r="H151" s="220" t="s">
        <v>141</v>
      </c>
    </row>
    <row r="152" spans="1:8" x14ac:dyDescent="0.2">
      <c r="A152" s="356" t="s">
        <v>171</v>
      </c>
      <c r="B152" s="357"/>
      <c r="C152" s="89" t="s">
        <v>170</v>
      </c>
      <c r="D152" s="250">
        <f>1/12</f>
        <v>8.3333333333333329E-2</v>
      </c>
      <c r="E152" s="247">
        <v>28</v>
      </c>
      <c r="F152" s="11">
        <f>D152*E152</f>
        <v>2.333333333333333</v>
      </c>
      <c r="G152" s="137"/>
      <c r="H152" s="129"/>
    </row>
    <row r="153" spans="1:8" x14ac:dyDescent="0.2">
      <c r="A153" s="351" t="s">
        <v>172</v>
      </c>
      <c r="B153" s="352"/>
      <c r="C153" s="89" t="s">
        <v>170</v>
      </c>
      <c r="D153" s="250">
        <f>3/12</f>
        <v>0.25</v>
      </c>
      <c r="E153" s="247">
        <v>19.899999999999999</v>
      </c>
      <c r="F153" s="11">
        <f>D153*E153</f>
        <v>4.9749999999999996</v>
      </c>
      <c r="G153" s="138"/>
      <c r="H153" s="181"/>
    </row>
    <row r="154" spans="1:8" x14ac:dyDescent="0.2">
      <c r="A154" s="351" t="s">
        <v>173</v>
      </c>
      <c r="B154" s="352"/>
      <c r="C154" s="89" t="s">
        <v>170</v>
      </c>
      <c r="D154" s="250">
        <f>2/12</f>
        <v>0.16666666666666666</v>
      </c>
      <c r="E154" s="247">
        <v>14.8</v>
      </c>
      <c r="F154" s="11">
        <f>D154*E154</f>
        <v>2.4666666666666668</v>
      </c>
      <c r="G154" s="138"/>
      <c r="H154" s="181"/>
    </row>
    <row r="155" spans="1:8" ht="13.5" thickBot="1" x14ac:dyDescent="0.25">
      <c r="A155" s="351" t="s">
        <v>174</v>
      </c>
      <c r="B155" s="352"/>
      <c r="C155" s="89" t="s">
        <v>187</v>
      </c>
      <c r="D155" s="250">
        <f>4</f>
        <v>4</v>
      </c>
      <c r="E155" s="247">
        <v>17.98</v>
      </c>
      <c r="F155" s="11">
        <f>D155*E155</f>
        <v>71.92</v>
      </c>
      <c r="G155" s="138"/>
      <c r="H155" s="181"/>
    </row>
    <row r="156" spans="1:8" ht="13.5" thickBot="1" x14ac:dyDescent="0.25">
      <c r="A156" s="351" t="s">
        <v>175</v>
      </c>
      <c r="B156" s="352"/>
      <c r="C156" s="89" t="s">
        <v>170</v>
      </c>
      <c r="D156" s="250">
        <v>4</v>
      </c>
      <c r="E156" s="247">
        <v>4.7</v>
      </c>
      <c r="F156" s="11">
        <f t="shared" ref="F156" si="6">D156*E156</f>
        <v>18.8</v>
      </c>
      <c r="G156" s="225">
        <f>ROUND(SUM(F152:F156),2)</f>
        <v>100.5</v>
      </c>
      <c r="H156" s="225">
        <f>G156/G$38</f>
        <v>3.6948529411764706E-2</v>
      </c>
    </row>
    <row r="157" spans="1:8" ht="11.25" customHeight="1" thickBot="1" x14ac:dyDescent="0.25">
      <c r="A157" s="96"/>
      <c r="E157" s="27"/>
      <c r="F157" s="27"/>
      <c r="G157" s="40"/>
      <c r="H157" s="40"/>
    </row>
    <row r="158" spans="1:8" ht="13.5" thickBot="1" x14ac:dyDescent="0.25">
      <c r="A158" s="12" t="s">
        <v>89</v>
      </c>
      <c r="B158" s="13"/>
      <c r="C158" s="13"/>
      <c r="D158" s="13"/>
      <c r="E158" s="14"/>
      <c r="F158" s="15"/>
      <c r="G158" s="227">
        <f>+G156</f>
        <v>100.5</v>
      </c>
      <c r="H158" s="227">
        <f>G158/G$38</f>
        <v>3.6948529411764706E-2</v>
      </c>
    </row>
    <row r="159" spans="1:8" ht="11.25" customHeight="1" thickBot="1" x14ac:dyDescent="0.25">
      <c r="A159" s="96"/>
      <c r="E159" s="27"/>
      <c r="F159" s="27"/>
      <c r="G159" s="128"/>
      <c r="H159" s="128"/>
    </row>
    <row r="160" spans="1:8" ht="17.25" customHeight="1" thickBot="1" x14ac:dyDescent="0.25">
      <c r="A160" s="12" t="s">
        <v>122</v>
      </c>
      <c r="B160" s="13"/>
      <c r="C160" s="16"/>
      <c r="D160" s="16"/>
      <c r="E160" s="17"/>
      <c r="F160" s="18"/>
      <c r="G160" s="224">
        <f>+G76+G148+G158</f>
        <v>13426.624339999998</v>
      </c>
      <c r="H160" s="224">
        <f>G160/G$38</f>
        <v>4.9362589485294111</v>
      </c>
    </row>
    <row r="161" spans="1:8" ht="17.25" customHeight="1" thickBot="1" x14ac:dyDescent="0.25">
      <c r="A161" s="12" t="s">
        <v>123</v>
      </c>
      <c r="B161" s="13"/>
      <c r="C161" s="16"/>
      <c r="D161" s="16"/>
      <c r="E161" s="17"/>
      <c r="F161" s="18"/>
      <c r="G161" s="226">
        <f>+G77+G148+G158</f>
        <v>12998.619339999999</v>
      </c>
      <c r="H161" s="226">
        <f>G161/G$38</f>
        <v>4.7789041691176468</v>
      </c>
    </row>
    <row r="162" spans="1:8" ht="11.25" customHeight="1" x14ac:dyDescent="0.2">
      <c r="A162" s="96"/>
      <c r="E162" s="27"/>
      <c r="F162" s="27"/>
      <c r="G162" s="128"/>
      <c r="H162" s="128"/>
    </row>
    <row r="163" spans="1:8" ht="13.5" thickBot="1" x14ac:dyDescent="0.25">
      <c r="A163" s="97" t="s">
        <v>150</v>
      </c>
      <c r="B163" s="6"/>
      <c r="E163" s="27"/>
      <c r="F163" s="27"/>
      <c r="G163" s="40"/>
      <c r="H163" s="40"/>
    </row>
    <row r="164" spans="1:8" ht="13.5" thickBot="1" x14ac:dyDescent="0.25">
      <c r="A164" s="354" t="s">
        <v>26</v>
      </c>
      <c r="B164" s="355"/>
      <c r="C164" s="218" t="s">
        <v>27</v>
      </c>
      <c r="D164" s="218" t="s">
        <v>20</v>
      </c>
      <c r="E164" s="219" t="s">
        <v>90</v>
      </c>
      <c r="F164" s="219" t="s">
        <v>28</v>
      </c>
      <c r="G164" s="220" t="s">
        <v>29</v>
      </c>
      <c r="H164" s="220" t="s">
        <v>141</v>
      </c>
    </row>
    <row r="165" spans="1:8" ht="13.5" thickBot="1" x14ac:dyDescent="0.25">
      <c r="A165" s="356" t="s">
        <v>151</v>
      </c>
      <c r="B165" s="357"/>
      <c r="C165" s="8" t="s">
        <v>0</v>
      </c>
      <c r="D165" s="41">
        <f>BDI!E11*100</f>
        <v>32.35</v>
      </c>
      <c r="E165" s="9">
        <f>+G160</f>
        <v>13426.624339999998</v>
      </c>
      <c r="F165" s="9">
        <f>ROUND(D165*E165/100,2)</f>
        <v>4343.51</v>
      </c>
      <c r="G165" s="227">
        <f>+F165</f>
        <v>4343.51</v>
      </c>
      <c r="H165" s="227">
        <f>G165/G$38</f>
        <v>1.5968786764705882</v>
      </c>
    </row>
    <row r="166" spans="1:8" x14ac:dyDescent="0.2">
      <c r="A166" s="96"/>
      <c r="E166" s="27"/>
      <c r="F166" s="27"/>
      <c r="G166" s="128"/>
      <c r="H166" s="128"/>
    </row>
    <row r="167" spans="1:8" ht="11.25" customHeight="1" thickBot="1" x14ac:dyDescent="0.25">
      <c r="A167" s="96"/>
      <c r="E167" s="27"/>
      <c r="F167" s="27"/>
      <c r="G167" s="40"/>
      <c r="H167" s="40"/>
    </row>
    <row r="168" spans="1:8" ht="13.5" thickBot="1" x14ac:dyDescent="0.25">
      <c r="A168" s="12" t="s">
        <v>152</v>
      </c>
      <c r="B168" s="13"/>
      <c r="C168" s="16"/>
      <c r="D168" s="16"/>
      <c r="E168" s="17"/>
      <c r="F168" s="18"/>
      <c r="G168" s="226">
        <f>G165</f>
        <v>4343.51</v>
      </c>
      <c r="H168" s="226">
        <f>G168/G$38</f>
        <v>1.5968786764705882</v>
      </c>
    </row>
    <row r="169" spans="1:8" ht="13.5" thickBot="1" x14ac:dyDescent="0.25">
      <c r="A169" s="97"/>
      <c r="B169" s="6"/>
      <c r="C169" s="6"/>
      <c r="D169" s="6"/>
      <c r="E169" s="20"/>
      <c r="F169" s="20"/>
      <c r="G169" s="139"/>
      <c r="H169" s="139"/>
    </row>
    <row r="170" spans="1:8" ht="24.75" customHeight="1" thickBot="1" x14ac:dyDescent="0.25">
      <c r="A170" s="12" t="s">
        <v>153</v>
      </c>
      <c r="B170" s="13"/>
      <c r="C170" s="16"/>
      <c r="D170" s="16"/>
      <c r="E170" s="17"/>
      <c r="F170" s="18"/>
      <c r="G170" s="189">
        <f>G160+G168</f>
        <v>17770.134339999997</v>
      </c>
      <c r="H170" s="226">
        <f>G170/G$38</f>
        <v>6.5331376249999993</v>
      </c>
    </row>
    <row r="171" spans="1:8" ht="12.6" customHeight="1" x14ac:dyDescent="0.2">
      <c r="A171" s="101"/>
      <c r="B171" s="24"/>
      <c r="C171" s="24"/>
      <c r="D171" s="24"/>
      <c r="E171" s="25"/>
      <c r="F171" s="25"/>
      <c r="G171" s="140"/>
      <c r="H171" s="140"/>
    </row>
    <row r="172" spans="1:8" ht="16.149999999999999" customHeight="1" x14ac:dyDescent="0.2">
      <c r="A172" s="351" t="s">
        <v>154</v>
      </c>
      <c r="B172" s="361"/>
      <c r="C172" s="79"/>
      <c r="D172" s="79"/>
      <c r="E172" s="147">
        <f>C111</f>
        <v>2720</v>
      </c>
      <c r="F172" s="146" t="s">
        <v>140</v>
      </c>
      <c r="G172" s="40"/>
      <c r="H172" s="40"/>
    </row>
    <row r="173" spans="1:8" ht="13.5" thickBot="1" x14ac:dyDescent="0.25">
      <c r="A173" s="96"/>
      <c r="E173" s="27"/>
      <c r="F173" s="27"/>
      <c r="G173" s="40"/>
      <c r="H173" s="40"/>
    </row>
    <row r="174" spans="1:8" ht="25.5" customHeight="1" thickBot="1" x14ac:dyDescent="0.25">
      <c r="A174" s="12" t="s">
        <v>155</v>
      </c>
      <c r="B174" s="13"/>
      <c r="C174" s="13"/>
      <c r="D174" s="13"/>
      <c r="E174" s="14"/>
      <c r="F174" s="145" t="s">
        <v>141</v>
      </c>
      <c r="G174" s="358">
        <f>ROUND(IFERROR(G170/E172,"-"),2)</f>
        <v>6.53</v>
      </c>
      <c r="H174" s="359"/>
    </row>
    <row r="175" spans="1:8" ht="12.6" customHeight="1" x14ac:dyDescent="0.2">
      <c r="A175" s="97"/>
      <c r="B175" s="6"/>
      <c r="C175" s="6"/>
      <c r="D175" s="6"/>
      <c r="E175" s="20"/>
      <c r="F175" s="20"/>
      <c r="G175" s="141"/>
      <c r="H175" s="141"/>
    </row>
    <row r="176" spans="1:8" x14ac:dyDescent="0.2">
      <c r="A176" s="97" t="s">
        <v>156</v>
      </c>
      <c r="B176" s="6"/>
      <c r="E176" s="27"/>
      <c r="F176" s="27"/>
      <c r="G176" s="40"/>
      <c r="H176" s="40"/>
    </row>
    <row r="177" spans="1:8" ht="11.25" customHeight="1" thickBot="1" x14ac:dyDescent="0.25">
      <c r="A177" s="96"/>
      <c r="E177" s="27"/>
      <c r="F177" s="27"/>
      <c r="G177" s="40"/>
      <c r="H177" s="40"/>
    </row>
    <row r="178" spans="1:8" ht="13.5" thickBot="1" x14ac:dyDescent="0.25">
      <c r="A178" s="222" t="s">
        <v>26</v>
      </c>
      <c r="B178" s="223"/>
      <c r="C178" s="218" t="s">
        <v>27</v>
      </c>
      <c r="D178" s="218" t="s">
        <v>20</v>
      </c>
      <c r="E178" s="219" t="s">
        <v>90</v>
      </c>
      <c r="F178" s="219" t="s">
        <v>28</v>
      </c>
      <c r="G178" s="220" t="s">
        <v>29</v>
      </c>
      <c r="H178" s="220" t="s">
        <v>141</v>
      </c>
    </row>
    <row r="179" spans="1:8" ht="13.5" thickBot="1" x14ac:dyDescent="0.25">
      <c r="A179" s="356" t="s">
        <v>139</v>
      </c>
      <c r="B179" s="357"/>
      <c r="C179" s="8" t="s">
        <v>0</v>
      </c>
      <c r="D179" s="41">
        <f>BDI!E$24*100</f>
        <v>24.46</v>
      </c>
      <c r="E179" s="9">
        <f>G160</f>
        <v>13426.624339999998</v>
      </c>
      <c r="F179" s="9">
        <f>ROUND(D179*E179/100,2)</f>
        <v>3284.15</v>
      </c>
      <c r="G179" s="227">
        <f>+F179</f>
        <v>3284.15</v>
      </c>
      <c r="H179" s="227">
        <f>G179/G$38</f>
        <v>1.2074080882352942</v>
      </c>
    </row>
    <row r="180" spans="1:8" x14ac:dyDescent="0.2">
      <c r="A180" s="96"/>
      <c r="E180" s="27"/>
      <c r="F180" s="27"/>
      <c r="G180" s="141"/>
      <c r="H180" s="141"/>
    </row>
    <row r="181" spans="1:8" ht="11.25" customHeight="1" thickBot="1" x14ac:dyDescent="0.25">
      <c r="A181" s="96"/>
      <c r="E181" s="27"/>
      <c r="F181" s="27"/>
      <c r="G181" s="40"/>
      <c r="H181" s="40"/>
    </row>
    <row r="182" spans="1:8" ht="13.5" thickBot="1" x14ac:dyDescent="0.25">
      <c r="A182" s="12" t="s">
        <v>157</v>
      </c>
      <c r="B182" s="13"/>
      <c r="C182" s="16"/>
      <c r="D182" s="16"/>
      <c r="E182" s="17"/>
      <c r="F182" s="18"/>
      <c r="G182" s="226">
        <f>G179</f>
        <v>3284.15</v>
      </c>
      <c r="H182" s="226">
        <f>G182/G$38</f>
        <v>1.2074080882352942</v>
      </c>
    </row>
    <row r="183" spans="1:8" ht="13.5" thickBot="1" x14ac:dyDescent="0.25">
      <c r="A183" s="97"/>
      <c r="B183" s="6"/>
      <c r="C183" s="6"/>
      <c r="D183" s="6"/>
      <c r="E183" s="20"/>
      <c r="F183" s="20"/>
      <c r="G183" s="139"/>
      <c r="H183" s="139"/>
    </row>
    <row r="184" spans="1:8" ht="24.75" customHeight="1" thickBot="1" x14ac:dyDescent="0.25">
      <c r="A184" s="12" t="s">
        <v>158</v>
      </c>
      <c r="B184" s="13"/>
      <c r="C184" s="16"/>
      <c r="D184" s="16"/>
      <c r="E184" s="17"/>
      <c r="F184" s="18"/>
      <c r="G184" s="189">
        <f>G160+G182</f>
        <v>16710.77434</v>
      </c>
      <c r="H184" s="226">
        <f>G184/G$38</f>
        <v>6.1436670367647057</v>
      </c>
    </row>
    <row r="185" spans="1:8" ht="12.6" customHeight="1" x14ac:dyDescent="0.2">
      <c r="A185" s="101"/>
      <c r="B185" s="24"/>
      <c r="C185" s="24"/>
      <c r="D185" s="24"/>
      <c r="E185" s="25"/>
      <c r="F185" s="25"/>
      <c r="G185" s="140"/>
      <c r="H185" s="140"/>
    </row>
    <row r="186" spans="1:8" ht="16.149999999999999" customHeight="1" x14ac:dyDescent="0.2">
      <c r="A186" s="144" t="s">
        <v>159</v>
      </c>
      <c r="B186" s="198"/>
      <c r="C186" s="79"/>
      <c r="D186" s="79"/>
      <c r="E186" s="147">
        <f>E$172</f>
        <v>2720</v>
      </c>
      <c r="F186" s="146" t="s">
        <v>140</v>
      </c>
      <c r="G186" s="40"/>
      <c r="H186" s="40"/>
    </row>
    <row r="187" spans="1:8" ht="13.5" thickBot="1" x14ac:dyDescent="0.25">
      <c r="A187" s="96"/>
      <c r="E187" s="27"/>
      <c r="F187" s="27"/>
      <c r="G187" s="40"/>
      <c r="H187" s="40"/>
    </row>
    <row r="188" spans="1:8" ht="25.5" customHeight="1" thickBot="1" x14ac:dyDescent="0.25">
      <c r="A188" s="12" t="s">
        <v>160</v>
      </c>
      <c r="B188" s="13"/>
      <c r="C188" s="13"/>
      <c r="D188" s="13"/>
      <c r="E188" s="14"/>
      <c r="F188" s="145" t="s">
        <v>141</v>
      </c>
      <c r="G188" s="358">
        <f>ROUND(IFERROR(G184/E186,"-"),2)</f>
        <v>6.14</v>
      </c>
      <c r="H188" s="359"/>
    </row>
    <row r="189" spans="1:8" x14ac:dyDescent="0.2">
      <c r="A189" s="116"/>
      <c r="B189" s="117"/>
      <c r="C189" s="117"/>
      <c r="D189" s="117"/>
      <c r="E189" s="118"/>
      <c r="F189" s="118"/>
      <c r="G189" s="128"/>
      <c r="H189" s="128"/>
    </row>
    <row r="190" spans="1:8" x14ac:dyDescent="0.2">
      <c r="A190" s="127" t="s">
        <v>161</v>
      </c>
      <c r="B190" s="199"/>
      <c r="E190" s="27"/>
      <c r="F190" s="27"/>
      <c r="G190" s="40"/>
      <c r="H190" s="40"/>
    </row>
    <row r="191" spans="1:8" ht="11.25" customHeight="1" thickBot="1" x14ac:dyDescent="0.25">
      <c r="A191" s="96"/>
      <c r="E191" s="27"/>
      <c r="F191" s="27"/>
      <c r="G191" s="40"/>
      <c r="H191" s="40"/>
    </row>
    <row r="192" spans="1:8" ht="13.5" thickBot="1" x14ac:dyDescent="0.25">
      <c r="A192" s="222" t="s">
        <v>26</v>
      </c>
      <c r="B192" s="223"/>
      <c r="C192" s="218" t="s">
        <v>27</v>
      </c>
      <c r="D192" s="218" t="s">
        <v>20</v>
      </c>
      <c r="E192" s="219" t="s">
        <v>90</v>
      </c>
      <c r="F192" s="219" t="s">
        <v>28</v>
      </c>
      <c r="G192" s="220" t="s">
        <v>29</v>
      </c>
      <c r="H192" s="220" t="s">
        <v>141</v>
      </c>
    </row>
    <row r="193" spans="1:11" ht="13.5" thickBot="1" x14ac:dyDescent="0.25">
      <c r="A193" s="98" t="s">
        <v>162</v>
      </c>
      <c r="B193" s="196"/>
      <c r="C193" s="8" t="s">
        <v>0</v>
      </c>
      <c r="D193" s="41">
        <f>BDI!C35*100</f>
        <v>16.93</v>
      </c>
      <c r="E193" s="9">
        <f>G161</f>
        <v>12998.619339999999</v>
      </c>
      <c r="F193" s="9">
        <f>ROUND(D193*E193/100,2)</f>
        <v>2200.67</v>
      </c>
      <c r="G193" s="227">
        <f>+F193</f>
        <v>2200.67</v>
      </c>
      <c r="H193" s="227">
        <f>G193/G$38</f>
        <v>0.8090698529411765</v>
      </c>
    </row>
    <row r="194" spans="1:11" x14ac:dyDescent="0.2">
      <c r="A194" s="96"/>
      <c r="E194" s="27"/>
      <c r="F194" s="27"/>
      <c r="G194" s="128"/>
      <c r="H194" s="128"/>
    </row>
    <row r="195" spans="1:11" ht="11.25" customHeight="1" thickBot="1" x14ac:dyDescent="0.25">
      <c r="A195" s="96"/>
      <c r="E195" s="27"/>
      <c r="F195" s="27"/>
      <c r="G195" s="40"/>
      <c r="H195" s="40"/>
    </row>
    <row r="196" spans="1:11" ht="13.5" thickBot="1" x14ac:dyDescent="0.25">
      <c r="A196" s="12" t="s">
        <v>163</v>
      </c>
      <c r="B196" s="13"/>
      <c r="C196" s="16"/>
      <c r="D196" s="16"/>
      <c r="E196" s="17"/>
      <c r="F196" s="18"/>
      <c r="G196" s="226">
        <f>G193</f>
        <v>2200.67</v>
      </c>
      <c r="H196" s="226">
        <f>G196/G$38</f>
        <v>0.8090698529411765</v>
      </c>
    </row>
    <row r="197" spans="1:11" ht="13.5" thickBot="1" x14ac:dyDescent="0.25">
      <c r="A197" s="97"/>
      <c r="B197" s="6"/>
      <c r="C197" s="6"/>
      <c r="D197" s="6"/>
      <c r="E197" s="20"/>
      <c r="F197" s="20"/>
      <c r="G197" s="139"/>
      <c r="H197" s="139"/>
    </row>
    <row r="198" spans="1:11" ht="24.75" customHeight="1" thickBot="1" x14ac:dyDescent="0.25">
      <c r="A198" s="12" t="s">
        <v>164</v>
      </c>
      <c r="B198" s="13"/>
      <c r="C198" s="16"/>
      <c r="D198" s="16"/>
      <c r="E198" s="17"/>
      <c r="F198" s="18"/>
      <c r="G198" s="226">
        <f>E193+G196</f>
        <v>15199.289339999999</v>
      </c>
      <c r="H198" s="226">
        <f>G198/G$38</f>
        <v>5.5879740220588232</v>
      </c>
    </row>
    <row r="199" spans="1:11" ht="12.6" customHeight="1" x14ac:dyDescent="0.2">
      <c r="A199" s="101"/>
      <c r="B199" s="24"/>
      <c r="C199" s="24"/>
      <c r="D199" s="24"/>
      <c r="E199" s="25"/>
      <c r="F199" s="25"/>
      <c r="G199" s="140"/>
      <c r="H199" s="140"/>
    </row>
    <row r="200" spans="1:11" ht="12.6" customHeight="1" x14ac:dyDescent="0.2">
      <c r="A200" s="101" t="s">
        <v>121</v>
      </c>
      <c r="B200" s="24"/>
      <c r="C200" s="24"/>
      <c r="D200" s="24"/>
      <c r="E200" s="25"/>
      <c r="F200" s="25"/>
      <c r="G200" s="142"/>
      <c r="H200" s="142"/>
    </row>
    <row r="201" spans="1:11" x14ac:dyDescent="0.2">
      <c r="A201" s="143" t="s">
        <v>118</v>
      </c>
      <c r="B201" s="6"/>
      <c r="E201" s="27"/>
      <c r="F201" s="27"/>
      <c r="G201" s="40"/>
      <c r="H201" s="40"/>
    </row>
    <row r="202" spans="1:11" x14ac:dyDescent="0.2">
      <c r="A202" s="97" t="s">
        <v>116</v>
      </c>
      <c r="B202" s="6"/>
      <c r="E202" s="27"/>
      <c r="F202" s="27"/>
      <c r="G202" s="40"/>
      <c r="H202" s="40"/>
    </row>
    <row r="203" spans="1:11" x14ac:dyDescent="0.2">
      <c r="A203" s="362" t="s">
        <v>296</v>
      </c>
      <c r="B203" s="363"/>
      <c r="E203" s="27"/>
      <c r="F203" s="27"/>
      <c r="G203" s="40"/>
      <c r="H203" s="40"/>
    </row>
    <row r="204" spans="1:11" ht="11.25" customHeight="1" thickBot="1" x14ac:dyDescent="0.25">
      <c r="A204" s="119"/>
      <c r="E204" s="27"/>
      <c r="F204" s="27"/>
      <c r="G204" s="40"/>
      <c r="H204" s="40"/>
    </row>
    <row r="205" spans="1:11" ht="15.75" thickBot="1" x14ac:dyDescent="0.3">
      <c r="A205" s="222" t="s">
        <v>26</v>
      </c>
      <c r="B205" s="223"/>
      <c r="C205" s="218" t="s">
        <v>27</v>
      </c>
      <c r="D205" s="218" t="s">
        <v>20</v>
      </c>
      <c r="E205" s="219" t="s">
        <v>117</v>
      </c>
      <c r="F205" s="219" t="s">
        <v>28</v>
      </c>
      <c r="G205" s="220" t="s">
        <v>29</v>
      </c>
      <c r="H205" s="220" t="s">
        <v>141</v>
      </c>
      <c r="I205" s="328"/>
      <c r="J205" s="329"/>
      <c r="K205" s="328"/>
    </row>
    <row r="206" spans="1:11" ht="15.75" thickBot="1" x14ac:dyDescent="0.3">
      <c r="A206" s="356" t="s">
        <v>165</v>
      </c>
      <c r="B206" s="357"/>
      <c r="C206" s="120" t="s">
        <v>0</v>
      </c>
      <c r="D206" s="291">
        <v>6</v>
      </c>
      <c r="E206" s="121">
        <f>G198</f>
        <v>15199.289339999999</v>
      </c>
      <c r="F206" s="9">
        <f>ROUND(G209*(D206/100),2)</f>
        <v>970.17</v>
      </c>
      <c r="G206" s="226">
        <f>F206</f>
        <v>970.17</v>
      </c>
      <c r="H206" s="226">
        <f>G206/G$38</f>
        <v>0.3566801470588235</v>
      </c>
      <c r="I206" s="330"/>
      <c r="J206" s="331">
        <f>G209*12</f>
        <v>194033.48093617021</v>
      </c>
      <c r="K206" s="331"/>
    </row>
    <row r="207" spans="1:11" ht="15.75" x14ac:dyDescent="0.25">
      <c r="A207" s="96"/>
      <c r="E207" s="27"/>
      <c r="F207" s="27"/>
      <c r="G207" s="140"/>
      <c r="H207" s="140"/>
      <c r="I207" s="328"/>
      <c r="J207" s="328"/>
      <c r="K207" s="328"/>
    </row>
    <row r="208" spans="1:11" ht="15.75" thickBot="1" x14ac:dyDescent="0.3">
      <c r="A208" s="122"/>
      <c r="B208" s="123"/>
      <c r="C208" s="123"/>
      <c r="D208" s="123"/>
      <c r="E208" s="124"/>
      <c r="F208" s="124"/>
      <c r="G208" s="40"/>
      <c r="H208" s="40"/>
      <c r="I208" s="332"/>
      <c r="J208" s="332"/>
      <c r="K208" s="333"/>
    </row>
    <row r="209" spans="1:8" ht="24.75" customHeight="1" thickBot="1" x14ac:dyDescent="0.25">
      <c r="A209" s="12" t="s">
        <v>166</v>
      </c>
      <c r="B209" s="13"/>
      <c r="C209" s="16"/>
      <c r="D209" s="16"/>
      <c r="E209" s="17"/>
      <c r="F209" s="18"/>
      <c r="G209" s="189">
        <f>E206/((100-D206)/100)</f>
        <v>16169.456744680851</v>
      </c>
      <c r="H209" s="226">
        <f>G209/G$38</f>
        <v>5.9446532149561948</v>
      </c>
    </row>
    <row r="210" spans="1:8" ht="12.6" customHeight="1" x14ac:dyDescent="0.2">
      <c r="A210" s="101"/>
      <c r="B210" s="24"/>
      <c r="C210" s="24"/>
      <c r="D210" s="24"/>
      <c r="E210" s="25"/>
      <c r="F210" s="25"/>
      <c r="G210" s="140"/>
      <c r="H210" s="140"/>
    </row>
    <row r="211" spans="1:8" ht="16.149999999999999" customHeight="1" x14ac:dyDescent="0.2">
      <c r="A211" s="144" t="s">
        <v>167</v>
      </c>
      <c r="B211" s="198"/>
      <c r="C211" s="79"/>
      <c r="D211" s="79"/>
      <c r="E211" s="147">
        <f>E$172</f>
        <v>2720</v>
      </c>
      <c r="F211" s="146" t="s">
        <v>140</v>
      </c>
      <c r="G211" s="40"/>
      <c r="H211" s="40"/>
    </row>
    <row r="212" spans="1:8" ht="13.5" thickBot="1" x14ac:dyDescent="0.25">
      <c r="A212" s="96"/>
      <c r="E212" s="27"/>
      <c r="F212" s="27"/>
      <c r="G212" s="40"/>
      <c r="H212" s="40"/>
    </row>
    <row r="213" spans="1:8" ht="25.5" customHeight="1" thickBot="1" x14ac:dyDescent="0.25">
      <c r="A213" s="12" t="s">
        <v>168</v>
      </c>
      <c r="B213" s="13"/>
      <c r="C213" s="13"/>
      <c r="D213" s="13"/>
      <c r="E213" s="14"/>
      <c r="F213" s="145" t="s">
        <v>141</v>
      </c>
      <c r="G213" s="358">
        <f>ROUND(IFERROR(G209/E211,"-"),2)</f>
        <v>5.94</v>
      </c>
      <c r="H213" s="359"/>
    </row>
    <row r="214" spans="1:8" ht="9" customHeight="1" x14ac:dyDescent="0.2">
      <c r="E214" s="4"/>
      <c r="F214" s="4"/>
      <c r="G214" s="4"/>
      <c r="H214" s="27"/>
    </row>
    <row r="215" spans="1:8" x14ac:dyDescent="0.2">
      <c r="H215" s="27"/>
    </row>
    <row r="216" spans="1:8" x14ac:dyDescent="0.2">
      <c r="H216" s="27"/>
    </row>
    <row r="217" spans="1:8" x14ac:dyDescent="0.2">
      <c r="A217" s="6"/>
      <c r="B217" s="6"/>
      <c r="C217" s="6"/>
      <c r="D217" s="6"/>
      <c r="E217" s="286"/>
      <c r="F217" s="286"/>
      <c r="G217" s="286"/>
      <c r="H217" s="20"/>
    </row>
    <row r="218" spans="1:8" x14ac:dyDescent="0.2">
      <c r="A218" s="6"/>
      <c r="B218" s="6"/>
      <c r="C218" s="6"/>
      <c r="D218" s="6"/>
      <c r="E218" s="286"/>
      <c r="F218" s="286"/>
      <c r="G218" s="286"/>
      <c r="H218" s="20"/>
    </row>
    <row r="219" spans="1:8" x14ac:dyDescent="0.2">
      <c r="A219" s="6"/>
      <c r="B219" s="6"/>
      <c r="C219" s="6"/>
      <c r="D219" s="6"/>
      <c r="E219" s="286"/>
      <c r="F219" s="286"/>
      <c r="G219" s="286"/>
      <c r="H219" s="20"/>
    </row>
    <row r="220" spans="1:8" x14ac:dyDescent="0.2">
      <c r="A220" s="6"/>
      <c r="B220" s="6"/>
      <c r="C220" s="6"/>
      <c r="D220" s="6"/>
      <c r="E220" s="286"/>
      <c r="F220" s="286"/>
      <c r="G220" s="286"/>
      <c r="H220" s="20"/>
    </row>
    <row r="221" spans="1:8" x14ac:dyDescent="0.2">
      <c r="A221" s="6"/>
      <c r="B221" s="6"/>
      <c r="C221" s="360"/>
      <c r="D221" s="360"/>
      <c r="E221" s="360"/>
      <c r="F221" s="286"/>
      <c r="G221" s="286"/>
      <c r="H221" s="20"/>
    </row>
    <row r="222" spans="1:8" x14ac:dyDescent="0.2">
      <c r="A222" s="6"/>
      <c r="B222" s="6"/>
      <c r="C222" s="360"/>
      <c r="D222" s="360"/>
      <c r="E222" s="360"/>
      <c r="F222" s="286"/>
      <c r="G222" s="286"/>
      <c r="H222" s="20"/>
    </row>
    <row r="223" spans="1:8" x14ac:dyDescent="0.2">
      <c r="A223" s="6"/>
      <c r="B223" s="6"/>
      <c r="C223" s="360"/>
      <c r="D223" s="360"/>
      <c r="E223" s="360"/>
      <c r="F223" s="286"/>
      <c r="G223" s="286"/>
      <c r="H223" s="20"/>
    </row>
    <row r="224" spans="1:8" x14ac:dyDescent="0.2">
      <c r="H224" s="27"/>
    </row>
    <row r="225" spans="8:8" x14ac:dyDescent="0.2">
      <c r="H225" s="27"/>
    </row>
    <row r="226" spans="8:8" x14ac:dyDescent="0.2">
      <c r="H226" s="27"/>
    </row>
  </sheetData>
  <mergeCells count="117">
    <mergeCell ref="A1:H1"/>
    <mergeCell ref="D3:E3"/>
    <mergeCell ref="G3:H3"/>
    <mergeCell ref="B4:C4"/>
    <mergeCell ref="C7:D7"/>
    <mergeCell ref="E7:F7"/>
    <mergeCell ref="G7:H7"/>
    <mergeCell ref="A14:B14"/>
    <mergeCell ref="A15:B15"/>
    <mergeCell ref="A16:B16"/>
    <mergeCell ref="A17:B17"/>
    <mergeCell ref="A18:B18"/>
    <mergeCell ref="A19:B19"/>
    <mergeCell ref="A8:B8"/>
    <mergeCell ref="A9:B9"/>
    <mergeCell ref="A10:B10"/>
    <mergeCell ref="A11:B11"/>
    <mergeCell ref="A12:B12"/>
    <mergeCell ref="A13:B13"/>
    <mergeCell ref="A28:G28"/>
    <mergeCell ref="A29:B29"/>
    <mergeCell ref="A30:B30"/>
    <mergeCell ref="A31:B31"/>
    <mergeCell ref="A33:B33"/>
    <mergeCell ref="A34:B34"/>
    <mergeCell ref="A21:B21"/>
    <mergeCell ref="A22:B22"/>
    <mergeCell ref="A23:B23"/>
    <mergeCell ref="A24:B24"/>
    <mergeCell ref="A25:B25"/>
    <mergeCell ref="A26:B26"/>
    <mergeCell ref="A44:G44"/>
    <mergeCell ref="A47:B47"/>
    <mergeCell ref="A48:B48"/>
    <mergeCell ref="A51:B51"/>
    <mergeCell ref="A52:B52"/>
    <mergeCell ref="A53:B53"/>
    <mergeCell ref="A35:B35"/>
    <mergeCell ref="A37:B37"/>
    <mergeCell ref="A38:B38"/>
    <mergeCell ref="A39:B39"/>
    <mergeCell ref="D41:G41"/>
    <mergeCell ref="A42:B42"/>
    <mergeCell ref="D42:F42"/>
    <mergeCell ref="A66:B66"/>
    <mergeCell ref="A67:B67"/>
    <mergeCell ref="A72:B72"/>
    <mergeCell ref="A82:B82"/>
    <mergeCell ref="A83:B83"/>
    <mergeCell ref="A84:B84"/>
    <mergeCell ref="A54:B54"/>
    <mergeCell ref="A58:B58"/>
    <mergeCell ref="A59:B59"/>
    <mergeCell ref="A60:B60"/>
    <mergeCell ref="A64:B64"/>
    <mergeCell ref="A65:B65"/>
    <mergeCell ref="A93:B93"/>
    <mergeCell ref="A94:B94"/>
    <mergeCell ref="A95:B95"/>
    <mergeCell ref="A96:B96"/>
    <mergeCell ref="A97:B97"/>
    <mergeCell ref="A100:B100"/>
    <mergeCell ref="A85:B85"/>
    <mergeCell ref="A86:B86"/>
    <mergeCell ref="A89:B89"/>
    <mergeCell ref="A90:B90"/>
    <mergeCell ref="A91:B91"/>
    <mergeCell ref="A92:B92"/>
    <mergeCell ref="A108:B108"/>
    <mergeCell ref="A112:B112"/>
    <mergeCell ref="A113:B113"/>
    <mergeCell ref="A114:B114"/>
    <mergeCell ref="A117:B117"/>
    <mergeCell ref="A118:B118"/>
    <mergeCell ref="A101:B101"/>
    <mergeCell ref="A102:B102"/>
    <mergeCell ref="A103:B103"/>
    <mergeCell ref="A104:B104"/>
    <mergeCell ref="A105:B105"/>
    <mergeCell ref="A107:B107"/>
    <mergeCell ref="A125:B125"/>
    <mergeCell ref="A128:B128"/>
    <mergeCell ref="A129:B129"/>
    <mergeCell ref="A130:B130"/>
    <mergeCell ref="A131:B131"/>
    <mergeCell ref="A132:B132"/>
    <mergeCell ref="A119:B119"/>
    <mergeCell ref="A120:B120"/>
    <mergeCell ref="A121:B121"/>
    <mergeCell ref="A122:B122"/>
    <mergeCell ref="A123:B123"/>
    <mergeCell ref="A124:B124"/>
    <mergeCell ref="A146:B146"/>
    <mergeCell ref="A151:B151"/>
    <mergeCell ref="A152:B152"/>
    <mergeCell ref="A153:B153"/>
    <mergeCell ref="A154:B154"/>
    <mergeCell ref="A155:B155"/>
    <mergeCell ref="A135:B135"/>
    <mergeCell ref="A136:B136"/>
    <mergeCell ref="A139:B139"/>
    <mergeCell ref="A140:B140"/>
    <mergeCell ref="A143:B143"/>
    <mergeCell ref="A144:B144"/>
    <mergeCell ref="C223:E223"/>
    <mergeCell ref="G188:H188"/>
    <mergeCell ref="A203:B203"/>
    <mergeCell ref="A206:B206"/>
    <mergeCell ref="G213:H213"/>
    <mergeCell ref="C221:E221"/>
    <mergeCell ref="C222:E222"/>
    <mergeCell ref="A156:B156"/>
    <mergeCell ref="A164:B164"/>
    <mergeCell ref="A165:B165"/>
    <mergeCell ref="A172:B172"/>
    <mergeCell ref="G174:H174"/>
    <mergeCell ref="A179:B179"/>
  </mergeCells>
  <pageMargins left="0.39370078740157483" right="0" top="0.59055118110236227" bottom="0.39370078740157483" header="0" footer="0"/>
  <pageSetup paperSize="9" scale="82" fitToHeight="0" orientation="portrait" r:id="rId1"/>
  <headerFooter alignWithMargins="0">
    <oddFooter>&amp;R&amp;P de &amp;N</oddFooter>
  </headerFooter>
  <rowBreaks count="3" manualBreakCount="3">
    <brk id="61" max="7" man="1"/>
    <brk id="125" max="7" man="1"/>
    <brk id="188" max="7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227"/>
  <sheetViews>
    <sheetView topLeftCell="A85" zoomScale="110" zoomScaleNormal="110" zoomScaleSheetLayoutView="110" workbookViewId="0">
      <selection activeCell="E217" sqref="E217"/>
    </sheetView>
  </sheetViews>
  <sheetFormatPr defaultColWidth="9.140625" defaultRowHeight="12.75" x14ac:dyDescent="0.2"/>
  <cols>
    <col min="1" max="1" width="17.85546875" style="4" customWidth="1"/>
    <col min="2" max="2" width="26.85546875" style="4" customWidth="1"/>
    <col min="3" max="3" width="14.14062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4.140625" style="5" bestFit="1" customWidth="1"/>
    <col min="8" max="8" width="8.28515625" style="5" customWidth="1"/>
    <col min="9" max="10" width="14.42578125" style="4" customWidth="1"/>
    <col min="11" max="11" width="10.5703125" style="4" bestFit="1" customWidth="1"/>
    <col min="12" max="16384" width="9.140625" style="4"/>
  </cols>
  <sheetData>
    <row r="1" spans="1:8" s="88" customFormat="1" ht="23.25" customHeight="1" thickBot="1" x14ac:dyDescent="0.25">
      <c r="A1" s="370" t="s">
        <v>184</v>
      </c>
      <c r="B1" s="371"/>
      <c r="C1" s="371"/>
      <c r="D1" s="371"/>
      <c r="E1" s="371"/>
      <c r="F1" s="371"/>
      <c r="G1" s="371"/>
      <c r="H1" s="372"/>
    </row>
    <row r="2" spans="1:8" s="2" customFormat="1" ht="15.75" customHeight="1" thickBot="1" x14ac:dyDescent="0.25">
      <c r="A2" s="215" t="s">
        <v>199</v>
      </c>
      <c r="B2" s="216"/>
      <c r="C2" s="252" t="s">
        <v>216</v>
      </c>
      <c r="D2" s="232"/>
      <c r="E2" s="232"/>
      <c r="F2" s="232"/>
      <c r="G2" s="232"/>
      <c r="H2" s="233"/>
    </row>
    <row r="3" spans="1:8" s="88" customFormat="1" ht="23.25" customHeight="1" thickBot="1" x14ac:dyDescent="0.25">
      <c r="A3" s="229" t="s">
        <v>96</v>
      </c>
      <c r="B3" s="236" t="s">
        <v>269</v>
      </c>
      <c r="C3" s="228" t="s">
        <v>222</v>
      </c>
      <c r="D3" s="373"/>
      <c r="E3" s="374"/>
      <c r="F3" s="228" t="s">
        <v>214</v>
      </c>
      <c r="G3" s="373"/>
      <c r="H3" s="375"/>
    </row>
    <row r="4" spans="1:8" s="3" customFormat="1" ht="18.75" thickBot="1" x14ac:dyDescent="0.3">
      <c r="A4" s="230" t="s">
        <v>228</v>
      </c>
      <c r="B4" s="378" t="s">
        <v>243</v>
      </c>
      <c r="C4" s="378"/>
      <c r="D4" s="293" t="s">
        <v>229</v>
      </c>
      <c r="E4" s="13" t="s">
        <v>279</v>
      </c>
      <c r="F4" s="200"/>
      <c r="G4" s="200"/>
      <c r="H4" s="201"/>
    </row>
    <row r="5" spans="1:8" s="2" customFormat="1" ht="10.9" customHeight="1" thickBot="1" x14ac:dyDescent="0.25">
      <c r="A5" s="202"/>
      <c r="B5" s="203"/>
      <c r="C5" s="204"/>
      <c r="D5" s="204"/>
      <c r="E5" s="205"/>
      <c r="F5" s="205"/>
      <c r="G5" s="205"/>
      <c r="H5" s="206"/>
    </row>
    <row r="6" spans="1:8" s="2" customFormat="1" ht="15.75" customHeight="1" thickBot="1" x14ac:dyDescent="0.25">
      <c r="A6" s="215" t="s">
        <v>200</v>
      </c>
      <c r="B6" s="216"/>
      <c r="C6" s="216"/>
      <c r="D6" s="216"/>
      <c r="E6" s="216"/>
      <c r="F6" s="216"/>
      <c r="G6" s="216"/>
      <c r="H6" s="217"/>
    </row>
    <row r="7" spans="1:8" s="2" customFormat="1" ht="16.5" thickBot="1" x14ac:dyDescent="0.25">
      <c r="A7" s="126" t="s">
        <v>119</v>
      </c>
      <c r="B7" s="126"/>
      <c r="C7" s="376" t="s">
        <v>109</v>
      </c>
      <c r="D7" s="377"/>
      <c r="E7" s="376" t="s">
        <v>110</v>
      </c>
      <c r="F7" s="377"/>
      <c r="G7" s="376" t="s">
        <v>113</v>
      </c>
      <c r="H7" s="377"/>
    </row>
    <row r="8" spans="1:8" s="2" customFormat="1" ht="28.5" customHeight="1" x14ac:dyDescent="0.2">
      <c r="A8" s="390" t="s">
        <v>85</v>
      </c>
      <c r="B8" s="391"/>
      <c r="C8" s="106" t="s">
        <v>111</v>
      </c>
      <c r="D8" s="22" t="s">
        <v>112</v>
      </c>
      <c r="E8" s="106" t="s">
        <v>111</v>
      </c>
      <c r="F8" s="22" t="s">
        <v>112</v>
      </c>
      <c r="G8" s="106" t="s">
        <v>111</v>
      </c>
      <c r="H8" s="22" t="s">
        <v>112</v>
      </c>
    </row>
    <row r="9" spans="1:8" s="6" customFormat="1" ht="15.75" customHeight="1" x14ac:dyDescent="0.2">
      <c r="A9" s="379" t="str">
        <f>A45</f>
        <v>1. Mão-de-obra</v>
      </c>
      <c r="B9" s="380"/>
      <c r="C9" s="102">
        <f>+G76</f>
        <v>1662.6469999999999</v>
      </c>
      <c r="D9" s="37">
        <f>SUM(D10:D12)</f>
        <v>0.1699</v>
      </c>
      <c r="E9" s="102">
        <f>G76</f>
        <v>1662.6469999999999</v>
      </c>
      <c r="F9" s="37">
        <f>SUM(F10:F12)</f>
        <v>0.1805979724632627</v>
      </c>
      <c r="G9" s="102">
        <f>G77</f>
        <v>1363.0435</v>
      </c>
      <c r="H9" s="37">
        <f>SUM(H10:H12)</f>
        <v>0.15440000000000001</v>
      </c>
    </row>
    <row r="10" spans="1:8" s="2" customFormat="1" ht="15.75" customHeight="1" x14ac:dyDescent="0.2">
      <c r="A10" s="392" t="s">
        <v>223</v>
      </c>
      <c r="B10" s="380"/>
      <c r="C10" s="103">
        <f>G55</f>
        <v>1352.5119999999999</v>
      </c>
      <c r="D10" s="26">
        <f>ROUND(IFERROR(C10/$C$25,0),4)</f>
        <v>0.13819999999999999</v>
      </c>
      <c r="E10" s="103">
        <f t="shared" ref="E10:E21" si="0">C10</f>
        <v>1352.5119999999999</v>
      </c>
      <c r="F10" s="26">
        <f>(IFERROR(E10/$E$25,0))</f>
        <v>0.1469108746067159</v>
      </c>
      <c r="G10" s="103">
        <f>G61</f>
        <v>1052.9085</v>
      </c>
      <c r="H10" s="26">
        <f t="shared" ref="H10:H20" si="1">ROUND(IFERROR(G10/$G$25,0),4)</f>
        <v>0.1193</v>
      </c>
    </row>
    <row r="11" spans="1:8" s="2" customFormat="1" ht="15.75" customHeight="1" x14ac:dyDescent="0.2">
      <c r="A11" s="393" t="str">
        <f>A63</f>
        <v>1.2. Vale Transporte</v>
      </c>
      <c r="B11" s="380"/>
      <c r="C11" s="103">
        <f>G68</f>
        <v>37.134999999999998</v>
      </c>
      <c r="D11" s="26">
        <f>ROUND(IFERROR(C11/$C$25,0),4)</f>
        <v>3.8E-3</v>
      </c>
      <c r="E11" s="103">
        <f t="shared" si="0"/>
        <v>37.134999999999998</v>
      </c>
      <c r="F11" s="26">
        <f>(IFERROR(E11/$E$25,0))</f>
        <v>4.0336317374784067E-3</v>
      </c>
      <c r="G11" s="103">
        <f t="shared" ref="G11:G20" si="2">E11</f>
        <v>37.134999999999998</v>
      </c>
      <c r="H11" s="26">
        <f t="shared" si="1"/>
        <v>4.1999999999999997E-3</v>
      </c>
    </row>
    <row r="12" spans="1:8" s="2" customFormat="1" ht="15.75" customHeight="1" x14ac:dyDescent="0.2">
      <c r="A12" s="393" t="str">
        <f>A70</f>
        <v>1.3. Vale-refeição (diário)</v>
      </c>
      <c r="B12" s="380"/>
      <c r="C12" s="103">
        <f>G73</f>
        <v>273</v>
      </c>
      <c r="D12" s="26">
        <f>ROUND(IFERROR(C12/$C$25,0),4)</f>
        <v>2.7900000000000001E-2</v>
      </c>
      <c r="E12" s="103">
        <f t="shared" si="0"/>
        <v>273</v>
      </c>
      <c r="F12" s="26">
        <f>(IFERROR(E12/$E$25,0))</f>
        <v>2.9653466119068404E-2</v>
      </c>
      <c r="G12" s="103">
        <f t="shared" si="2"/>
        <v>273</v>
      </c>
      <c r="H12" s="26">
        <f t="shared" si="1"/>
        <v>3.09E-2</v>
      </c>
    </row>
    <row r="13" spans="1:8" s="6" customFormat="1" ht="15.75" customHeight="1" x14ac:dyDescent="0.2">
      <c r="A13" s="379" t="str">
        <f>A79</f>
        <v>2. Veículos</v>
      </c>
      <c r="B13" s="380"/>
      <c r="C13" s="102">
        <f>+G149</f>
        <v>5633.8866666666672</v>
      </c>
      <c r="D13" s="37">
        <f>SUM(D14:D20)</f>
        <v>0.57539999999999991</v>
      </c>
      <c r="E13" s="102">
        <f t="shared" si="0"/>
        <v>5633.8866666666672</v>
      </c>
      <c r="F13" s="37">
        <f>SUM(F14:F20)</f>
        <v>0.59977629193435489</v>
      </c>
      <c r="G13" s="102">
        <f t="shared" si="2"/>
        <v>5633.8866666666672</v>
      </c>
      <c r="H13" s="37">
        <f>SUM(H14:H20)</f>
        <v>0.62549999999999994</v>
      </c>
    </row>
    <row r="14" spans="1:8" s="2" customFormat="1" ht="15.75" customHeight="1" x14ac:dyDescent="0.2">
      <c r="A14" s="382" t="str">
        <f>A80</f>
        <v>2.1 Depreciação</v>
      </c>
      <c r="B14" s="380"/>
      <c r="C14" s="103">
        <f>G86</f>
        <v>0</v>
      </c>
      <c r="D14" s="43">
        <f t="shared" ref="D14:D22" si="3">ROUND(IFERROR(C14/$C$25,0),4)</f>
        <v>0</v>
      </c>
      <c r="E14" s="103">
        <f t="shared" si="0"/>
        <v>0</v>
      </c>
      <c r="F14" s="43">
        <f t="shared" ref="F14:F21" si="4">(IFERROR(E14/$E$25,0))</f>
        <v>0</v>
      </c>
      <c r="G14" s="103">
        <f t="shared" si="2"/>
        <v>0</v>
      </c>
      <c r="H14" s="26">
        <f t="shared" si="1"/>
        <v>0</v>
      </c>
    </row>
    <row r="15" spans="1:8" s="2" customFormat="1" ht="15.75" customHeight="1" x14ac:dyDescent="0.2">
      <c r="A15" s="382" t="str">
        <f>A88</f>
        <v>2.2 Remuneração do Capital</v>
      </c>
      <c r="B15" s="380"/>
      <c r="C15" s="103">
        <f>G97</f>
        <v>0</v>
      </c>
      <c r="D15" s="43">
        <f t="shared" si="3"/>
        <v>0</v>
      </c>
      <c r="E15" s="103">
        <f t="shared" si="0"/>
        <v>0</v>
      </c>
      <c r="F15" s="43">
        <f t="shared" si="4"/>
        <v>0</v>
      </c>
      <c r="G15" s="103">
        <f t="shared" si="2"/>
        <v>0</v>
      </c>
      <c r="H15" s="26">
        <f t="shared" si="1"/>
        <v>0</v>
      </c>
    </row>
    <row r="16" spans="1:8" s="2" customFormat="1" ht="15.75" customHeight="1" x14ac:dyDescent="0.2">
      <c r="A16" s="382" t="str">
        <f>A99</f>
        <v>2.3. Impostos e Seguros</v>
      </c>
      <c r="B16" s="380"/>
      <c r="C16" s="103">
        <f>G109</f>
        <v>3283.05</v>
      </c>
      <c r="D16" s="43">
        <f t="shared" si="3"/>
        <v>0.33529999999999999</v>
      </c>
      <c r="E16" s="103">
        <f t="shared" si="0"/>
        <v>3283.05</v>
      </c>
      <c r="F16" s="43">
        <f t="shared" si="4"/>
        <v>0.3566073697516759</v>
      </c>
      <c r="G16" s="103">
        <f t="shared" si="2"/>
        <v>3283.05</v>
      </c>
      <c r="H16" s="26">
        <f t="shared" si="1"/>
        <v>0.37190000000000001</v>
      </c>
    </row>
    <row r="17" spans="1:10" s="2" customFormat="1" ht="15.75" customHeight="1" x14ac:dyDescent="0.2">
      <c r="A17" s="382" t="str">
        <f>A111</f>
        <v>2.4. Consumos</v>
      </c>
      <c r="B17" s="380"/>
      <c r="C17" s="103">
        <f>G126</f>
        <v>930.35</v>
      </c>
      <c r="D17" s="43">
        <f t="shared" si="3"/>
        <v>9.5000000000000001E-2</v>
      </c>
      <c r="E17" s="103">
        <f t="shared" si="0"/>
        <v>930.35</v>
      </c>
      <c r="F17" s="43">
        <f t="shared" si="4"/>
        <v>0.10105531942811462</v>
      </c>
      <c r="G17" s="103">
        <f t="shared" si="2"/>
        <v>930.35</v>
      </c>
      <c r="H17" s="26">
        <f t="shared" si="1"/>
        <v>0.10539999999999999</v>
      </c>
    </row>
    <row r="18" spans="1:10" s="2" customFormat="1" ht="15.75" customHeight="1" x14ac:dyDescent="0.2">
      <c r="A18" s="382" t="str">
        <f>A128</f>
        <v>2.5. Manutenção</v>
      </c>
      <c r="B18" s="380"/>
      <c r="C18" s="103">
        <f>G133</f>
        <v>1235.94</v>
      </c>
      <c r="D18" s="304">
        <f t="shared" si="3"/>
        <v>0.12620000000000001</v>
      </c>
      <c r="E18" s="103">
        <f t="shared" si="0"/>
        <v>1235.94</v>
      </c>
      <c r="F18" s="43">
        <f t="shared" si="4"/>
        <v>0.1342487359531187</v>
      </c>
      <c r="G18" s="103">
        <f t="shared" si="2"/>
        <v>1235.94</v>
      </c>
      <c r="H18" s="26">
        <f t="shared" si="1"/>
        <v>0.14000000000000001</v>
      </c>
    </row>
    <row r="19" spans="1:10" s="2" customFormat="1" ht="15.75" customHeight="1" x14ac:dyDescent="0.2">
      <c r="A19" s="382" t="str">
        <f>A135</f>
        <v>2.6. Pneus</v>
      </c>
      <c r="B19" s="380"/>
      <c r="C19" s="103">
        <f>G141</f>
        <v>112.14</v>
      </c>
      <c r="D19" s="43">
        <f t="shared" si="3"/>
        <v>1.15E-2</v>
      </c>
      <c r="E19" s="350" t="s">
        <v>294</v>
      </c>
      <c r="F19" s="43">
        <f t="shared" si="4"/>
        <v>0</v>
      </c>
      <c r="G19" s="103" t="str">
        <f t="shared" si="2"/>
        <v>273/1128,96</v>
      </c>
      <c r="H19" s="26">
        <f t="shared" si="1"/>
        <v>0</v>
      </c>
    </row>
    <row r="20" spans="1:10" s="2" customFormat="1" ht="15.75" customHeight="1" x14ac:dyDescent="0.2">
      <c r="A20" s="345" t="str">
        <f>A143</f>
        <v>2.7. Rastreador GPS</v>
      </c>
      <c r="B20" s="344"/>
      <c r="C20" s="103">
        <f>G147</f>
        <v>72.406666666666666</v>
      </c>
      <c r="D20" s="43">
        <f t="shared" si="3"/>
        <v>7.4000000000000003E-3</v>
      </c>
      <c r="E20" s="103">
        <f t="shared" si="0"/>
        <v>72.406666666666666</v>
      </c>
      <c r="F20" s="43">
        <f t="shared" si="4"/>
        <v>7.8648668014457117E-3</v>
      </c>
      <c r="G20" s="103">
        <f t="shared" si="2"/>
        <v>72.406666666666666</v>
      </c>
      <c r="H20" s="26">
        <f t="shared" si="1"/>
        <v>8.2000000000000007E-3</v>
      </c>
    </row>
    <row r="21" spans="1:10" s="6" customFormat="1" ht="15.75" customHeight="1" x14ac:dyDescent="0.2">
      <c r="A21" s="379" t="str">
        <f>A151</f>
        <v>3. Ferramentas e Materiais de Consumo</v>
      </c>
      <c r="B21" s="380"/>
      <c r="C21" s="102">
        <f>+G159</f>
        <v>100.5</v>
      </c>
      <c r="D21" s="37">
        <f t="shared" si="3"/>
        <v>1.03E-2</v>
      </c>
      <c r="E21" s="102">
        <f t="shared" si="0"/>
        <v>100.5</v>
      </c>
      <c r="F21" s="37">
        <f t="shared" si="4"/>
        <v>1.0916385878997709E-2</v>
      </c>
      <c r="G21" s="102">
        <f>E21</f>
        <v>100.5</v>
      </c>
      <c r="H21" s="37">
        <f>ROUND(IFERROR(G21/$G$25,0),4)</f>
        <v>1.14E-2</v>
      </c>
    </row>
    <row r="22" spans="1:10" s="6" customFormat="1" ht="15.75" customHeight="1" x14ac:dyDescent="0.2">
      <c r="A22" s="381" t="str">
        <f>A164</f>
        <v>4. Benefícios e Desp. Ind. - BDI - LUCRO REAL</v>
      </c>
      <c r="B22" s="380"/>
      <c r="C22" s="102">
        <f>+G169</f>
        <v>2392.94</v>
      </c>
      <c r="D22" s="37">
        <f t="shared" si="3"/>
        <v>0.24440000000000001</v>
      </c>
      <c r="E22" s="109"/>
      <c r="F22" s="105"/>
      <c r="G22" s="111"/>
      <c r="H22" s="108"/>
    </row>
    <row r="23" spans="1:10" s="6" customFormat="1" ht="15.75" customHeight="1" x14ac:dyDescent="0.2">
      <c r="A23" s="381" t="str">
        <f>A177</f>
        <v>5. Benefícios e Desp. Ind. - BDI - LUCRO PRESUMIDO</v>
      </c>
      <c r="B23" s="380"/>
      <c r="C23" s="111"/>
      <c r="D23" s="107"/>
      <c r="E23" s="102">
        <f>G183</f>
        <v>1809.31</v>
      </c>
      <c r="F23" s="37">
        <f>(IFERROR(E23/$E$25,0))</f>
        <v>0.19652861825601337</v>
      </c>
      <c r="G23" s="111"/>
      <c r="H23" s="110"/>
    </row>
    <row r="24" spans="1:10" s="6" customFormat="1" ht="15.75" customHeight="1" thickBot="1" x14ac:dyDescent="0.25">
      <c r="A24" s="394" t="str">
        <f>A191</f>
        <v>6. Benef. Desp. Ind. + Impostos - SIMPLES NACIONAL</v>
      </c>
      <c r="B24" s="395"/>
      <c r="C24" s="112"/>
      <c r="D24" s="113"/>
      <c r="E24" s="114"/>
      <c r="F24" s="105"/>
      <c r="G24" s="115">
        <f>G194+G207</f>
        <v>1731.31</v>
      </c>
      <c r="H24" s="104">
        <f>ROUND(IFERROR(G24/$G$25,0),4)</f>
        <v>0.1961</v>
      </c>
    </row>
    <row r="25" spans="1:10" s="2" customFormat="1" ht="15.75" customHeight="1" thickBot="1" x14ac:dyDescent="0.25">
      <c r="A25" s="388" t="s">
        <v>185</v>
      </c>
      <c r="B25" s="396"/>
      <c r="C25" s="125">
        <f>C9+C13+C21+C22</f>
        <v>9789.9736666666668</v>
      </c>
      <c r="D25" s="303">
        <f>D9+D13+D21+D22</f>
        <v>0.99999999999999978</v>
      </c>
      <c r="E25" s="125">
        <f>E9+E13+E21+E23</f>
        <v>9206.3436666666676</v>
      </c>
      <c r="F25" s="302">
        <f>F9+F13+F21+F23</f>
        <v>0.98781926853262858</v>
      </c>
      <c r="G25" s="292">
        <f>G9+G13+G21+G24</f>
        <v>8828.7401666666665</v>
      </c>
      <c r="H25" s="302">
        <f>H9+H13+H21+H24</f>
        <v>0.98739999999999983</v>
      </c>
      <c r="I25" s="342"/>
      <c r="J25" s="343"/>
    </row>
    <row r="26" spans="1:10" s="2" customFormat="1" ht="15.75" customHeight="1" thickBot="1" x14ac:dyDescent="0.25">
      <c r="A26" s="388" t="s">
        <v>186</v>
      </c>
      <c r="B26" s="396"/>
      <c r="C26" s="125">
        <f>G175</f>
        <v>8.6716745205026449</v>
      </c>
      <c r="D26" s="42"/>
      <c r="E26" s="125">
        <f>G189</f>
        <v>8.1547120063303105</v>
      </c>
      <c r="F26" s="42"/>
      <c r="G26" s="125">
        <f>G214</f>
        <v>7.8202459415355978</v>
      </c>
      <c r="H26" s="42"/>
      <c r="J26" s="335"/>
    </row>
    <row r="27" spans="1:10" ht="13.5" thickBot="1" x14ac:dyDescent="0.25">
      <c r="A27" s="116"/>
      <c r="B27" s="117"/>
      <c r="C27" s="117"/>
      <c r="D27" s="117"/>
      <c r="E27" s="118"/>
      <c r="F27" s="118"/>
      <c r="G27" s="128"/>
      <c r="H27" s="179"/>
    </row>
    <row r="28" spans="1:10" s="2" customFormat="1" ht="15" customHeight="1" thickBot="1" x14ac:dyDescent="0.25">
      <c r="A28" s="367" t="s">
        <v>215</v>
      </c>
      <c r="B28" s="368"/>
      <c r="C28" s="368"/>
      <c r="D28" s="368"/>
      <c r="E28" s="368"/>
      <c r="F28" s="368"/>
      <c r="G28" s="369"/>
      <c r="H28" s="180"/>
    </row>
    <row r="29" spans="1:10" s="2" customFormat="1" ht="15" customHeight="1" thickBot="1" x14ac:dyDescent="0.25">
      <c r="A29" s="388" t="s">
        <v>201</v>
      </c>
      <c r="B29" s="387"/>
      <c r="C29" s="14"/>
      <c r="D29" s="14"/>
      <c r="E29" s="166"/>
      <c r="F29" s="160" t="s">
        <v>20</v>
      </c>
      <c r="G29" s="160" t="s">
        <v>142</v>
      </c>
      <c r="H29" s="180"/>
    </row>
    <row r="30" spans="1:10" s="2" customFormat="1" ht="15" customHeight="1" x14ac:dyDescent="0.2">
      <c r="A30" s="401" t="s">
        <v>97</v>
      </c>
      <c r="B30" s="402"/>
      <c r="C30" s="158"/>
      <c r="D30" s="158"/>
      <c r="E30" s="159"/>
      <c r="F30" s="237">
        <v>1</v>
      </c>
      <c r="G30" s="238">
        <v>2265</v>
      </c>
      <c r="H30" s="181"/>
      <c r="I30" s="308"/>
      <c r="J30" s="308"/>
    </row>
    <row r="31" spans="1:10" s="2" customFormat="1" ht="15" customHeight="1" thickBot="1" x14ac:dyDescent="0.25">
      <c r="A31" s="403" t="s">
        <v>25</v>
      </c>
      <c r="B31" s="404"/>
      <c r="C31" s="28"/>
      <c r="D31" s="28"/>
      <c r="E31" s="29"/>
      <c r="F31" s="30">
        <f>SUM(F30:F30)</f>
        <v>1</v>
      </c>
      <c r="G31" s="157">
        <f>SUM(G30:G30)</f>
        <v>2265</v>
      </c>
      <c r="H31" s="181"/>
    </row>
    <row r="32" spans="1:10" s="2" customFormat="1" ht="15" customHeight="1" thickBot="1" x14ac:dyDescent="0.25">
      <c r="A32" s="38"/>
      <c r="B32" s="20"/>
      <c r="C32" s="39"/>
      <c r="D32" s="27"/>
      <c r="E32" s="17"/>
      <c r="F32" s="17"/>
      <c r="G32" s="18"/>
      <c r="H32" s="181"/>
    </row>
    <row r="33" spans="1:10" s="2" customFormat="1" ht="33" customHeight="1" x14ac:dyDescent="0.2">
      <c r="A33" s="399" t="s">
        <v>202</v>
      </c>
      <c r="B33" s="405"/>
      <c r="C33" s="168" t="s">
        <v>183</v>
      </c>
      <c r="D33" s="168" t="s">
        <v>248</v>
      </c>
      <c r="E33" s="168" t="s">
        <v>143</v>
      </c>
      <c r="F33" s="177" t="s">
        <v>20</v>
      </c>
      <c r="G33" s="163" t="s">
        <v>144</v>
      </c>
      <c r="H33" s="181"/>
    </row>
    <row r="34" spans="1:10" s="2" customFormat="1" ht="27" customHeight="1" x14ac:dyDescent="0.2">
      <c r="A34" s="406" t="s">
        <v>275</v>
      </c>
      <c r="B34" s="407"/>
      <c r="C34" s="240">
        <v>10</v>
      </c>
      <c r="D34" s="172">
        <f>1/C34</f>
        <v>0.1</v>
      </c>
      <c r="E34" s="240">
        <v>28</v>
      </c>
      <c r="F34" s="241">
        <v>1</v>
      </c>
      <c r="G34" s="239">
        <v>468912</v>
      </c>
      <c r="H34" s="181"/>
    </row>
    <row r="35" spans="1:10" s="2" customFormat="1" ht="15" customHeight="1" thickBot="1" x14ac:dyDescent="0.25">
      <c r="A35" s="397" t="s">
        <v>176</v>
      </c>
      <c r="B35" s="398"/>
      <c r="C35" s="170"/>
      <c r="D35" s="173"/>
      <c r="E35" s="169" t="s">
        <v>267</v>
      </c>
      <c r="F35" s="242">
        <v>7.5</v>
      </c>
      <c r="G35" s="289">
        <v>5.54</v>
      </c>
      <c r="H35" s="181"/>
    </row>
    <row r="36" spans="1:10" s="2" customFormat="1" ht="15" customHeight="1" thickBot="1" x14ac:dyDescent="0.25">
      <c r="A36" s="161"/>
      <c r="B36" s="195"/>
      <c r="C36" s="90"/>
      <c r="D36" s="90"/>
      <c r="E36" s="90"/>
      <c r="F36" s="287"/>
      <c r="G36" s="288"/>
      <c r="H36" s="181"/>
    </row>
    <row r="37" spans="1:10" s="2" customFormat="1" x14ac:dyDescent="0.2">
      <c r="A37" s="399" t="s">
        <v>203</v>
      </c>
      <c r="B37" s="357"/>
      <c r="C37" s="177" t="s">
        <v>27</v>
      </c>
      <c r="D37" s="168"/>
      <c r="E37" s="168"/>
      <c r="F37" s="177" t="s">
        <v>147</v>
      </c>
      <c r="G37" s="162" t="s">
        <v>148</v>
      </c>
      <c r="H37" s="190"/>
    </row>
    <row r="38" spans="1:10" s="2" customFormat="1" ht="15" customHeight="1" x14ac:dyDescent="0.2">
      <c r="A38" s="400" t="s">
        <v>145</v>
      </c>
      <c r="B38" s="352"/>
      <c r="C38" s="171" t="s">
        <v>140</v>
      </c>
      <c r="D38" s="172"/>
      <c r="E38" s="172"/>
      <c r="F38" s="241">
        <v>80.64</v>
      </c>
      <c r="G38" s="174">
        <f>F38*F39</f>
        <v>1128.96</v>
      </c>
      <c r="H38" s="181"/>
      <c r="I38" s="308">
        <f>G38*12</f>
        <v>13547.52</v>
      </c>
      <c r="J38" s="308"/>
    </row>
    <row r="39" spans="1:10" s="2" customFormat="1" ht="15" customHeight="1" thickBot="1" x14ac:dyDescent="0.25">
      <c r="A39" s="397" t="s">
        <v>295</v>
      </c>
      <c r="B39" s="398"/>
      <c r="C39" s="169" t="s">
        <v>146</v>
      </c>
      <c r="D39" s="170"/>
      <c r="E39" s="170"/>
      <c r="F39" s="349">
        <v>14</v>
      </c>
      <c r="G39" s="167"/>
      <c r="H39" s="181"/>
      <c r="I39" s="155" t="s">
        <v>282</v>
      </c>
    </row>
    <row r="40" spans="1:10" s="2" customFormat="1" ht="15" customHeight="1" thickBot="1" x14ac:dyDescent="0.25">
      <c r="A40" s="161"/>
      <c r="B40" s="195"/>
      <c r="C40" s="90"/>
      <c r="D40" s="90"/>
      <c r="E40" s="17"/>
      <c r="F40" s="164"/>
      <c r="G40" s="165"/>
      <c r="H40" s="181"/>
      <c r="I40" s="155" t="s">
        <v>281</v>
      </c>
    </row>
    <row r="41" spans="1:10" s="2" customFormat="1" ht="15" customHeight="1" thickBot="1" x14ac:dyDescent="0.25">
      <c r="A41" s="336" t="s">
        <v>256</v>
      </c>
      <c r="B41" s="195"/>
      <c r="C41" s="177" t="s">
        <v>0</v>
      </c>
      <c r="D41" s="383" t="s">
        <v>257</v>
      </c>
      <c r="E41" s="384"/>
      <c r="F41" s="384"/>
      <c r="G41" s="385"/>
      <c r="H41" s="190"/>
    </row>
    <row r="42" spans="1:10" s="6" customFormat="1" ht="15.75" customHeight="1" thickBot="1" x14ac:dyDescent="0.25">
      <c r="A42" s="386" t="s">
        <v>258</v>
      </c>
      <c r="B42" s="387"/>
      <c r="C42" s="337">
        <f>100%/20*F39/2</f>
        <v>0.35000000000000003</v>
      </c>
      <c r="D42" s="388" t="s">
        <v>260</v>
      </c>
      <c r="E42" s="389"/>
      <c r="F42" s="389"/>
      <c r="G42" s="338"/>
      <c r="H42" s="190"/>
      <c r="I42" s="2"/>
    </row>
    <row r="43" spans="1:10" s="2" customFormat="1" ht="15" customHeight="1" thickBot="1" x14ac:dyDescent="0.25">
      <c r="A43" s="161"/>
      <c r="B43" s="195"/>
      <c r="C43" s="90"/>
      <c r="D43" s="90"/>
      <c r="E43" s="17"/>
      <c r="F43" s="164"/>
      <c r="G43" s="165"/>
      <c r="H43" s="181"/>
    </row>
    <row r="44" spans="1:10" s="2" customFormat="1" ht="15" customHeight="1" thickBot="1" x14ac:dyDescent="0.25">
      <c r="A44" s="367" t="s">
        <v>204</v>
      </c>
      <c r="B44" s="368"/>
      <c r="C44" s="368"/>
      <c r="D44" s="368"/>
      <c r="E44" s="368"/>
      <c r="F44" s="368"/>
      <c r="G44" s="369"/>
      <c r="H44" s="180"/>
    </row>
    <row r="45" spans="1:10" ht="11.25" customHeight="1" x14ac:dyDescent="0.2">
      <c r="A45" s="97" t="s">
        <v>23</v>
      </c>
      <c r="B45" s="6"/>
      <c r="E45" s="27"/>
      <c r="F45" s="27"/>
      <c r="G45" s="40"/>
      <c r="H45" s="181"/>
    </row>
    <row r="46" spans="1:10" ht="13.5" thickBot="1" x14ac:dyDescent="0.25">
      <c r="A46" s="97" t="s">
        <v>224</v>
      </c>
      <c r="B46" s="6"/>
      <c r="E46" s="27"/>
      <c r="F46" s="27"/>
      <c r="G46" s="40"/>
      <c r="H46" s="181"/>
    </row>
    <row r="47" spans="1:10" s="7" customFormat="1" ht="13.15" customHeight="1" thickBot="1" x14ac:dyDescent="0.25">
      <c r="A47" s="354" t="s">
        <v>26</v>
      </c>
      <c r="B47" s="355"/>
      <c r="C47" s="218" t="s">
        <v>27</v>
      </c>
      <c r="D47" s="218" t="s">
        <v>20</v>
      </c>
      <c r="E47" s="219" t="s">
        <v>90</v>
      </c>
      <c r="F47" s="219" t="s">
        <v>28</v>
      </c>
      <c r="G47" s="220" t="s">
        <v>29</v>
      </c>
      <c r="H47" s="220" t="s">
        <v>141</v>
      </c>
    </row>
    <row r="48" spans="1:10" x14ac:dyDescent="0.2">
      <c r="A48" s="356" t="s">
        <v>126</v>
      </c>
      <c r="B48" s="357"/>
      <c r="C48" s="8" t="s">
        <v>5</v>
      </c>
      <c r="D48" s="8">
        <v>1</v>
      </c>
      <c r="E48" s="175">
        <f>G30</f>
        <v>2265</v>
      </c>
      <c r="F48" s="9">
        <f>D48*E48</f>
        <v>2265</v>
      </c>
      <c r="G48" s="129"/>
      <c r="H48" s="129"/>
    </row>
    <row r="49" spans="1:9" x14ac:dyDescent="0.2">
      <c r="A49" s="294" t="s">
        <v>251</v>
      </c>
      <c r="B49" s="326"/>
      <c r="C49" s="89" t="s">
        <v>252</v>
      </c>
      <c r="D49" s="327"/>
      <c r="E49" s="11">
        <f>(E48/220)*0.2</f>
        <v>2.0590909090909091</v>
      </c>
      <c r="F49" s="9">
        <f>D49*E49</f>
        <v>0</v>
      </c>
      <c r="G49" s="130"/>
      <c r="H49" s="40"/>
    </row>
    <row r="50" spans="1:9" s="155" customFormat="1" ht="13.15" customHeight="1" x14ac:dyDescent="0.2">
      <c r="A50" s="334" t="s">
        <v>254</v>
      </c>
      <c r="C50" s="89" t="s">
        <v>19</v>
      </c>
      <c r="D50" s="184"/>
      <c r="E50" s="184">
        <f>((D49/F39)*5)*(SUM(E49))</f>
        <v>0</v>
      </c>
      <c r="F50" s="184">
        <f>E50</f>
        <v>0</v>
      </c>
      <c r="G50" s="130"/>
      <c r="H50" s="40"/>
      <c r="I50" s="4"/>
    </row>
    <row r="51" spans="1:9" s="6" customFormat="1" x14ac:dyDescent="0.2">
      <c r="A51" s="353" t="s">
        <v>1</v>
      </c>
      <c r="B51" s="361"/>
      <c r="C51" s="91"/>
      <c r="D51" s="91"/>
      <c r="E51" s="19"/>
      <c r="F51" s="35">
        <f>SUM(F48:F50)</f>
        <v>2265</v>
      </c>
      <c r="G51" s="131"/>
      <c r="H51" s="181"/>
    </row>
    <row r="52" spans="1:9" x14ac:dyDescent="0.2">
      <c r="A52" s="364" t="s">
        <v>2</v>
      </c>
      <c r="B52" s="352"/>
      <c r="C52" s="10" t="s">
        <v>0</v>
      </c>
      <c r="D52" s="41">
        <f>'Enc. Soc. - LR-LP e SN'!C$28*100</f>
        <v>70.61</v>
      </c>
      <c r="E52" s="11">
        <f>F51</f>
        <v>2265</v>
      </c>
      <c r="F52" s="11">
        <f>ROUND(E52*D52/100,2)</f>
        <v>1599.32</v>
      </c>
      <c r="G52" s="130"/>
      <c r="H52" s="181"/>
      <c r="I52" s="6"/>
    </row>
    <row r="53" spans="1:9" s="6" customFormat="1" x14ac:dyDescent="0.2">
      <c r="A53" s="353" t="s">
        <v>91</v>
      </c>
      <c r="B53" s="361"/>
      <c r="C53" s="81"/>
      <c r="D53" s="81"/>
      <c r="E53" s="82"/>
      <c r="F53" s="35">
        <f>F51+F52</f>
        <v>3864.3199999999997</v>
      </c>
      <c r="G53" s="131"/>
      <c r="H53" s="181"/>
    </row>
    <row r="54" spans="1:9" ht="13.5" thickBot="1" x14ac:dyDescent="0.25">
      <c r="A54" s="364" t="s">
        <v>3</v>
      </c>
      <c r="B54" s="352"/>
      <c r="C54" s="10" t="s">
        <v>4</v>
      </c>
      <c r="D54" s="176">
        <f>F30</f>
        <v>1</v>
      </c>
      <c r="E54" s="11">
        <f>F53</f>
        <v>3864.3199999999997</v>
      </c>
      <c r="F54" s="11">
        <f>D54*E54</f>
        <v>3864.3199999999997</v>
      </c>
      <c r="G54" s="221">
        <f>F54</f>
        <v>3864.3199999999997</v>
      </c>
      <c r="H54" s="221">
        <f>G54/G$38</f>
        <v>3.4229024943310655</v>
      </c>
      <c r="I54" s="6"/>
    </row>
    <row r="55" spans="1:9" s="155" customFormat="1" ht="13.9" customHeight="1" thickBot="1" x14ac:dyDescent="0.25">
      <c r="A55" s="340"/>
      <c r="B55" s="198"/>
      <c r="C55" s="198"/>
      <c r="D55" s="198"/>
      <c r="E55" s="341" t="s">
        <v>261</v>
      </c>
      <c r="F55" s="339">
        <f>C42</f>
        <v>0.35000000000000003</v>
      </c>
      <c r="G55" s="221">
        <f>F54*F55</f>
        <v>1352.5119999999999</v>
      </c>
      <c r="H55" s="221">
        <f>G55/G$38</f>
        <v>1.198015873015873</v>
      </c>
      <c r="I55" s="6"/>
    </row>
    <row r="56" spans="1:9" ht="11.25" customHeight="1" x14ac:dyDescent="0.2">
      <c r="A56" s="96"/>
      <c r="E56" s="27"/>
      <c r="F56" s="27"/>
      <c r="G56" s="128"/>
      <c r="H56" s="181"/>
      <c r="I56" s="6"/>
    </row>
    <row r="57" spans="1:9" ht="11.25" customHeight="1" x14ac:dyDescent="0.2">
      <c r="A57" s="97" t="s">
        <v>225</v>
      </c>
      <c r="B57" s="6"/>
      <c r="E57" s="27"/>
      <c r="F57" s="27"/>
      <c r="G57" s="40"/>
      <c r="H57" s="181"/>
      <c r="I57" s="6"/>
    </row>
    <row r="58" spans="1:9" ht="11.25" customHeight="1" x14ac:dyDescent="0.2">
      <c r="A58" s="366" t="s">
        <v>2</v>
      </c>
      <c r="B58" s="352"/>
      <c r="C58" s="89" t="s">
        <v>0</v>
      </c>
      <c r="D58" s="41">
        <f>'Enc. Soc. - LR-LP e SN'!C$38*100</f>
        <v>32.817279999999997</v>
      </c>
      <c r="E58" s="11">
        <f>F51</f>
        <v>2265</v>
      </c>
      <c r="F58" s="11">
        <f>ROUND(E58*D58/100,2)</f>
        <v>743.31</v>
      </c>
      <c r="G58" s="40"/>
      <c r="H58" s="181"/>
      <c r="I58" s="6"/>
    </row>
    <row r="59" spans="1:9" x14ac:dyDescent="0.2">
      <c r="A59" s="353" t="s">
        <v>91</v>
      </c>
      <c r="B59" s="361"/>
      <c r="C59" s="91"/>
      <c r="D59" s="91"/>
      <c r="E59" s="19"/>
      <c r="F59" s="36">
        <f>E58+F58</f>
        <v>3008.31</v>
      </c>
      <c r="G59" s="40"/>
      <c r="H59" s="181"/>
      <c r="I59" s="6"/>
    </row>
    <row r="60" spans="1:9" ht="12.75" customHeight="1" thickBot="1" x14ac:dyDescent="0.25">
      <c r="A60" s="364" t="s">
        <v>3</v>
      </c>
      <c r="B60" s="352"/>
      <c r="C60" s="10" t="s">
        <v>4</v>
      </c>
      <c r="D60" s="10">
        <f>D54</f>
        <v>1</v>
      </c>
      <c r="E60" s="11">
        <f>F59</f>
        <v>3008.31</v>
      </c>
      <c r="F60" s="11">
        <f>D60*E60</f>
        <v>3008.31</v>
      </c>
      <c r="G60" s="221">
        <f>F60</f>
        <v>3008.31</v>
      </c>
      <c r="H60" s="221">
        <f>G60/G$38</f>
        <v>2.664673681972789</v>
      </c>
      <c r="I60" s="6"/>
    </row>
    <row r="61" spans="1:9" s="155" customFormat="1" ht="13.9" customHeight="1" thickBot="1" x14ac:dyDescent="0.25">
      <c r="A61" s="340"/>
      <c r="B61" s="198"/>
      <c r="C61" s="198"/>
      <c r="D61" s="198"/>
      <c r="E61" s="341" t="s">
        <v>261</v>
      </c>
      <c r="F61" s="339">
        <f>F55</f>
        <v>0.35000000000000003</v>
      </c>
      <c r="G61" s="221">
        <f>F60*F61</f>
        <v>1052.9085</v>
      </c>
      <c r="H61" s="221">
        <f>G61/G$38</f>
        <v>0.93263578869047614</v>
      </c>
      <c r="I61" s="6"/>
    </row>
    <row r="62" spans="1:9" ht="11.25" customHeight="1" x14ac:dyDescent="0.2">
      <c r="A62" s="96"/>
      <c r="E62" s="27"/>
      <c r="F62" s="27"/>
      <c r="G62" s="128"/>
      <c r="H62" s="181"/>
      <c r="I62" s="6"/>
    </row>
    <row r="63" spans="1:9" ht="13.5" thickBot="1" x14ac:dyDescent="0.25">
      <c r="A63" s="97" t="s">
        <v>226</v>
      </c>
      <c r="B63" s="6"/>
      <c r="C63" s="93"/>
      <c r="E63" s="4"/>
      <c r="F63" s="4"/>
      <c r="G63" s="40"/>
      <c r="H63" s="181"/>
    </row>
    <row r="64" spans="1:9" ht="13.5" thickBot="1" x14ac:dyDescent="0.25">
      <c r="A64" s="354" t="s">
        <v>26</v>
      </c>
      <c r="B64" s="355"/>
      <c r="C64" s="218" t="s">
        <v>27</v>
      </c>
      <c r="D64" s="218" t="s">
        <v>20</v>
      </c>
      <c r="E64" s="219" t="s">
        <v>90</v>
      </c>
      <c r="F64" s="219" t="s">
        <v>28</v>
      </c>
      <c r="G64" s="220" t="s">
        <v>29</v>
      </c>
      <c r="H64" s="220" t="s">
        <v>141</v>
      </c>
    </row>
    <row r="65" spans="1:9" x14ac:dyDescent="0.2">
      <c r="A65" s="365" t="s">
        <v>40</v>
      </c>
      <c r="B65" s="357"/>
      <c r="C65" s="10" t="s">
        <v>19</v>
      </c>
      <c r="D65" s="32">
        <v>1</v>
      </c>
      <c r="E65" s="243">
        <v>6.05</v>
      </c>
      <c r="F65" s="11"/>
      <c r="G65" s="129"/>
      <c r="H65" s="129"/>
    </row>
    <row r="66" spans="1:9" x14ac:dyDescent="0.2">
      <c r="A66" s="364" t="s">
        <v>41</v>
      </c>
      <c r="B66" s="352"/>
      <c r="C66" s="10" t="s">
        <v>42</v>
      </c>
      <c r="D66" s="21">
        <v>20</v>
      </c>
      <c r="E66" s="11"/>
      <c r="F66" s="11"/>
      <c r="G66" s="130"/>
      <c r="H66" s="181"/>
    </row>
    <row r="67" spans="1:9" ht="13.5" thickBot="1" x14ac:dyDescent="0.25">
      <c r="A67" s="351" t="s">
        <v>98</v>
      </c>
      <c r="B67" s="352"/>
      <c r="C67" s="8" t="s">
        <v>6</v>
      </c>
      <c r="D67" s="21">
        <f>$D$66*2*(F30)</f>
        <v>40</v>
      </c>
      <c r="E67" s="9">
        <f>IF(E65=0,"",IFERROR((($D$66*2*$E$65)-(F48*0.06*D66/D66))/($D$66*2),"-"))</f>
        <v>2.6524999999999999</v>
      </c>
      <c r="F67" s="9">
        <f>IFERROR(D67*E67,"-")</f>
        <v>106.1</v>
      </c>
      <c r="G67" s="221">
        <f>F67</f>
        <v>106.1</v>
      </c>
      <c r="H67" s="290">
        <f>G67/G$38</f>
        <v>9.3980300453514728E-2</v>
      </c>
    </row>
    <row r="68" spans="1:9" s="155" customFormat="1" ht="13.9" customHeight="1" thickBot="1" x14ac:dyDescent="0.25">
      <c r="A68" s="340"/>
      <c r="B68" s="198"/>
      <c r="C68" s="198"/>
      <c r="D68" s="198"/>
      <c r="E68" s="341" t="s">
        <v>261</v>
      </c>
      <c r="F68" s="339">
        <f>F61</f>
        <v>0.35000000000000003</v>
      </c>
      <c r="G68" s="221">
        <f>F67*F68</f>
        <v>37.134999999999998</v>
      </c>
      <c r="H68" s="221">
        <f>G68/G$38</f>
        <v>3.2893105158730153E-2</v>
      </c>
      <c r="I68" s="6"/>
    </row>
    <row r="69" spans="1:9" ht="11.25" customHeight="1" x14ac:dyDescent="0.2">
      <c r="A69" s="96"/>
      <c r="E69" s="27"/>
      <c r="F69" s="27"/>
      <c r="G69" s="128"/>
      <c r="H69" s="181"/>
    </row>
    <row r="70" spans="1:9" ht="13.5" thickBot="1" x14ac:dyDescent="0.25">
      <c r="A70" s="97" t="s">
        <v>227</v>
      </c>
      <c r="B70" s="6"/>
      <c r="E70" s="27"/>
      <c r="F70" s="27"/>
      <c r="G70" s="132"/>
      <c r="H70" s="181"/>
    </row>
    <row r="71" spans="1:9" ht="13.5" thickBot="1" x14ac:dyDescent="0.25">
      <c r="A71" s="222" t="s">
        <v>26</v>
      </c>
      <c r="B71" s="223"/>
      <c r="C71" s="218" t="s">
        <v>27</v>
      </c>
      <c r="D71" s="218" t="s">
        <v>20</v>
      </c>
      <c r="E71" s="219" t="s">
        <v>90</v>
      </c>
      <c r="F71" s="219" t="s">
        <v>28</v>
      </c>
      <c r="G71" s="220" t="s">
        <v>29</v>
      </c>
      <c r="H71" s="220" t="s">
        <v>141</v>
      </c>
    </row>
    <row r="72" spans="1:9" ht="13.5" thickBot="1" x14ac:dyDescent="0.25">
      <c r="A72" s="351" t="s">
        <v>231</v>
      </c>
      <c r="B72" s="352"/>
      <c r="C72" s="89" t="s">
        <v>7</v>
      </c>
      <c r="D72" s="33">
        <f>D66*(F30)</f>
        <v>20</v>
      </c>
      <c r="E72" s="241">
        <f>13+26</f>
        <v>39</v>
      </c>
      <c r="F72" s="23">
        <f>D72*E72</f>
        <v>780</v>
      </c>
      <c r="G72" s="221">
        <f>F72</f>
        <v>780</v>
      </c>
      <c r="H72" s="221">
        <f>G72/G$38</f>
        <v>0.69090136054421769</v>
      </c>
    </row>
    <row r="73" spans="1:9" s="155" customFormat="1" ht="13.9" customHeight="1" thickBot="1" x14ac:dyDescent="0.25">
      <c r="A73" s="340"/>
      <c r="B73" s="198"/>
      <c r="C73" s="198"/>
      <c r="D73" s="198"/>
      <c r="E73" s="341" t="s">
        <v>261</v>
      </c>
      <c r="F73" s="339">
        <f>F68</f>
        <v>0.35000000000000003</v>
      </c>
      <c r="G73" s="221">
        <f>F72*F73</f>
        <v>273</v>
      </c>
      <c r="H73" s="221">
        <f>G73/G$38</f>
        <v>0.24181547619047619</v>
      </c>
      <c r="I73" s="6"/>
    </row>
    <row r="74" spans="1:9" x14ac:dyDescent="0.2">
      <c r="A74" s="96"/>
      <c r="E74" s="92"/>
      <c r="F74" s="92"/>
      <c r="G74" s="128"/>
      <c r="H74" s="181"/>
    </row>
    <row r="75" spans="1:9" ht="13.5" thickBot="1" x14ac:dyDescent="0.25">
      <c r="A75" s="96"/>
      <c r="E75" s="27"/>
      <c r="F75" s="27"/>
      <c r="G75" s="40"/>
      <c r="H75" s="181"/>
    </row>
    <row r="76" spans="1:9" ht="13.5" thickBot="1" x14ac:dyDescent="0.25">
      <c r="A76" s="12" t="s">
        <v>102</v>
      </c>
      <c r="B76" s="13"/>
      <c r="C76" s="13"/>
      <c r="D76" s="13"/>
      <c r="E76" s="14"/>
      <c r="F76" s="15"/>
      <c r="G76" s="224">
        <f>G55+G68+G73</f>
        <v>1662.6469999999999</v>
      </c>
      <c r="H76" s="225">
        <f>G76/G$38</f>
        <v>1.4727244543650793</v>
      </c>
    </row>
    <row r="77" spans="1:9" ht="13.5" thickBot="1" x14ac:dyDescent="0.25">
      <c r="A77" s="12" t="s">
        <v>103</v>
      </c>
      <c r="B77" s="13"/>
      <c r="C77" s="13"/>
      <c r="D77" s="13"/>
      <c r="E77" s="14"/>
      <c r="F77" s="15"/>
      <c r="G77" s="226">
        <f>G61+G68+G73</f>
        <v>1363.0435</v>
      </c>
      <c r="H77" s="221">
        <f>G77/G$38</f>
        <v>1.2073443700396824</v>
      </c>
    </row>
    <row r="78" spans="1:9" x14ac:dyDescent="0.2">
      <c r="A78" s="96"/>
      <c r="E78" s="27"/>
      <c r="F78" s="27"/>
      <c r="G78" s="128"/>
      <c r="H78" s="181"/>
    </row>
    <row r="79" spans="1:9" x14ac:dyDescent="0.2">
      <c r="A79" s="97" t="s">
        <v>189</v>
      </c>
      <c r="B79" s="6"/>
      <c r="E79" s="27"/>
      <c r="F79" s="27"/>
      <c r="G79" s="40"/>
      <c r="H79" s="181"/>
    </row>
    <row r="80" spans="1:9" ht="13.5" thickBot="1" x14ac:dyDescent="0.25">
      <c r="A80" s="97" t="s">
        <v>190</v>
      </c>
      <c r="B80" s="6"/>
      <c r="E80" s="27"/>
      <c r="F80" s="27"/>
      <c r="G80" s="40"/>
      <c r="H80" s="181"/>
    </row>
    <row r="81" spans="1:8" ht="13.5" thickBot="1" x14ac:dyDescent="0.25">
      <c r="A81" s="222" t="s">
        <v>26</v>
      </c>
      <c r="B81" s="223"/>
      <c r="C81" s="218" t="s">
        <v>27</v>
      </c>
      <c r="D81" s="218" t="s">
        <v>20</v>
      </c>
      <c r="E81" s="219" t="s">
        <v>90</v>
      </c>
      <c r="F81" s="219" t="s">
        <v>28</v>
      </c>
      <c r="G81" s="220" t="s">
        <v>29</v>
      </c>
      <c r="H81" s="220" t="s">
        <v>141</v>
      </c>
    </row>
    <row r="82" spans="1:8" x14ac:dyDescent="0.2">
      <c r="A82" s="356" t="s">
        <v>124</v>
      </c>
      <c r="B82" s="357"/>
      <c r="C82" s="8" t="s">
        <v>7</v>
      </c>
      <c r="D82" s="8">
        <v>1</v>
      </c>
      <c r="E82" s="175">
        <f>G34</f>
        <v>468912</v>
      </c>
      <c r="F82" s="9">
        <f>D82*E82</f>
        <v>468912</v>
      </c>
      <c r="G82" s="129"/>
      <c r="H82" s="129"/>
    </row>
    <row r="83" spans="1:8" x14ac:dyDescent="0.2">
      <c r="A83" s="351" t="s">
        <v>132</v>
      </c>
      <c r="B83" s="352"/>
      <c r="C83" s="10" t="s">
        <v>43</v>
      </c>
      <c r="D83" s="176">
        <f>C34</f>
        <v>10</v>
      </c>
      <c r="E83" s="31"/>
      <c r="F83" s="11"/>
      <c r="G83" s="130"/>
      <c r="H83" s="181"/>
    </row>
    <row r="84" spans="1:8" x14ac:dyDescent="0.2">
      <c r="A84" s="351" t="s">
        <v>127</v>
      </c>
      <c r="B84" s="352"/>
      <c r="C84" s="10" t="s">
        <v>0</v>
      </c>
      <c r="D84" s="41"/>
      <c r="E84" s="184">
        <f>F82</f>
        <v>468912</v>
      </c>
      <c r="F84" s="184">
        <f>D84*E84/100</f>
        <v>0</v>
      </c>
      <c r="G84" s="130"/>
      <c r="H84" s="181"/>
    </row>
    <row r="85" spans="1:8" x14ac:dyDescent="0.2">
      <c r="A85" s="353" t="s">
        <v>133</v>
      </c>
      <c r="B85" s="352"/>
      <c r="C85" s="34" t="s">
        <v>5</v>
      </c>
      <c r="D85" s="34">
        <f>D83*12</f>
        <v>120</v>
      </c>
      <c r="E85" s="35">
        <f>F84</f>
        <v>0</v>
      </c>
      <c r="F85" s="35">
        <f>IFERROR(E85/D85,0)</f>
        <v>0</v>
      </c>
      <c r="G85" s="130"/>
      <c r="H85" s="181"/>
    </row>
    <row r="86" spans="1:8" ht="13.5" thickBot="1" x14ac:dyDescent="0.25">
      <c r="A86" s="353" t="s">
        <v>94</v>
      </c>
      <c r="B86" s="352"/>
      <c r="C86" s="148" t="s">
        <v>7</v>
      </c>
      <c r="D86" s="183">
        <f>F34</f>
        <v>1</v>
      </c>
      <c r="E86" s="149">
        <f>F85</f>
        <v>0</v>
      </c>
      <c r="F86" s="35">
        <f>D86*E86</f>
        <v>0</v>
      </c>
      <c r="G86" s="221">
        <f>F86</f>
        <v>0</v>
      </c>
      <c r="H86" s="221">
        <f>G86/G$38</f>
        <v>0</v>
      </c>
    </row>
    <row r="87" spans="1:8" x14ac:dyDescent="0.2">
      <c r="A87" s="100"/>
      <c r="B87" s="87"/>
      <c r="C87" s="87"/>
      <c r="D87" s="87"/>
      <c r="E87" s="92"/>
      <c r="F87" s="92"/>
      <c r="G87" s="128"/>
      <c r="H87" s="181"/>
    </row>
    <row r="88" spans="1:8" ht="13.5" thickBot="1" x14ac:dyDescent="0.25">
      <c r="A88" s="97" t="s">
        <v>191</v>
      </c>
      <c r="B88" s="6"/>
      <c r="E88" s="27"/>
      <c r="F88" s="253"/>
      <c r="G88" s="40"/>
      <c r="H88" s="181"/>
    </row>
    <row r="89" spans="1:8" ht="13.5" thickBot="1" x14ac:dyDescent="0.25">
      <c r="A89" s="354" t="s">
        <v>26</v>
      </c>
      <c r="B89" s="355"/>
      <c r="C89" s="218" t="s">
        <v>27</v>
      </c>
      <c r="D89" s="218" t="s">
        <v>20</v>
      </c>
      <c r="E89" s="219" t="s">
        <v>90</v>
      </c>
      <c r="F89" s="219" t="s">
        <v>28</v>
      </c>
      <c r="G89" s="220" t="s">
        <v>29</v>
      </c>
      <c r="H89" s="220" t="s">
        <v>141</v>
      </c>
    </row>
    <row r="90" spans="1:8" x14ac:dyDescent="0.2">
      <c r="A90" s="356" t="s">
        <v>134</v>
      </c>
      <c r="B90" s="357"/>
      <c r="C90" s="8" t="s">
        <v>7</v>
      </c>
      <c r="D90" s="8">
        <v>1</v>
      </c>
      <c r="E90" s="9">
        <f>E82</f>
        <v>468912</v>
      </c>
      <c r="F90" s="9">
        <f>D90*E90</f>
        <v>468912</v>
      </c>
      <c r="G90" s="134"/>
      <c r="H90" s="129"/>
    </row>
    <row r="91" spans="1:8" x14ac:dyDescent="0.2">
      <c r="A91" s="364" t="s">
        <v>86</v>
      </c>
      <c r="B91" s="352"/>
      <c r="C91" s="10" t="s">
        <v>0</v>
      </c>
      <c r="D91" s="244"/>
      <c r="E91" s="11"/>
      <c r="F91" s="11"/>
      <c r="G91" s="133"/>
      <c r="H91" s="181"/>
    </row>
    <row r="92" spans="1:8" x14ac:dyDescent="0.2">
      <c r="A92" s="351" t="s">
        <v>197</v>
      </c>
      <c r="B92" s="352"/>
      <c r="C92" s="10" t="s">
        <v>19</v>
      </c>
      <c r="D92" s="45">
        <f>F90</f>
        <v>468912</v>
      </c>
      <c r="E92" s="11"/>
      <c r="F92" s="11"/>
      <c r="G92" s="133"/>
      <c r="H92" s="181"/>
    </row>
    <row r="93" spans="1:8" x14ac:dyDescent="0.2">
      <c r="A93" s="351" t="s">
        <v>196</v>
      </c>
      <c r="B93" s="352"/>
      <c r="C93" s="10"/>
      <c r="D93" s="45">
        <f>F82-F84</f>
        <v>468912</v>
      </c>
      <c r="E93" s="11"/>
      <c r="F93" s="11"/>
      <c r="G93" s="133"/>
      <c r="H93" s="181"/>
    </row>
    <row r="94" spans="1:8" x14ac:dyDescent="0.2">
      <c r="A94" s="351" t="s">
        <v>188</v>
      </c>
      <c r="B94" s="352"/>
      <c r="C94" s="10" t="s">
        <v>19</v>
      </c>
      <c r="D94" s="31">
        <f>(D92-D93)*((D83+1)/(2*D83))+D93</f>
        <v>468912</v>
      </c>
      <c r="E94" s="11"/>
      <c r="F94" s="11"/>
      <c r="G94" s="133"/>
      <c r="H94" s="181"/>
    </row>
    <row r="95" spans="1:8" x14ac:dyDescent="0.2">
      <c r="A95" s="353" t="s">
        <v>135</v>
      </c>
      <c r="B95" s="352"/>
      <c r="C95" s="34" t="s">
        <v>19</v>
      </c>
      <c r="D95" s="34"/>
      <c r="E95" s="151">
        <f>ROUND(D91*D94/12/100,2)</f>
        <v>0</v>
      </c>
      <c r="F95" s="35">
        <f>E95</f>
        <v>0</v>
      </c>
      <c r="G95" s="133"/>
      <c r="H95" s="181"/>
    </row>
    <row r="96" spans="1:8" x14ac:dyDescent="0.2">
      <c r="A96" s="353" t="s">
        <v>136</v>
      </c>
      <c r="B96" s="361"/>
      <c r="C96" s="91"/>
      <c r="D96" s="91"/>
      <c r="E96" s="19"/>
      <c r="F96" s="150">
        <f>F95</f>
        <v>0</v>
      </c>
      <c r="G96" s="133"/>
      <c r="H96" s="181"/>
    </row>
    <row r="97" spans="1:8" ht="13.5" thickBot="1" x14ac:dyDescent="0.25">
      <c r="A97" s="353" t="s">
        <v>94</v>
      </c>
      <c r="B97" s="352"/>
      <c r="C97" s="34" t="s">
        <v>7</v>
      </c>
      <c r="D97" s="10">
        <f>D86</f>
        <v>1</v>
      </c>
      <c r="E97" s="35">
        <f>F96</f>
        <v>0</v>
      </c>
      <c r="F97" s="36">
        <f>D97*E97</f>
        <v>0</v>
      </c>
      <c r="G97" s="221">
        <f>F97</f>
        <v>0</v>
      </c>
      <c r="H97" s="221">
        <f>G97/G$38</f>
        <v>0</v>
      </c>
    </row>
    <row r="98" spans="1:8" x14ac:dyDescent="0.2">
      <c r="A98" s="96"/>
      <c r="D98" s="94"/>
      <c r="E98" s="92"/>
      <c r="F98" s="92"/>
      <c r="G98" s="128"/>
      <c r="H98" s="181"/>
    </row>
    <row r="99" spans="1:8" ht="13.5" thickBot="1" x14ac:dyDescent="0.25">
      <c r="A99" s="97" t="s">
        <v>192</v>
      </c>
      <c r="B99" s="6"/>
      <c r="E99" s="27"/>
      <c r="F99" s="27"/>
      <c r="G99" s="40"/>
      <c r="H99" s="181"/>
    </row>
    <row r="100" spans="1:8" ht="13.5" thickBot="1" x14ac:dyDescent="0.25">
      <c r="A100" s="354" t="s">
        <v>26</v>
      </c>
      <c r="B100" s="355"/>
      <c r="C100" s="218" t="s">
        <v>27</v>
      </c>
      <c r="D100" s="218" t="s">
        <v>20</v>
      </c>
      <c r="E100" s="219" t="s">
        <v>90</v>
      </c>
      <c r="F100" s="219" t="s">
        <v>28</v>
      </c>
      <c r="G100" s="220" t="s">
        <v>29</v>
      </c>
      <c r="H100" s="220" t="s">
        <v>141</v>
      </c>
    </row>
    <row r="101" spans="1:8" x14ac:dyDescent="0.2">
      <c r="A101" s="365" t="s">
        <v>8</v>
      </c>
      <c r="B101" s="357"/>
      <c r="C101" s="8" t="s">
        <v>7</v>
      </c>
      <c r="D101" s="9">
        <f>D86</f>
        <v>1</v>
      </c>
      <c r="E101" s="9">
        <f>0.01*($F$82)</f>
        <v>4689.12</v>
      </c>
      <c r="F101" s="9">
        <f t="shared" ref="F101:F108" si="5">D101*E101</f>
        <v>4689.12</v>
      </c>
      <c r="G101" s="129"/>
      <c r="H101" s="129"/>
    </row>
    <row r="102" spans="1:8" x14ac:dyDescent="0.2">
      <c r="A102" s="351" t="s">
        <v>232</v>
      </c>
      <c r="B102" s="352"/>
      <c r="C102" s="10" t="s">
        <v>7</v>
      </c>
      <c r="D102" s="9">
        <f>D86</f>
        <v>1</v>
      </c>
      <c r="E102" s="241">
        <v>160.22</v>
      </c>
      <c r="F102" s="11">
        <f t="shared" si="5"/>
        <v>160.22</v>
      </c>
      <c r="G102" s="130"/>
      <c r="H102" s="181"/>
    </row>
    <row r="103" spans="1:8" x14ac:dyDescent="0.2">
      <c r="A103" s="364" t="s">
        <v>9</v>
      </c>
      <c r="B103" s="352"/>
      <c r="C103" s="10" t="s">
        <v>7</v>
      </c>
      <c r="D103" s="9">
        <f>D86</f>
        <v>1</v>
      </c>
      <c r="E103" s="241">
        <v>1310.25</v>
      </c>
      <c r="F103" s="11">
        <f t="shared" si="5"/>
        <v>1310.25</v>
      </c>
      <c r="G103" s="135"/>
      <c r="H103" s="181"/>
    </row>
    <row r="104" spans="1:8" x14ac:dyDescent="0.2">
      <c r="A104" s="351" t="s">
        <v>249</v>
      </c>
      <c r="B104" s="352"/>
      <c r="C104" s="10" t="s">
        <v>7</v>
      </c>
      <c r="D104" s="9">
        <v>1</v>
      </c>
      <c r="E104" s="241">
        <v>1171.9000000000001</v>
      </c>
      <c r="F104" s="11">
        <f t="shared" si="5"/>
        <v>1171.9000000000001</v>
      </c>
      <c r="G104" s="135"/>
      <c r="H104" s="181"/>
    </row>
    <row r="105" spans="1:8" x14ac:dyDescent="0.2">
      <c r="A105" s="351" t="s">
        <v>255</v>
      </c>
      <c r="B105" s="352"/>
      <c r="C105" s="10" t="s">
        <v>7</v>
      </c>
      <c r="D105" s="9">
        <v>1</v>
      </c>
      <c r="E105" s="241">
        <v>540.09</v>
      </c>
      <c r="F105" s="11">
        <f t="shared" si="5"/>
        <v>540.09</v>
      </c>
      <c r="G105" s="135"/>
      <c r="H105" s="181"/>
    </row>
    <row r="106" spans="1:8" x14ac:dyDescent="0.2">
      <c r="A106" s="306" t="s">
        <v>244</v>
      </c>
      <c r="B106" s="307"/>
      <c r="C106" s="10" t="s">
        <v>7</v>
      </c>
      <c r="D106" s="9">
        <v>1</v>
      </c>
      <c r="E106" s="241">
        <v>400</v>
      </c>
      <c r="F106" s="11">
        <f t="shared" si="5"/>
        <v>400</v>
      </c>
      <c r="G106" s="135"/>
      <c r="H106" s="181"/>
    </row>
    <row r="107" spans="1:8" x14ac:dyDescent="0.2">
      <c r="A107" s="306" t="s">
        <v>280</v>
      </c>
      <c r="B107" s="307"/>
      <c r="C107" s="89" t="s">
        <v>7</v>
      </c>
      <c r="D107" s="9">
        <v>1</v>
      </c>
      <c r="E107" s="241">
        <f>370*7</f>
        <v>2590</v>
      </c>
      <c r="F107" s="11">
        <f>E107*12</f>
        <v>31080</v>
      </c>
      <c r="G107" s="135"/>
      <c r="H107" s="181"/>
    </row>
    <row r="108" spans="1:8" x14ac:dyDescent="0.2">
      <c r="A108" s="351" t="s">
        <v>177</v>
      </c>
      <c r="B108" s="352"/>
      <c r="C108" s="10" t="s">
        <v>7</v>
      </c>
      <c r="D108" s="9">
        <v>1</v>
      </c>
      <c r="E108" s="241">
        <v>45</v>
      </c>
      <c r="F108" s="11">
        <f t="shared" si="5"/>
        <v>45</v>
      </c>
      <c r="G108" s="135"/>
      <c r="H108" s="181"/>
    </row>
    <row r="109" spans="1:8" ht="13.5" thickBot="1" x14ac:dyDescent="0.25">
      <c r="A109" s="353" t="s">
        <v>10</v>
      </c>
      <c r="B109" s="352"/>
      <c r="C109" s="34" t="s">
        <v>5</v>
      </c>
      <c r="D109" s="34">
        <v>12</v>
      </c>
      <c r="E109" s="35">
        <f>SUM(F101:F108)</f>
        <v>39396.58</v>
      </c>
      <c r="F109" s="35">
        <f>ROUND(E109/D109,2)</f>
        <v>3283.05</v>
      </c>
      <c r="G109" s="221">
        <f>F109</f>
        <v>3283.05</v>
      </c>
      <c r="H109" s="221">
        <f>G109/G$38</f>
        <v>2.908030399659864</v>
      </c>
    </row>
    <row r="110" spans="1:8" x14ac:dyDescent="0.2">
      <c r="A110" s="320"/>
      <c r="B110" s="321"/>
      <c r="C110" s="91"/>
      <c r="D110" s="91"/>
      <c r="E110" s="19"/>
      <c r="F110" s="19"/>
      <c r="G110" s="135"/>
      <c r="H110" s="181"/>
    </row>
    <row r="111" spans="1:8" x14ac:dyDescent="0.2">
      <c r="A111" s="97" t="s">
        <v>193</v>
      </c>
      <c r="B111" s="6"/>
      <c r="C111" s="95"/>
      <c r="E111" s="27"/>
      <c r="F111" s="27"/>
      <c r="G111" s="135"/>
      <c r="H111" s="181"/>
    </row>
    <row r="112" spans="1:8" ht="13.5" thickBot="1" x14ac:dyDescent="0.25">
      <c r="A112" s="99" t="s">
        <v>137</v>
      </c>
      <c r="B112" s="197"/>
      <c r="C112" s="178">
        <f>G38</f>
        <v>1128.96</v>
      </c>
      <c r="E112" s="27"/>
      <c r="F112" s="27"/>
      <c r="G112" s="40"/>
      <c r="H112" s="181"/>
    </row>
    <row r="113" spans="1:8" ht="13.5" thickBot="1" x14ac:dyDescent="0.25">
      <c r="A113" s="354" t="s">
        <v>26</v>
      </c>
      <c r="B113" s="355"/>
      <c r="C113" s="218" t="s">
        <v>27</v>
      </c>
      <c r="D113" s="218" t="s">
        <v>93</v>
      </c>
      <c r="E113" s="219" t="s">
        <v>90</v>
      </c>
      <c r="F113" s="219" t="s">
        <v>28</v>
      </c>
      <c r="G113" s="220" t="s">
        <v>29</v>
      </c>
      <c r="H113" s="220" t="s">
        <v>141</v>
      </c>
    </row>
    <row r="114" spans="1:8" x14ac:dyDescent="0.2">
      <c r="A114" s="365" t="s">
        <v>11</v>
      </c>
      <c r="B114" s="357"/>
      <c r="C114" s="8" t="s">
        <v>12</v>
      </c>
      <c r="D114" s="175">
        <f>F35</f>
        <v>7.5</v>
      </c>
      <c r="E114" s="175">
        <f>G35</f>
        <v>5.54</v>
      </c>
      <c r="F114" s="9"/>
      <c r="G114" s="129"/>
      <c r="H114" s="129"/>
    </row>
    <row r="115" spans="1:8" x14ac:dyDescent="0.2">
      <c r="A115" s="351" t="s">
        <v>253</v>
      </c>
      <c r="B115" s="352"/>
      <c r="C115" s="10" t="s">
        <v>13</v>
      </c>
      <c r="D115" s="32">
        <f>C112</f>
        <v>1128.96</v>
      </c>
      <c r="E115" s="86">
        <f>IFERROR(+E114/D114,"-")</f>
        <v>0.73866666666666669</v>
      </c>
      <c r="F115" s="11">
        <f>IFERROR(D115*E115,"-")</f>
        <v>833.92512000000011</v>
      </c>
      <c r="G115" s="130"/>
      <c r="H115" s="181"/>
    </row>
    <row r="116" spans="1:8" x14ac:dyDescent="0.2">
      <c r="A116" s="306" t="s">
        <v>263</v>
      </c>
      <c r="B116" s="307"/>
      <c r="C116" s="10" t="s">
        <v>12</v>
      </c>
      <c r="D116" s="241">
        <v>65</v>
      </c>
      <c r="E116" s="346">
        <v>4</v>
      </c>
      <c r="F116" s="11"/>
      <c r="G116" s="130"/>
      <c r="H116" s="181"/>
    </row>
    <row r="117" spans="1:8" x14ac:dyDescent="0.2">
      <c r="A117" s="306" t="s">
        <v>264</v>
      </c>
      <c r="B117" s="307"/>
      <c r="C117" s="10" t="s">
        <v>13</v>
      </c>
      <c r="D117" s="32">
        <f>C112</f>
        <v>1128.96</v>
      </c>
      <c r="E117" s="86">
        <f>IFERROR(+E116/D116,"-")</f>
        <v>6.1538461538461542E-2</v>
      </c>
      <c r="F117" s="11">
        <f>IFERROR(D117*E117,"-")</f>
        <v>69.47446153846154</v>
      </c>
      <c r="G117" s="130"/>
      <c r="H117" s="181"/>
    </row>
    <row r="118" spans="1:8" x14ac:dyDescent="0.2">
      <c r="A118" s="351" t="s">
        <v>206</v>
      </c>
      <c r="B118" s="352"/>
      <c r="C118" s="89" t="s">
        <v>207</v>
      </c>
      <c r="D118" s="245">
        <v>10.5</v>
      </c>
      <c r="E118" s="241">
        <v>19.3</v>
      </c>
      <c r="F118" s="11"/>
      <c r="G118" s="130"/>
      <c r="H118" s="181"/>
    </row>
    <row r="119" spans="1:8" x14ac:dyDescent="0.2">
      <c r="A119" s="364" t="s">
        <v>14</v>
      </c>
      <c r="B119" s="352"/>
      <c r="C119" s="10" t="s">
        <v>13</v>
      </c>
      <c r="D119" s="32">
        <f>D115</f>
        <v>1128.96</v>
      </c>
      <c r="E119" s="83">
        <f>+D118*E118/10000</f>
        <v>2.0265000000000002E-2</v>
      </c>
      <c r="F119" s="11">
        <f>D119*E119</f>
        <v>22.878374400000002</v>
      </c>
      <c r="G119" s="130"/>
      <c r="H119" s="181"/>
    </row>
    <row r="120" spans="1:8" x14ac:dyDescent="0.2">
      <c r="A120" s="351" t="s">
        <v>208</v>
      </c>
      <c r="B120" s="352"/>
      <c r="C120" s="89" t="s">
        <v>209</v>
      </c>
      <c r="D120" s="245">
        <v>4.5999999999999996</v>
      </c>
      <c r="E120" s="241">
        <v>22.8</v>
      </c>
      <c r="F120" s="11"/>
      <c r="G120" s="130"/>
      <c r="H120" s="181"/>
    </row>
    <row r="121" spans="1:8" x14ac:dyDescent="0.2">
      <c r="A121" s="364" t="s">
        <v>15</v>
      </c>
      <c r="B121" s="352"/>
      <c r="C121" s="10" t="s">
        <v>13</v>
      </c>
      <c r="D121" s="32">
        <f>D115</f>
        <v>1128.96</v>
      </c>
      <c r="E121" s="214">
        <f>+D120*E120/100000</f>
        <v>1.0487999999999999E-3</v>
      </c>
      <c r="F121" s="11">
        <f>D121*E121</f>
        <v>1.1840532479999999</v>
      </c>
      <c r="G121" s="130"/>
      <c r="H121" s="181"/>
    </row>
    <row r="122" spans="1:8" x14ac:dyDescent="0.2">
      <c r="A122" s="351" t="s">
        <v>211</v>
      </c>
      <c r="B122" s="352"/>
      <c r="C122" s="89" t="s">
        <v>210</v>
      </c>
      <c r="D122" s="245">
        <v>1.7</v>
      </c>
      <c r="E122" s="241">
        <v>21.95</v>
      </c>
      <c r="F122" s="11"/>
      <c r="G122" s="130"/>
      <c r="H122" s="181"/>
    </row>
    <row r="123" spans="1:8" x14ac:dyDescent="0.2">
      <c r="A123" s="364" t="s">
        <v>16</v>
      </c>
      <c r="B123" s="352"/>
      <c r="C123" s="10" t="s">
        <v>13</v>
      </c>
      <c r="D123" s="32">
        <f>D115</f>
        <v>1128.96</v>
      </c>
      <c r="E123" s="214">
        <f>+D122*E122/80000</f>
        <v>4.6643749999999995E-4</v>
      </c>
      <c r="F123" s="11">
        <f>D123*E123</f>
        <v>0.52658927999999994</v>
      </c>
      <c r="G123" s="130"/>
      <c r="H123" s="181"/>
    </row>
    <row r="124" spans="1:8" x14ac:dyDescent="0.2">
      <c r="A124" s="351" t="s">
        <v>213</v>
      </c>
      <c r="B124" s="352"/>
      <c r="C124" s="89" t="s">
        <v>212</v>
      </c>
      <c r="D124" s="245">
        <v>1</v>
      </c>
      <c r="E124" s="241">
        <v>20.9</v>
      </c>
      <c r="F124" s="11"/>
      <c r="G124" s="130"/>
      <c r="H124" s="181"/>
    </row>
    <row r="125" spans="1:8" x14ac:dyDescent="0.2">
      <c r="A125" s="364" t="s">
        <v>17</v>
      </c>
      <c r="B125" s="352"/>
      <c r="C125" s="10" t="s">
        <v>13</v>
      </c>
      <c r="D125" s="32">
        <f>D115</f>
        <v>1128.96</v>
      </c>
      <c r="E125" s="83">
        <f>+D124*E124/10000</f>
        <v>2.0899999999999998E-3</v>
      </c>
      <c r="F125" s="11">
        <f>D125*E125</f>
        <v>2.3595264</v>
      </c>
      <c r="G125" s="130"/>
      <c r="H125" s="181"/>
    </row>
    <row r="126" spans="1:8" ht="13.5" thickBot="1" x14ac:dyDescent="0.25">
      <c r="A126" s="353" t="s">
        <v>92</v>
      </c>
      <c r="B126" s="352"/>
      <c r="C126" s="34" t="s">
        <v>44</v>
      </c>
      <c r="D126" s="84"/>
      <c r="E126" s="85">
        <f>IFERROR(E115+E119+E121+E123+E125,0)</f>
        <v>0.76253690416666664</v>
      </c>
      <c r="F126" s="35">
        <f>ROUND(SUM(F114:F125),2)</f>
        <v>930.35</v>
      </c>
      <c r="G126" s="221">
        <f>F126</f>
        <v>930.35</v>
      </c>
      <c r="H126" s="221">
        <f>G126/G$38</f>
        <v>0.82407702664399096</v>
      </c>
    </row>
    <row r="127" spans="1:8" ht="11.25" customHeight="1" x14ac:dyDescent="0.2">
      <c r="A127" s="96"/>
      <c r="E127" s="27"/>
      <c r="F127" s="27"/>
      <c r="G127" s="128"/>
      <c r="H127" s="181"/>
    </row>
    <row r="128" spans="1:8" ht="13.5" thickBot="1" x14ac:dyDescent="0.25">
      <c r="A128" s="97" t="s">
        <v>194</v>
      </c>
      <c r="B128" s="6"/>
      <c r="E128" s="27"/>
      <c r="F128" s="27"/>
      <c r="G128" s="40"/>
      <c r="H128" s="181"/>
    </row>
    <row r="129" spans="1:9" ht="13.5" thickBot="1" x14ac:dyDescent="0.25">
      <c r="A129" s="354" t="s">
        <v>26</v>
      </c>
      <c r="B129" s="355"/>
      <c r="C129" s="218" t="s">
        <v>27</v>
      </c>
      <c r="D129" s="218" t="s">
        <v>20</v>
      </c>
      <c r="E129" s="219" t="s">
        <v>90</v>
      </c>
      <c r="F129" s="219" t="s">
        <v>28</v>
      </c>
      <c r="G129" s="220" t="s">
        <v>29</v>
      </c>
      <c r="H129" s="220" t="s">
        <v>141</v>
      </c>
    </row>
    <row r="130" spans="1:9" x14ac:dyDescent="0.2">
      <c r="A130" s="356" t="s">
        <v>169</v>
      </c>
      <c r="B130" s="357"/>
      <c r="C130" s="8" t="s">
        <v>44</v>
      </c>
      <c r="D130" s="32">
        <f>D115</f>
        <v>1128.96</v>
      </c>
      <c r="E130" s="246">
        <v>0.35</v>
      </c>
      <c r="F130" s="9">
        <f>D130*E130</f>
        <v>395.13599999999997</v>
      </c>
      <c r="G130" s="129"/>
      <c r="H130" s="129"/>
    </row>
    <row r="131" spans="1:9" x14ac:dyDescent="0.2">
      <c r="A131" s="351" t="s">
        <v>128</v>
      </c>
      <c r="B131" s="352"/>
      <c r="C131" s="152" t="s">
        <v>129</v>
      </c>
      <c r="D131" s="248">
        <v>4</v>
      </c>
      <c r="E131" s="247">
        <v>150</v>
      </c>
      <c r="F131" s="153">
        <f>D131*E131</f>
        <v>600</v>
      </c>
      <c r="G131" s="40"/>
      <c r="H131" s="40"/>
    </row>
    <row r="132" spans="1:9" s="155" customFormat="1" x14ac:dyDescent="0.2">
      <c r="A132" s="351" t="s">
        <v>236</v>
      </c>
      <c r="B132" s="352"/>
      <c r="C132" s="152" t="s">
        <v>129</v>
      </c>
      <c r="D132" s="300">
        <f>F39*2</f>
        <v>28</v>
      </c>
      <c r="E132" s="301">
        <v>8.6</v>
      </c>
      <c r="F132" s="153">
        <f>D132*E132</f>
        <v>240.79999999999998</v>
      </c>
      <c r="G132" s="154"/>
      <c r="H132" s="182"/>
      <c r="I132" s="4"/>
    </row>
    <row r="133" spans="1:9" s="155" customFormat="1" ht="13.5" thickBot="1" x14ac:dyDescent="0.25">
      <c r="A133" s="353" t="s">
        <v>130</v>
      </c>
      <c r="B133" s="352"/>
      <c r="C133" s="89" t="s">
        <v>131</v>
      </c>
      <c r="D133" s="156"/>
      <c r="E133" s="23"/>
      <c r="F133" s="149">
        <f>ROUND(SUM(F130:F132),2)</f>
        <v>1235.94</v>
      </c>
      <c r="G133" s="221">
        <f>F133</f>
        <v>1235.94</v>
      </c>
      <c r="H133" s="221">
        <f>G133/G$38</f>
        <v>1.0947597789115646</v>
      </c>
      <c r="I133" s="4"/>
    </row>
    <row r="134" spans="1:9" ht="11.25" customHeight="1" x14ac:dyDescent="0.2">
      <c r="A134" s="96"/>
      <c r="E134" s="27"/>
      <c r="F134" s="27"/>
      <c r="G134" s="128"/>
      <c r="H134" s="181"/>
    </row>
    <row r="135" spans="1:9" ht="13.5" thickBot="1" x14ac:dyDescent="0.25">
      <c r="A135" s="97" t="s">
        <v>195</v>
      </c>
      <c r="B135" s="6"/>
      <c r="E135" s="27"/>
      <c r="F135" s="27"/>
      <c r="G135" s="40"/>
      <c r="H135" s="181"/>
    </row>
    <row r="136" spans="1:9" ht="13.5" thickBot="1" x14ac:dyDescent="0.25">
      <c r="A136" s="354" t="s">
        <v>26</v>
      </c>
      <c r="B136" s="355"/>
      <c r="C136" s="218" t="s">
        <v>27</v>
      </c>
      <c r="D136" s="218" t="s">
        <v>20</v>
      </c>
      <c r="E136" s="219" t="s">
        <v>90</v>
      </c>
      <c r="F136" s="219" t="s">
        <v>28</v>
      </c>
      <c r="G136" s="220" t="s">
        <v>29</v>
      </c>
      <c r="H136" s="220" t="s">
        <v>141</v>
      </c>
    </row>
    <row r="137" spans="1:9" x14ac:dyDescent="0.2">
      <c r="A137" s="356" t="s">
        <v>262</v>
      </c>
      <c r="B137" s="357"/>
      <c r="C137" s="8" t="s">
        <v>7</v>
      </c>
      <c r="D137" s="249">
        <v>6</v>
      </c>
      <c r="E137" s="247">
        <v>745</v>
      </c>
      <c r="F137" s="9">
        <f>D137*E137</f>
        <v>4470</v>
      </c>
      <c r="G137" s="129"/>
      <c r="H137" s="129"/>
    </row>
    <row r="138" spans="1:9" x14ac:dyDescent="0.2">
      <c r="A138" s="294" t="s">
        <v>233</v>
      </c>
      <c r="B138" s="295"/>
      <c r="C138" s="152" t="s">
        <v>27</v>
      </c>
      <c r="D138" s="298">
        <v>0</v>
      </c>
      <c r="E138" s="296"/>
      <c r="F138" s="153"/>
      <c r="G138" s="130"/>
      <c r="H138" s="40"/>
    </row>
    <row r="139" spans="1:9" x14ac:dyDescent="0.2">
      <c r="A139" s="294" t="s">
        <v>234</v>
      </c>
      <c r="B139" s="295"/>
      <c r="C139" s="152" t="s">
        <v>27</v>
      </c>
      <c r="D139" s="153">
        <f>D137*D138</f>
        <v>0</v>
      </c>
      <c r="E139" s="247">
        <v>0</v>
      </c>
      <c r="F139" s="153">
        <f>D139*E139</f>
        <v>0</v>
      </c>
      <c r="G139" s="130"/>
      <c r="H139" s="40"/>
    </row>
    <row r="140" spans="1:9" x14ac:dyDescent="0.2">
      <c r="A140" s="351" t="s">
        <v>125</v>
      </c>
      <c r="B140" s="352"/>
      <c r="C140" s="10" t="s">
        <v>18</v>
      </c>
      <c r="D140" s="299">
        <v>45000</v>
      </c>
      <c r="E140" s="184">
        <f>F137+F139</f>
        <v>4470</v>
      </c>
      <c r="F140" s="184">
        <f>IFERROR(E140/D140,"-")</f>
        <v>9.9333333333333329E-2</v>
      </c>
      <c r="G140" s="130"/>
      <c r="H140" s="181"/>
    </row>
    <row r="141" spans="1:9" ht="13.5" thickBot="1" x14ac:dyDescent="0.25">
      <c r="A141" s="353" t="s">
        <v>24</v>
      </c>
      <c r="B141" s="352"/>
      <c r="C141" s="10" t="s">
        <v>13</v>
      </c>
      <c r="D141" s="297">
        <f>C112</f>
        <v>1128.96</v>
      </c>
      <c r="E141" s="184">
        <f>F140</f>
        <v>9.9333333333333329E-2</v>
      </c>
      <c r="F141" s="184">
        <f>ROUND(D141*E141,2)</f>
        <v>112.14</v>
      </c>
      <c r="G141" s="221">
        <f>F141</f>
        <v>112.14</v>
      </c>
      <c r="H141" s="221">
        <f>G141/G$38</f>
        <v>9.9330357142857137E-2</v>
      </c>
    </row>
    <row r="142" spans="1:9" x14ac:dyDescent="0.2">
      <c r="A142" s="96"/>
      <c r="E142" s="235"/>
      <c r="F142" s="235"/>
      <c r="G142" s="128"/>
      <c r="H142" s="181"/>
    </row>
    <row r="143" spans="1:9" ht="13.5" thickBot="1" x14ac:dyDescent="0.25">
      <c r="A143" s="97" t="s">
        <v>245</v>
      </c>
      <c r="B143" s="6"/>
      <c r="E143" s="27"/>
      <c r="F143" s="27"/>
      <c r="G143" s="40"/>
      <c r="H143" s="181"/>
    </row>
    <row r="144" spans="1:9" ht="13.5" thickBot="1" x14ac:dyDescent="0.25">
      <c r="A144" s="354" t="s">
        <v>26</v>
      </c>
      <c r="B144" s="355"/>
      <c r="C144" s="218" t="s">
        <v>27</v>
      </c>
      <c r="D144" s="218" t="s">
        <v>20</v>
      </c>
      <c r="E144" s="219" t="s">
        <v>90</v>
      </c>
      <c r="F144" s="219" t="s">
        <v>28</v>
      </c>
      <c r="G144" s="220" t="s">
        <v>29</v>
      </c>
      <c r="H144" s="220" t="s">
        <v>141</v>
      </c>
    </row>
    <row r="145" spans="1:8" x14ac:dyDescent="0.2">
      <c r="A145" s="356" t="s">
        <v>250</v>
      </c>
      <c r="B145" s="357"/>
      <c r="C145" s="152" t="s">
        <v>142</v>
      </c>
      <c r="D145" s="298">
        <v>1</v>
      </c>
      <c r="E145" s="247">
        <f>149/12</f>
        <v>12.416666666666666</v>
      </c>
      <c r="F145" s="9">
        <f>D145*E145</f>
        <v>12.416666666666666</v>
      </c>
      <c r="G145" s="129"/>
      <c r="H145" s="129"/>
    </row>
    <row r="146" spans="1:8" x14ac:dyDescent="0.2">
      <c r="A146" s="294" t="s">
        <v>246</v>
      </c>
      <c r="B146" s="295"/>
      <c r="C146" s="152" t="s">
        <v>142</v>
      </c>
      <c r="D146" s="298">
        <v>1</v>
      </c>
      <c r="E146" s="247">
        <v>59.99</v>
      </c>
      <c r="F146" s="153">
        <f>D146*E146</f>
        <v>59.99</v>
      </c>
      <c r="G146" s="130"/>
      <c r="H146" s="40"/>
    </row>
    <row r="147" spans="1:8" ht="13.5" thickBot="1" x14ac:dyDescent="0.25">
      <c r="A147" s="353" t="s">
        <v>247</v>
      </c>
      <c r="B147" s="352"/>
      <c r="C147" s="10"/>
      <c r="D147" s="297"/>
      <c r="E147" s="184"/>
      <c r="F147" s="184"/>
      <c r="G147" s="221">
        <f>F145+F146</f>
        <v>72.406666666666666</v>
      </c>
      <c r="H147" s="221">
        <f>G147/G$38</f>
        <v>6.4135723733938013E-2</v>
      </c>
    </row>
    <row r="148" spans="1:8" ht="11.25" customHeight="1" thickBot="1" x14ac:dyDescent="0.25">
      <c r="A148" s="96"/>
      <c r="E148" s="27"/>
      <c r="F148" s="27"/>
      <c r="G148" s="40"/>
      <c r="H148" s="181"/>
    </row>
    <row r="149" spans="1:8" ht="13.5" thickBot="1" x14ac:dyDescent="0.25">
      <c r="A149" s="12" t="s">
        <v>138</v>
      </c>
      <c r="B149" s="13"/>
      <c r="C149" s="13"/>
      <c r="D149" s="13"/>
      <c r="E149" s="14"/>
      <c r="F149" s="15"/>
      <c r="G149" s="227">
        <f>+SUM(G82:G148)</f>
        <v>5633.8866666666672</v>
      </c>
      <c r="H149" s="221">
        <f>G149/G$38</f>
        <v>4.9903332860922154</v>
      </c>
    </row>
    <row r="150" spans="1:8" ht="11.25" customHeight="1" x14ac:dyDescent="0.2">
      <c r="A150" s="96"/>
      <c r="E150" s="27"/>
      <c r="F150" s="27"/>
      <c r="G150" s="128"/>
      <c r="H150" s="181"/>
    </row>
    <row r="151" spans="1:8" ht="13.5" thickBot="1" x14ac:dyDescent="0.25">
      <c r="A151" s="97" t="s">
        <v>149</v>
      </c>
      <c r="B151" s="6"/>
      <c r="C151" s="6"/>
      <c r="D151" s="6"/>
      <c r="E151" s="20"/>
      <c r="F151" s="20"/>
      <c r="G151" s="136"/>
      <c r="H151" s="181"/>
    </row>
    <row r="152" spans="1:8" ht="13.5" thickBot="1" x14ac:dyDescent="0.25">
      <c r="A152" s="354" t="s">
        <v>26</v>
      </c>
      <c r="B152" s="355"/>
      <c r="C152" s="218" t="s">
        <v>27</v>
      </c>
      <c r="D152" s="218" t="s">
        <v>20</v>
      </c>
      <c r="E152" s="219" t="s">
        <v>90</v>
      </c>
      <c r="F152" s="219" t="s">
        <v>28</v>
      </c>
      <c r="G152" s="220" t="s">
        <v>29</v>
      </c>
      <c r="H152" s="220" t="s">
        <v>141</v>
      </c>
    </row>
    <row r="153" spans="1:8" x14ac:dyDescent="0.2">
      <c r="A153" s="356" t="s">
        <v>171</v>
      </c>
      <c r="B153" s="357"/>
      <c r="C153" s="89" t="s">
        <v>170</v>
      </c>
      <c r="D153" s="250">
        <f>1/12</f>
        <v>8.3333333333333329E-2</v>
      </c>
      <c r="E153" s="247">
        <v>28</v>
      </c>
      <c r="F153" s="11">
        <f>D153*E153</f>
        <v>2.333333333333333</v>
      </c>
      <c r="G153" s="137"/>
      <c r="H153" s="129"/>
    </row>
    <row r="154" spans="1:8" x14ac:dyDescent="0.2">
      <c r="A154" s="351" t="s">
        <v>172</v>
      </c>
      <c r="B154" s="352"/>
      <c r="C154" s="89" t="s">
        <v>170</v>
      </c>
      <c r="D154" s="250">
        <f>3/12</f>
        <v>0.25</v>
      </c>
      <c r="E154" s="247">
        <v>19.899999999999999</v>
      </c>
      <c r="F154" s="11">
        <f>D154*E154</f>
        <v>4.9749999999999996</v>
      </c>
      <c r="G154" s="138"/>
      <c r="H154" s="181"/>
    </row>
    <row r="155" spans="1:8" x14ac:dyDescent="0.2">
      <c r="A155" s="351" t="s">
        <v>173</v>
      </c>
      <c r="B155" s="352"/>
      <c r="C155" s="89" t="s">
        <v>170</v>
      </c>
      <c r="D155" s="250">
        <f>2/12</f>
        <v>0.16666666666666666</v>
      </c>
      <c r="E155" s="247">
        <v>14.8</v>
      </c>
      <c r="F155" s="11">
        <f>D155*E155</f>
        <v>2.4666666666666668</v>
      </c>
      <c r="G155" s="138"/>
      <c r="H155" s="181"/>
    </row>
    <row r="156" spans="1:8" ht="13.5" thickBot="1" x14ac:dyDescent="0.25">
      <c r="A156" s="351" t="s">
        <v>174</v>
      </c>
      <c r="B156" s="352"/>
      <c r="C156" s="89" t="s">
        <v>187</v>
      </c>
      <c r="D156" s="250">
        <f>4</f>
        <v>4</v>
      </c>
      <c r="E156" s="247">
        <v>17.98</v>
      </c>
      <c r="F156" s="11">
        <f>D156*E156</f>
        <v>71.92</v>
      </c>
      <c r="G156" s="138"/>
      <c r="H156" s="181"/>
    </row>
    <row r="157" spans="1:8" ht="13.5" thickBot="1" x14ac:dyDescent="0.25">
      <c r="A157" s="351" t="s">
        <v>175</v>
      </c>
      <c r="B157" s="352"/>
      <c r="C157" s="89" t="s">
        <v>170</v>
      </c>
      <c r="D157" s="250">
        <v>4</v>
      </c>
      <c r="E157" s="247">
        <v>4.7</v>
      </c>
      <c r="F157" s="11">
        <f t="shared" ref="F157" si="6">D157*E157</f>
        <v>18.8</v>
      </c>
      <c r="G157" s="225">
        <f>ROUND(SUM(F153:F157),2)</f>
        <v>100.5</v>
      </c>
      <c r="H157" s="225">
        <f>G157/G$38</f>
        <v>8.9019982993197272E-2</v>
      </c>
    </row>
    <row r="158" spans="1:8" ht="13.5" thickBot="1" x14ac:dyDescent="0.25">
      <c r="A158" s="97"/>
      <c r="B158" s="6"/>
      <c r="C158" s="6"/>
      <c r="D158" s="6"/>
      <c r="E158" s="234"/>
      <c r="F158" s="234"/>
      <c r="G158" s="4"/>
      <c r="H158" s="4"/>
    </row>
    <row r="159" spans="1:8" ht="13.5" thickBot="1" x14ac:dyDescent="0.25">
      <c r="A159" s="12" t="s">
        <v>89</v>
      </c>
      <c r="B159" s="13"/>
      <c r="C159" s="13"/>
      <c r="D159" s="13"/>
      <c r="E159" s="14"/>
      <c r="F159" s="15"/>
      <c r="G159" s="227">
        <f>+G157</f>
        <v>100.5</v>
      </c>
      <c r="H159" s="227">
        <f>G159/G$38</f>
        <v>8.9019982993197272E-2</v>
      </c>
    </row>
    <row r="160" spans="1:8" ht="11.25" customHeight="1" thickBot="1" x14ac:dyDescent="0.25">
      <c r="A160" s="96"/>
      <c r="E160" s="27"/>
      <c r="F160" s="27"/>
      <c r="G160" s="128"/>
      <c r="H160" s="128"/>
    </row>
    <row r="161" spans="1:8" ht="17.25" customHeight="1" thickBot="1" x14ac:dyDescent="0.25">
      <c r="A161" s="12" t="s">
        <v>122</v>
      </c>
      <c r="B161" s="13"/>
      <c r="C161" s="16"/>
      <c r="D161" s="16"/>
      <c r="E161" s="17"/>
      <c r="F161" s="18"/>
      <c r="G161" s="224">
        <f>+G76+G149+G159</f>
        <v>7397.0336666666672</v>
      </c>
      <c r="H161" s="224">
        <f>G161/G$38</f>
        <v>6.5520777234504912</v>
      </c>
    </row>
    <row r="162" spans="1:8" ht="17.25" customHeight="1" thickBot="1" x14ac:dyDescent="0.25">
      <c r="A162" s="12" t="s">
        <v>123</v>
      </c>
      <c r="B162" s="13"/>
      <c r="C162" s="16"/>
      <c r="D162" s="16"/>
      <c r="E162" s="17"/>
      <c r="F162" s="18"/>
      <c r="G162" s="226">
        <f>+G77+G149+G159</f>
        <v>7097.430166666667</v>
      </c>
      <c r="H162" s="226">
        <f>G162/G$38</f>
        <v>6.2866976391250944</v>
      </c>
    </row>
    <row r="163" spans="1:8" ht="11.25" customHeight="1" x14ac:dyDescent="0.2">
      <c r="A163" s="96"/>
      <c r="E163" s="27"/>
      <c r="F163" s="27"/>
      <c r="G163" s="128"/>
      <c r="H163" s="128"/>
    </row>
    <row r="164" spans="1:8" ht="13.5" thickBot="1" x14ac:dyDescent="0.25">
      <c r="A164" s="97" t="s">
        <v>150</v>
      </c>
      <c r="B164" s="6"/>
      <c r="E164" s="27"/>
      <c r="F164" s="27"/>
      <c r="G164" s="40"/>
      <c r="H164" s="40"/>
    </row>
    <row r="165" spans="1:8" ht="13.5" thickBot="1" x14ac:dyDescent="0.25">
      <c r="A165" s="354" t="s">
        <v>26</v>
      </c>
      <c r="B165" s="355"/>
      <c r="C165" s="218" t="s">
        <v>27</v>
      </c>
      <c r="D165" s="218" t="s">
        <v>20</v>
      </c>
      <c r="E165" s="219" t="s">
        <v>90</v>
      </c>
      <c r="F165" s="219" t="s">
        <v>28</v>
      </c>
      <c r="G165" s="220" t="s">
        <v>29</v>
      </c>
      <c r="H165" s="220" t="s">
        <v>141</v>
      </c>
    </row>
    <row r="166" spans="1:8" ht="13.5" thickBot="1" x14ac:dyDescent="0.25">
      <c r="A166" s="356" t="s">
        <v>151</v>
      </c>
      <c r="B166" s="357"/>
      <c r="C166" s="8" t="s">
        <v>0</v>
      </c>
      <c r="D166" s="41">
        <f>BDI!E11*100</f>
        <v>32.35</v>
      </c>
      <c r="E166" s="9">
        <f>+G161</f>
        <v>7397.0336666666672</v>
      </c>
      <c r="F166" s="9">
        <f>ROUND(D166*E166/100,2)</f>
        <v>2392.94</v>
      </c>
      <c r="G166" s="227">
        <f>+F166</f>
        <v>2392.94</v>
      </c>
      <c r="H166" s="227">
        <f>G166/G$38</f>
        <v>2.1195967970521541</v>
      </c>
    </row>
    <row r="167" spans="1:8" x14ac:dyDescent="0.2">
      <c r="A167" s="96"/>
      <c r="E167" s="27"/>
      <c r="F167" s="27"/>
      <c r="G167" s="128"/>
      <c r="H167" s="128"/>
    </row>
    <row r="168" spans="1:8" ht="11.25" customHeight="1" thickBot="1" x14ac:dyDescent="0.25">
      <c r="A168" s="96"/>
      <c r="E168" s="27"/>
      <c r="F168" s="27"/>
      <c r="G168" s="40"/>
      <c r="H168" s="40"/>
    </row>
    <row r="169" spans="1:8" ht="13.5" thickBot="1" x14ac:dyDescent="0.25">
      <c r="A169" s="12" t="s">
        <v>152</v>
      </c>
      <c r="B169" s="13"/>
      <c r="C169" s="16"/>
      <c r="D169" s="16"/>
      <c r="E169" s="17"/>
      <c r="F169" s="18"/>
      <c r="G169" s="226">
        <f>G166</f>
        <v>2392.94</v>
      </c>
      <c r="H169" s="226">
        <f>G169/G$38</f>
        <v>2.1195967970521541</v>
      </c>
    </row>
    <row r="170" spans="1:8" ht="13.5" thickBot="1" x14ac:dyDescent="0.25">
      <c r="A170" s="97"/>
      <c r="B170" s="6"/>
      <c r="C170" s="6"/>
      <c r="D170" s="6"/>
      <c r="E170" s="20"/>
      <c r="F170" s="20"/>
      <c r="G170" s="139"/>
      <c r="H170" s="139"/>
    </row>
    <row r="171" spans="1:8" ht="24.75" customHeight="1" thickBot="1" x14ac:dyDescent="0.25">
      <c r="A171" s="12" t="s">
        <v>153</v>
      </c>
      <c r="B171" s="13"/>
      <c r="C171" s="16"/>
      <c r="D171" s="16"/>
      <c r="E171" s="17"/>
      <c r="F171" s="18"/>
      <c r="G171" s="189">
        <f>G161+G169</f>
        <v>9789.9736666666668</v>
      </c>
      <c r="H171" s="226">
        <f>G171/G$38</f>
        <v>8.6716745205026449</v>
      </c>
    </row>
    <row r="172" spans="1:8" ht="12.6" customHeight="1" x14ac:dyDescent="0.2">
      <c r="A172" s="101"/>
      <c r="B172" s="24"/>
      <c r="C172" s="24"/>
      <c r="D172" s="24"/>
      <c r="E172" s="25"/>
      <c r="F172" s="25"/>
      <c r="G172" s="140"/>
      <c r="H172" s="140"/>
    </row>
    <row r="173" spans="1:8" ht="16.149999999999999" customHeight="1" x14ac:dyDescent="0.2">
      <c r="A173" s="351" t="s">
        <v>154</v>
      </c>
      <c r="B173" s="361"/>
      <c r="C173" s="79"/>
      <c r="D173" s="79"/>
      <c r="E173" s="147">
        <f>C112</f>
        <v>1128.96</v>
      </c>
      <c r="F173" s="146" t="s">
        <v>140</v>
      </c>
      <c r="G173" s="40"/>
      <c r="H173" s="40"/>
    </row>
    <row r="174" spans="1:8" ht="13.5" thickBot="1" x14ac:dyDescent="0.25">
      <c r="A174" s="96"/>
      <c r="E174" s="27"/>
      <c r="F174" s="27"/>
      <c r="G174" s="40"/>
      <c r="H174" s="40"/>
    </row>
    <row r="175" spans="1:8" ht="25.5" customHeight="1" thickBot="1" x14ac:dyDescent="0.25">
      <c r="A175" s="12" t="s">
        <v>155</v>
      </c>
      <c r="B175" s="13"/>
      <c r="C175" s="13"/>
      <c r="D175" s="13"/>
      <c r="E175" s="14"/>
      <c r="F175" s="145" t="s">
        <v>141</v>
      </c>
      <c r="G175" s="358">
        <f>IFERROR(G171/E173,"-")</f>
        <v>8.6716745205026449</v>
      </c>
      <c r="H175" s="359"/>
    </row>
    <row r="176" spans="1:8" ht="12.6" customHeight="1" x14ac:dyDescent="0.2">
      <c r="A176" s="97"/>
      <c r="B176" s="6"/>
      <c r="C176" s="6"/>
      <c r="D176" s="6"/>
      <c r="E176" s="20"/>
      <c r="F176" s="20"/>
      <c r="G176" s="141"/>
      <c r="H176" s="141"/>
    </row>
    <row r="177" spans="1:8" x14ac:dyDescent="0.2">
      <c r="A177" s="97" t="s">
        <v>156</v>
      </c>
      <c r="B177" s="6"/>
      <c r="E177" s="27"/>
      <c r="F177" s="27"/>
      <c r="G177" s="40"/>
      <c r="H177" s="40"/>
    </row>
    <row r="178" spans="1:8" ht="11.25" customHeight="1" thickBot="1" x14ac:dyDescent="0.25">
      <c r="A178" s="96"/>
      <c r="E178" s="27"/>
      <c r="F178" s="27"/>
      <c r="G178" s="40"/>
      <c r="H178" s="40"/>
    </row>
    <row r="179" spans="1:8" ht="13.5" thickBot="1" x14ac:dyDescent="0.25">
      <c r="A179" s="222" t="s">
        <v>26</v>
      </c>
      <c r="B179" s="223"/>
      <c r="C179" s="218" t="s">
        <v>27</v>
      </c>
      <c r="D179" s="218" t="s">
        <v>20</v>
      </c>
      <c r="E179" s="219" t="s">
        <v>90</v>
      </c>
      <c r="F179" s="219" t="s">
        <v>28</v>
      </c>
      <c r="G179" s="220" t="s">
        <v>29</v>
      </c>
      <c r="H179" s="220" t="s">
        <v>141</v>
      </c>
    </row>
    <row r="180" spans="1:8" ht="13.5" thickBot="1" x14ac:dyDescent="0.25">
      <c r="A180" s="356" t="s">
        <v>139</v>
      </c>
      <c r="B180" s="357"/>
      <c r="C180" s="8" t="s">
        <v>0</v>
      </c>
      <c r="D180" s="41">
        <f>BDI!E$24*100</f>
        <v>24.46</v>
      </c>
      <c r="E180" s="9">
        <f>G161</f>
        <v>7397.0336666666672</v>
      </c>
      <c r="F180" s="9">
        <f>ROUND(D180*E180/100,2)</f>
        <v>1809.31</v>
      </c>
      <c r="G180" s="227">
        <f>+F180</f>
        <v>1809.31</v>
      </c>
      <c r="H180" s="227">
        <f>G180/G$38</f>
        <v>1.6026342828798186</v>
      </c>
    </row>
    <row r="181" spans="1:8" x14ac:dyDescent="0.2">
      <c r="A181" s="96"/>
      <c r="E181" s="27"/>
      <c r="F181" s="27"/>
      <c r="G181" s="141"/>
      <c r="H181" s="141"/>
    </row>
    <row r="182" spans="1:8" ht="11.25" customHeight="1" thickBot="1" x14ac:dyDescent="0.25">
      <c r="A182" s="96"/>
      <c r="E182" s="27"/>
      <c r="F182" s="27"/>
      <c r="G182" s="40"/>
      <c r="H182" s="40"/>
    </row>
    <row r="183" spans="1:8" ht="13.5" thickBot="1" x14ac:dyDescent="0.25">
      <c r="A183" s="12" t="s">
        <v>157</v>
      </c>
      <c r="B183" s="13"/>
      <c r="C183" s="16"/>
      <c r="D183" s="16"/>
      <c r="E183" s="17"/>
      <c r="F183" s="18"/>
      <c r="G183" s="226">
        <f>G180</f>
        <v>1809.31</v>
      </c>
      <c r="H183" s="226">
        <f>G183/G$38</f>
        <v>1.6026342828798186</v>
      </c>
    </row>
    <row r="184" spans="1:8" ht="13.5" thickBot="1" x14ac:dyDescent="0.25">
      <c r="A184" s="97"/>
      <c r="B184" s="6"/>
      <c r="C184" s="6"/>
      <c r="D184" s="6"/>
      <c r="E184" s="20"/>
      <c r="F184" s="20"/>
      <c r="G184" s="139"/>
      <c r="H184" s="139"/>
    </row>
    <row r="185" spans="1:8" ht="24.75" customHeight="1" thickBot="1" x14ac:dyDescent="0.25">
      <c r="A185" s="12" t="s">
        <v>158</v>
      </c>
      <c r="B185" s="13"/>
      <c r="C185" s="16"/>
      <c r="D185" s="16"/>
      <c r="E185" s="17"/>
      <c r="F185" s="18"/>
      <c r="G185" s="189">
        <f>G161+G183</f>
        <v>9206.3436666666676</v>
      </c>
      <c r="H185" s="226">
        <f>G185/G$38</f>
        <v>8.1547120063303105</v>
      </c>
    </row>
    <row r="186" spans="1:8" ht="12.6" customHeight="1" x14ac:dyDescent="0.2">
      <c r="A186" s="101"/>
      <c r="B186" s="24"/>
      <c r="C186" s="24"/>
      <c r="D186" s="24"/>
      <c r="E186" s="25"/>
      <c r="F186" s="25"/>
      <c r="G186" s="140"/>
      <c r="H186" s="140"/>
    </row>
    <row r="187" spans="1:8" ht="16.149999999999999" customHeight="1" x14ac:dyDescent="0.2">
      <c r="A187" s="144" t="s">
        <v>159</v>
      </c>
      <c r="B187" s="198"/>
      <c r="C187" s="79"/>
      <c r="D187" s="79"/>
      <c r="E187" s="147">
        <f>E$173</f>
        <v>1128.96</v>
      </c>
      <c r="F187" s="146" t="s">
        <v>140</v>
      </c>
      <c r="G187" s="40"/>
      <c r="H187" s="40"/>
    </row>
    <row r="188" spans="1:8" ht="13.5" thickBot="1" x14ac:dyDescent="0.25">
      <c r="A188" s="96"/>
      <c r="E188" s="27"/>
      <c r="F188" s="27"/>
      <c r="G188" s="40"/>
      <c r="H188" s="40"/>
    </row>
    <row r="189" spans="1:8" ht="25.5" customHeight="1" thickBot="1" x14ac:dyDescent="0.25">
      <c r="A189" s="12" t="s">
        <v>160</v>
      </c>
      <c r="B189" s="13"/>
      <c r="C189" s="13"/>
      <c r="D189" s="13"/>
      <c r="E189" s="14"/>
      <c r="F189" s="145" t="s">
        <v>141</v>
      </c>
      <c r="G189" s="358">
        <f>IFERROR(G185/E187,"-")</f>
        <v>8.1547120063303105</v>
      </c>
      <c r="H189" s="359"/>
    </row>
    <row r="190" spans="1:8" x14ac:dyDescent="0.2">
      <c r="A190" s="116"/>
      <c r="B190" s="117"/>
      <c r="C190" s="117"/>
      <c r="D190" s="117"/>
      <c r="E190" s="118"/>
      <c r="F190" s="118"/>
      <c r="G190" s="128"/>
      <c r="H190" s="128"/>
    </row>
    <row r="191" spans="1:8" x14ac:dyDescent="0.2">
      <c r="A191" s="127" t="s">
        <v>161</v>
      </c>
      <c r="B191" s="199"/>
      <c r="E191" s="27"/>
      <c r="F191" s="27"/>
      <c r="G191" s="40"/>
      <c r="H191" s="40"/>
    </row>
    <row r="192" spans="1:8" ht="11.25" customHeight="1" thickBot="1" x14ac:dyDescent="0.25">
      <c r="A192" s="96"/>
      <c r="E192" s="27"/>
      <c r="F192" s="27"/>
      <c r="G192" s="40"/>
      <c r="H192" s="40"/>
    </row>
    <row r="193" spans="1:11" ht="13.5" thickBot="1" x14ac:dyDescent="0.25">
      <c r="A193" s="222" t="s">
        <v>26</v>
      </c>
      <c r="B193" s="223"/>
      <c r="C193" s="218" t="s">
        <v>27</v>
      </c>
      <c r="D193" s="218" t="s">
        <v>20</v>
      </c>
      <c r="E193" s="219" t="s">
        <v>90</v>
      </c>
      <c r="F193" s="219" t="s">
        <v>28</v>
      </c>
      <c r="G193" s="220" t="s">
        <v>29</v>
      </c>
      <c r="H193" s="220" t="s">
        <v>141</v>
      </c>
    </row>
    <row r="194" spans="1:11" ht="13.5" thickBot="1" x14ac:dyDescent="0.25">
      <c r="A194" s="98" t="s">
        <v>162</v>
      </c>
      <c r="B194" s="196"/>
      <c r="C194" s="8" t="s">
        <v>0</v>
      </c>
      <c r="D194" s="41">
        <f>BDI!C35*100</f>
        <v>16.93</v>
      </c>
      <c r="E194" s="9">
        <f>G162</f>
        <v>7097.430166666667</v>
      </c>
      <c r="F194" s="9">
        <f>ROUND(D194*E194/100,2)</f>
        <v>1201.5899999999999</v>
      </c>
      <c r="G194" s="227">
        <f>+F194</f>
        <v>1201.5899999999999</v>
      </c>
      <c r="H194" s="227">
        <f>G194/G$38</f>
        <v>1.0643335459183672</v>
      </c>
    </row>
    <row r="195" spans="1:11" x14ac:dyDescent="0.2">
      <c r="A195" s="96"/>
      <c r="E195" s="27"/>
      <c r="F195" s="27"/>
      <c r="G195" s="128"/>
      <c r="H195" s="128"/>
    </row>
    <row r="196" spans="1:11" ht="11.25" customHeight="1" thickBot="1" x14ac:dyDescent="0.25">
      <c r="A196" s="96"/>
      <c r="E196" s="27"/>
      <c r="F196" s="27"/>
      <c r="G196" s="142"/>
      <c r="H196" s="142"/>
    </row>
    <row r="197" spans="1:11" ht="13.5" thickBot="1" x14ac:dyDescent="0.25">
      <c r="A197" s="12" t="s">
        <v>163</v>
      </c>
      <c r="B197" s="13"/>
      <c r="C197" s="16"/>
      <c r="D197" s="16"/>
      <c r="E197" s="17"/>
      <c r="F197" s="18"/>
      <c r="G197" s="226">
        <f>G194</f>
        <v>1201.5899999999999</v>
      </c>
      <c r="H197" s="226">
        <f>G197/G$38</f>
        <v>1.0643335459183672</v>
      </c>
    </row>
    <row r="198" spans="1:11" ht="13.5" thickBot="1" x14ac:dyDescent="0.25">
      <c r="A198" s="97"/>
      <c r="B198" s="6"/>
      <c r="C198" s="6"/>
      <c r="D198" s="6"/>
      <c r="E198" s="20"/>
      <c r="F198" s="20"/>
      <c r="G198" s="139"/>
      <c r="H198" s="139"/>
    </row>
    <row r="199" spans="1:11" ht="24.75" customHeight="1" thickBot="1" x14ac:dyDescent="0.25">
      <c r="A199" s="12" t="s">
        <v>164</v>
      </c>
      <c r="B199" s="13"/>
      <c r="C199" s="16"/>
      <c r="D199" s="16"/>
      <c r="E199" s="17"/>
      <c r="F199" s="18"/>
      <c r="G199" s="226">
        <f>E194+G197</f>
        <v>8299.0201666666671</v>
      </c>
      <c r="H199" s="226">
        <f>G199/G$38</f>
        <v>7.3510311850434622</v>
      </c>
    </row>
    <row r="200" spans="1:11" ht="12.6" customHeight="1" x14ac:dyDescent="0.2">
      <c r="A200" s="101"/>
      <c r="B200" s="24"/>
      <c r="C200" s="24"/>
      <c r="D200" s="24"/>
      <c r="E200" s="25"/>
      <c r="F200" s="25"/>
      <c r="G200" s="140"/>
      <c r="H200" s="140"/>
    </row>
    <row r="201" spans="1:11" ht="12.6" customHeight="1" x14ac:dyDescent="0.2">
      <c r="A201" s="101" t="s">
        <v>121</v>
      </c>
      <c r="B201" s="24"/>
      <c r="C201" s="24"/>
      <c r="D201" s="24"/>
      <c r="E201" s="25"/>
      <c r="F201" s="25"/>
      <c r="G201" s="142"/>
      <c r="H201" s="142"/>
    </row>
    <row r="202" spans="1:11" x14ac:dyDescent="0.2">
      <c r="A202" s="143" t="s">
        <v>118</v>
      </c>
      <c r="B202" s="6"/>
      <c r="E202" s="27"/>
      <c r="F202" s="27"/>
      <c r="G202" s="40"/>
      <c r="H202" s="40"/>
    </row>
    <row r="203" spans="1:11" x14ac:dyDescent="0.2">
      <c r="A203" s="97" t="s">
        <v>116</v>
      </c>
      <c r="B203" s="6"/>
      <c r="E203" s="27"/>
      <c r="F203" s="27"/>
      <c r="G203" s="40"/>
      <c r="H203" s="40"/>
    </row>
    <row r="204" spans="1:11" x14ac:dyDescent="0.2">
      <c r="A204" s="362" t="s">
        <v>276</v>
      </c>
      <c r="B204" s="363"/>
      <c r="E204" s="27"/>
      <c r="F204" s="27"/>
      <c r="G204" s="40"/>
      <c r="H204" s="40"/>
    </row>
    <row r="205" spans="1:11" ht="11.25" customHeight="1" thickBot="1" x14ac:dyDescent="0.25">
      <c r="A205" s="119"/>
      <c r="E205" s="27"/>
      <c r="F205" s="27"/>
      <c r="G205" s="40"/>
      <c r="H205" s="40"/>
    </row>
    <row r="206" spans="1:11" ht="15.75" thickBot="1" x14ac:dyDescent="0.3">
      <c r="A206" s="222" t="s">
        <v>26</v>
      </c>
      <c r="B206" s="223"/>
      <c r="C206" s="218" t="s">
        <v>27</v>
      </c>
      <c r="D206" s="218" t="s">
        <v>20</v>
      </c>
      <c r="E206" s="219" t="s">
        <v>117</v>
      </c>
      <c r="F206" s="219" t="s">
        <v>28</v>
      </c>
      <c r="G206" s="220" t="s">
        <v>29</v>
      </c>
      <c r="H206" s="220" t="s">
        <v>141</v>
      </c>
      <c r="I206" s="328"/>
    </row>
    <row r="207" spans="1:11" ht="15.75" thickBot="1" x14ac:dyDescent="0.3">
      <c r="A207" s="356" t="s">
        <v>165</v>
      </c>
      <c r="B207" s="357"/>
      <c r="C207" s="120" t="s">
        <v>0</v>
      </c>
      <c r="D207" s="251">
        <v>6</v>
      </c>
      <c r="E207" s="121">
        <f>G199</f>
        <v>8299.0201666666671</v>
      </c>
      <c r="F207" s="9">
        <f>ROUND(G210*(D207/100),2)</f>
        <v>529.72</v>
      </c>
      <c r="G207" s="226">
        <f>F207</f>
        <v>529.72</v>
      </c>
      <c r="H207" s="226">
        <f>G207/G$38</f>
        <v>0.46921060090702948</v>
      </c>
      <c r="I207" s="330"/>
      <c r="J207" s="331">
        <f>G210*12</f>
        <v>105944.93829787234</v>
      </c>
      <c r="K207" s="331"/>
    </row>
    <row r="208" spans="1:11" ht="15.75" x14ac:dyDescent="0.25">
      <c r="A208" s="96"/>
      <c r="E208" s="27"/>
      <c r="F208" s="27"/>
      <c r="G208" s="140"/>
      <c r="H208" s="140"/>
      <c r="I208" s="328"/>
      <c r="J208" s="328"/>
      <c r="K208" s="328"/>
    </row>
    <row r="209" spans="1:11" ht="15.75" thickBot="1" x14ac:dyDescent="0.3">
      <c r="A209" s="122"/>
      <c r="B209" s="123"/>
      <c r="C209" s="123"/>
      <c r="D209" s="123"/>
      <c r="E209" s="124"/>
      <c r="F209" s="124"/>
      <c r="G209" s="40"/>
      <c r="H209" s="40"/>
      <c r="I209" s="332"/>
      <c r="J209" s="332"/>
      <c r="K209" s="333"/>
    </row>
    <row r="210" spans="1:11" ht="24.75" customHeight="1" thickBot="1" x14ac:dyDescent="0.25">
      <c r="A210" s="12" t="s">
        <v>166</v>
      </c>
      <c r="B210" s="13"/>
      <c r="C210" s="16"/>
      <c r="D210" s="16"/>
      <c r="E210" s="17"/>
      <c r="F210" s="18"/>
      <c r="G210" s="189">
        <f>E207/((100-D207)/100)</f>
        <v>8828.7448581560293</v>
      </c>
      <c r="H210" s="226">
        <f>G210/G$38</f>
        <v>7.8202459415355978</v>
      </c>
    </row>
    <row r="211" spans="1:11" ht="12.6" customHeight="1" x14ac:dyDescent="0.2">
      <c r="A211" s="101"/>
      <c r="B211" s="24"/>
      <c r="C211" s="24"/>
      <c r="D211" s="24"/>
      <c r="E211" s="25"/>
      <c r="F211" s="25"/>
      <c r="G211" s="140"/>
      <c r="H211" s="140"/>
    </row>
    <row r="212" spans="1:11" ht="16.149999999999999" customHeight="1" x14ac:dyDescent="0.2">
      <c r="A212" s="144" t="s">
        <v>167</v>
      </c>
      <c r="B212" s="198"/>
      <c r="C212" s="79"/>
      <c r="D212" s="79"/>
      <c r="E212" s="147">
        <f>E$173</f>
        <v>1128.96</v>
      </c>
      <c r="F212" s="146" t="s">
        <v>140</v>
      </c>
      <c r="G212" s="40"/>
      <c r="H212" s="40"/>
    </row>
    <row r="213" spans="1:11" ht="13.5" thickBot="1" x14ac:dyDescent="0.25">
      <c r="A213" s="96"/>
      <c r="E213" s="27"/>
      <c r="F213" s="27"/>
      <c r="G213" s="40"/>
      <c r="H213" s="40"/>
    </row>
    <row r="214" spans="1:11" ht="25.5" customHeight="1" thickBot="1" x14ac:dyDescent="0.25">
      <c r="A214" s="12" t="s">
        <v>168</v>
      </c>
      <c r="B214" s="13"/>
      <c r="C214" s="13"/>
      <c r="D214" s="13"/>
      <c r="E214" s="14"/>
      <c r="F214" s="145" t="s">
        <v>141</v>
      </c>
      <c r="G214" s="358">
        <f>IFERROR(G210/E212,"-")</f>
        <v>7.8202459415355978</v>
      </c>
      <c r="H214" s="359"/>
    </row>
    <row r="215" spans="1:11" ht="9" customHeight="1" x14ac:dyDescent="0.2">
      <c r="E215" s="4"/>
      <c r="F215" s="4"/>
      <c r="G215" s="4"/>
      <c r="H215" s="27"/>
    </row>
    <row r="216" spans="1:11" x14ac:dyDescent="0.2">
      <c r="H216" s="27"/>
    </row>
    <row r="217" spans="1:11" x14ac:dyDescent="0.2">
      <c r="H217" s="27"/>
    </row>
    <row r="218" spans="1:11" x14ac:dyDescent="0.2">
      <c r="A218" s="6"/>
      <c r="B218" s="6"/>
      <c r="C218" s="6"/>
      <c r="D218" s="6"/>
      <c r="E218" s="286"/>
      <c r="F218" s="286"/>
      <c r="G218" s="286"/>
      <c r="H218" s="20"/>
    </row>
    <row r="219" spans="1:11" x14ac:dyDescent="0.2">
      <c r="A219" s="6"/>
      <c r="B219" s="6"/>
      <c r="C219" s="6"/>
      <c r="D219" s="6"/>
      <c r="E219" s="286"/>
      <c r="F219" s="286"/>
      <c r="G219" s="286"/>
      <c r="H219" s="20"/>
    </row>
    <row r="220" spans="1:11" x14ac:dyDescent="0.2">
      <c r="A220" s="6"/>
      <c r="B220" s="6"/>
      <c r="C220" s="6"/>
      <c r="D220" s="6"/>
      <c r="E220" s="286"/>
      <c r="F220" s="286"/>
      <c r="G220" s="286"/>
      <c r="H220" s="20"/>
    </row>
    <row r="221" spans="1:11" x14ac:dyDescent="0.2">
      <c r="A221" s="6"/>
      <c r="B221" s="6"/>
      <c r="C221" s="6"/>
      <c r="D221" s="6"/>
      <c r="E221" s="286"/>
      <c r="F221" s="286"/>
      <c r="G221" s="286"/>
      <c r="H221" s="20"/>
    </row>
    <row r="222" spans="1:11" x14ac:dyDescent="0.2">
      <c r="A222" s="6"/>
      <c r="B222" s="6"/>
      <c r="C222" s="360"/>
      <c r="D222" s="360"/>
      <c r="E222" s="360"/>
      <c r="F222" s="286"/>
      <c r="G222" s="286"/>
      <c r="H222" s="20"/>
    </row>
    <row r="223" spans="1:11" x14ac:dyDescent="0.2">
      <c r="A223" s="6"/>
      <c r="B223" s="6"/>
      <c r="C223" s="360"/>
      <c r="D223" s="360"/>
      <c r="E223" s="360"/>
      <c r="F223" s="286"/>
      <c r="G223" s="286"/>
      <c r="H223" s="20"/>
    </row>
    <row r="224" spans="1:11" x14ac:dyDescent="0.2">
      <c r="A224" s="6"/>
      <c r="B224" s="6"/>
      <c r="C224" s="360"/>
      <c r="D224" s="360"/>
      <c r="E224" s="360"/>
      <c r="F224" s="286"/>
      <c r="G224" s="286"/>
      <c r="H224" s="20"/>
    </row>
    <row r="225" spans="8:8" x14ac:dyDescent="0.2">
      <c r="H225" s="27"/>
    </row>
    <row r="226" spans="8:8" x14ac:dyDescent="0.2">
      <c r="H226" s="27"/>
    </row>
    <row r="227" spans="8:8" x14ac:dyDescent="0.2">
      <c r="H227" s="27"/>
    </row>
  </sheetData>
  <mergeCells count="117">
    <mergeCell ref="C224:E224"/>
    <mergeCell ref="G189:H189"/>
    <mergeCell ref="A204:B204"/>
    <mergeCell ref="A207:B207"/>
    <mergeCell ref="G214:H214"/>
    <mergeCell ref="C222:E222"/>
    <mergeCell ref="C223:E223"/>
    <mergeCell ref="A157:B157"/>
    <mergeCell ref="A165:B165"/>
    <mergeCell ref="A166:B166"/>
    <mergeCell ref="A173:B173"/>
    <mergeCell ref="G175:H175"/>
    <mergeCell ref="A180:B180"/>
    <mergeCell ref="A147:B147"/>
    <mergeCell ref="A152:B152"/>
    <mergeCell ref="A153:B153"/>
    <mergeCell ref="A154:B154"/>
    <mergeCell ref="A155:B155"/>
    <mergeCell ref="A156:B156"/>
    <mergeCell ref="A136:B136"/>
    <mergeCell ref="A137:B137"/>
    <mergeCell ref="A140:B140"/>
    <mergeCell ref="A141:B141"/>
    <mergeCell ref="A144:B144"/>
    <mergeCell ref="A145:B145"/>
    <mergeCell ref="A126:B126"/>
    <mergeCell ref="A129:B129"/>
    <mergeCell ref="A130:B130"/>
    <mergeCell ref="A131:B131"/>
    <mergeCell ref="A132:B132"/>
    <mergeCell ref="A133:B133"/>
    <mergeCell ref="A120:B120"/>
    <mergeCell ref="A121:B121"/>
    <mergeCell ref="A122:B122"/>
    <mergeCell ref="A123:B123"/>
    <mergeCell ref="A124:B124"/>
    <mergeCell ref="A125:B125"/>
    <mergeCell ref="A109:B109"/>
    <mergeCell ref="A113:B113"/>
    <mergeCell ref="A114:B114"/>
    <mergeCell ref="A115:B115"/>
    <mergeCell ref="A118:B118"/>
    <mergeCell ref="A119:B119"/>
    <mergeCell ref="A101:B101"/>
    <mergeCell ref="A102:B102"/>
    <mergeCell ref="A103:B103"/>
    <mergeCell ref="A104:B104"/>
    <mergeCell ref="A105:B105"/>
    <mergeCell ref="A108:B108"/>
    <mergeCell ref="A93:B93"/>
    <mergeCell ref="A94:B94"/>
    <mergeCell ref="A95:B95"/>
    <mergeCell ref="A96:B96"/>
    <mergeCell ref="A97:B97"/>
    <mergeCell ref="A100:B100"/>
    <mergeCell ref="A85:B85"/>
    <mergeCell ref="A86:B86"/>
    <mergeCell ref="A89:B89"/>
    <mergeCell ref="A90:B90"/>
    <mergeCell ref="A91:B91"/>
    <mergeCell ref="A92:B92"/>
    <mergeCell ref="A66:B66"/>
    <mergeCell ref="A67:B67"/>
    <mergeCell ref="A72:B72"/>
    <mergeCell ref="A82:B82"/>
    <mergeCell ref="A83:B83"/>
    <mergeCell ref="A84:B84"/>
    <mergeCell ref="A54:B54"/>
    <mergeCell ref="A58:B58"/>
    <mergeCell ref="A59:B59"/>
    <mergeCell ref="A60:B60"/>
    <mergeCell ref="A64:B64"/>
    <mergeCell ref="A65:B65"/>
    <mergeCell ref="A44:G44"/>
    <mergeCell ref="A47:B47"/>
    <mergeCell ref="A48:B48"/>
    <mergeCell ref="A51:B51"/>
    <mergeCell ref="A52:B52"/>
    <mergeCell ref="A53:B53"/>
    <mergeCell ref="A35:B35"/>
    <mergeCell ref="A37:B37"/>
    <mergeCell ref="A38:B38"/>
    <mergeCell ref="A39:B39"/>
    <mergeCell ref="D41:G41"/>
    <mergeCell ref="A42:B42"/>
    <mergeCell ref="D42:F42"/>
    <mergeCell ref="A28:G28"/>
    <mergeCell ref="A29:B29"/>
    <mergeCell ref="A30:B30"/>
    <mergeCell ref="A31:B31"/>
    <mergeCell ref="A33:B33"/>
    <mergeCell ref="A34:B34"/>
    <mergeCell ref="A21:B21"/>
    <mergeCell ref="A22:B22"/>
    <mergeCell ref="A23:B23"/>
    <mergeCell ref="A24:B24"/>
    <mergeCell ref="A25:B25"/>
    <mergeCell ref="A26:B26"/>
    <mergeCell ref="A16:B16"/>
    <mergeCell ref="A17:B17"/>
    <mergeCell ref="A18:B18"/>
    <mergeCell ref="A19:B19"/>
    <mergeCell ref="A8:B8"/>
    <mergeCell ref="A9:B9"/>
    <mergeCell ref="A10:B10"/>
    <mergeCell ref="A11:B11"/>
    <mergeCell ref="A12:B12"/>
    <mergeCell ref="A13:B13"/>
    <mergeCell ref="A1:H1"/>
    <mergeCell ref="D3:E3"/>
    <mergeCell ref="G3:H3"/>
    <mergeCell ref="B4:C4"/>
    <mergeCell ref="C7:D7"/>
    <mergeCell ref="E7:F7"/>
    <mergeCell ref="G7:H7"/>
    <mergeCell ref="A14:B14"/>
    <mergeCell ref="A15:B15"/>
  </mergeCells>
  <pageMargins left="0.39370078740157483" right="0" top="0.59055118110236227" bottom="0.39370078740157483" header="0" footer="0"/>
  <pageSetup paperSize="9" scale="82" fitToHeight="0" orientation="portrait" r:id="rId1"/>
  <headerFooter alignWithMargins="0">
    <oddFooter>&amp;R&amp;P de &amp;N</oddFooter>
  </headerFooter>
  <rowBreaks count="3" manualBreakCount="3">
    <brk id="61" max="7" man="1"/>
    <brk id="126" max="7" man="1"/>
    <brk id="189" max="7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226"/>
  <sheetViews>
    <sheetView topLeftCell="A79" zoomScale="110" zoomScaleNormal="110" zoomScaleSheetLayoutView="110" workbookViewId="0">
      <selection activeCell="C42" sqref="C42"/>
    </sheetView>
  </sheetViews>
  <sheetFormatPr defaultColWidth="9.140625" defaultRowHeight="12.75" x14ac:dyDescent="0.2"/>
  <cols>
    <col min="1" max="1" width="17.85546875" style="4" customWidth="1"/>
    <col min="2" max="2" width="26.85546875" style="4" customWidth="1"/>
    <col min="3" max="3" width="14.140625" style="4" bestFit="1" customWidth="1"/>
    <col min="4" max="4" width="12.85546875" style="4" bestFit="1" customWidth="1"/>
    <col min="5" max="5" width="14.7109375" style="5" customWidth="1"/>
    <col min="6" max="6" width="13.42578125" style="5" bestFit="1" customWidth="1"/>
    <col min="7" max="7" width="14.140625" style="5" bestFit="1" customWidth="1"/>
    <col min="8" max="8" width="8.28515625" style="5" customWidth="1"/>
    <col min="9" max="9" width="14.42578125" style="4" customWidth="1"/>
    <col min="10" max="11" width="10.5703125" style="4" bestFit="1" customWidth="1"/>
    <col min="12" max="16384" width="9.140625" style="4"/>
  </cols>
  <sheetData>
    <row r="1" spans="1:8" s="88" customFormat="1" ht="23.25" customHeight="1" thickBot="1" x14ac:dyDescent="0.25">
      <c r="A1" s="370" t="s">
        <v>184</v>
      </c>
      <c r="B1" s="371"/>
      <c r="C1" s="371"/>
      <c r="D1" s="371"/>
      <c r="E1" s="371"/>
      <c r="F1" s="371"/>
      <c r="G1" s="371"/>
      <c r="H1" s="372"/>
    </row>
    <row r="2" spans="1:8" s="2" customFormat="1" ht="15.75" customHeight="1" thickBot="1" x14ac:dyDescent="0.25">
      <c r="A2" s="215" t="s">
        <v>199</v>
      </c>
      <c r="B2" s="216"/>
      <c r="C2" s="252" t="s">
        <v>216</v>
      </c>
      <c r="D2" s="232"/>
      <c r="E2" s="232"/>
      <c r="F2" s="232"/>
      <c r="G2" s="232"/>
      <c r="H2" s="233"/>
    </row>
    <row r="3" spans="1:8" s="88" customFormat="1" ht="23.25" customHeight="1" thickBot="1" x14ac:dyDescent="0.25">
      <c r="A3" s="229" t="s">
        <v>96</v>
      </c>
      <c r="B3" s="236" t="s">
        <v>269</v>
      </c>
      <c r="C3" s="228" t="s">
        <v>222</v>
      </c>
      <c r="D3" s="373"/>
      <c r="E3" s="374"/>
      <c r="F3" s="228" t="s">
        <v>214</v>
      </c>
      <c r="G3" s="373"/>
      <c r="H3" s="375"/>
    </row>
    <row r="4" spans="1:8" s="3" customFormat="1" ht="18.75" thickBot="1" x14ac:dyDescent="0.3">
      <c r="A4" s="230" t="s">
        <v>228</v>
      </c>
      <c r="B4" s="378" t="s">
        <v>238</v>
      </c>
      <c r="C4" s="378"/>
      <c r="D4" s="293" t="s">
        <v>229</v>
      </c>
      <c r="E4" s="200" t="s">
        <v>265</v>
      </c>
      <c r="F4" s="200"/>
      <c r="G4" s="200"/>
      <c r="H4" s="201"/>
    </row>
    <row r="5" spans="1:8" s="2" customFormat="1" ht="10.9" customHeight="1" thickBot="1" x14ac:dyDescent="0.25">
      <c r="A5" s="202"/>
      <c r="B5" s="203"/>
      <c r="C5" s="204"/>
      <c r="D5" s="204"/>
      <c r="E5" s="205"/>
      <c r="F5" s="205"/>
      <c r="G5" s="205"/>
      <c r="H5" s="206"/>
    </row>
    <row r="6" spans="1:8" s="2" customFormat="1" ht="15.75" customHeight="1" thickBot="1" x14ac:dyDescent="0.25">
      <c r="A6" s="215" t="s">
        <v>200</v>
      </c>
      <c r="B6" s="216"/>
      <c r="C6" s="216"/>
      <c r="D6" s="216"/>
      <c r="E6" s="216"/>
      <c r="F6" s="216"/>
      <c r="G6" s="216"/>
      <c r="H6" s="217"/>
    </row>
    <row r="7" spans="1:8" s="2" customFormat="1" ht="16.5" thickBot="1" x14ac:dyDescent="0.25">
      <c r="A7" s="126" t="s">
        <v>119</v>
      </c>
      <c r="B7" s="126"/>
      <c r="C7" s="376" t="s">
        <v>109</v>
      </c>
      <c r="D7" s="377"/>
      <c r="E7" s="376" t="s">
        <v>110</v>
      </c>
      <c r="F7" s="377"/>
      <c r="G7" s="376" t="s">
        <v>113</v>
      </c>
      <c r="H7" s="377"/>
    </row>
    <row r="8" spans="1:8" s="2" customFormat="1" ht="28.5" customHeight="1" x14ac:dyDescent="0.2">
      <c r="A8" s="390" t="s">
        <v>85</v>
      </c>
      <c r="B8" s="391"/>
      <c r="C8" s="106" t="s">
        <v>111</v>
      </c>
      <c r="D8" s="22" t="s">
        <v>112</v>
      </c>
      <c r="E8" s="106" t="s">
        <v>111</v>
      </c>
      <c r="F8" s="22" t="s">
        <v>112</v>
      </c>
      <c r="G8" s="106" t="s">
        <v>111</v>
      </c>
      <c r="H8" s="22" t="s">
        <v>112</v>
      </c>
    </row>
    <row r="9" spans="1:8" s="6" customFormat="1" ht="15.75" customHeight="1" x14ac:dyDescent="0.2">
      <c r="A9" s="379" t="str">
        <f>A45</f>
        <v>1. Mão-de-obra</v>
      </c>
      <c r="B9" s="380"/>
      <c r="C9" s="102">
        <f>+G76</f>
        <v>1662.6469999999997</v>
      </c>
      <c r="D9" s="37">
        <f>SUM(D10:D12)</f>
        <v>0.18439999999999998</v>
      </c>
      <c r="E9" s="102">
        <f>G76</f>
        <v>1662.6469999999997</v>
      </c>
      <c r="F9" s="37">
        <f>SUM(F10:F12)</f>
        <v>0.19606880566829543</v>
      </c>
      <c r="G9" s="102">
        <f>G77</f>
        <v>1363.0435</v>
      </c>
      <c r="H9" s="37">
        <f>SUM(H10:H12)</f>
        <v>0.16819999999999999</v>
      </c>
    </row>
    <row r="10" spans="1:8" s="2" customFormat="1" ht="15.75" customHeight="1" x14ac:dyDescent="0.2">
      <c r="A10" s="392" t="s">
        <v>223</v>
      </c>
      <c r="B10" s="380"/>
      <c r="C10" s="103">
        <f>G55</f>
        <v>1352.5119999999997</v>
      </c>
      <c r="D10" s="26">
        <f>ROUND(IFERROR(C10/$C$25,0),4)</f>
        <v>0.15</v>
      </c>
      <c r="E10" s="103">
        <f t="shared" ref="E10:E21" si="0">C10</f>
        <v>1352.5119999999997</v>
      </c>
      <c r="F10" s="26">
        <f>(IFERROR(E10/$E$25,0))</f>
        <v>0.1594959197544864</v>
      </c>
      <c r="G10" s="103">
        <f>G61</f>
        <v>1052.9085</v>
      </c>
      <c r="H10" s="26">
        <f t="shared" ref="H10:H20" si="1">ROUND(IFERROR(G10/$G$25,0),4)</f>
        <v>0.12989999999999999</v>
      </c>
    </row>
    <row r="11" spans="1:8" s="2" customFormat="1" ht="15.75" customHeight="1" x14ac:dyDescent="0.2">
      <c r="A11" s="393" t="str">
        <f>A63</f>
        <v>1.2. Vale Transporte</v>
      </c>
      <c r="B11" s="380"/>
      <c r="C11" s="103">
        <f>G68</f>
        <v>37.134999999999998</v>
      </c>
      <c r="D11" s="26">
        <f>ROUND(IFERROR(C11/$C$25,0),4)</f>
        <v>4.1000000000000003E-3</v>
      </c>
      <c r="E11" s="103">
        <f t="shared" si="0"/>
        <v>37.134999999999998</v>
      </c>
      <c r="F11" s="26">
        <f>(IFERROR(E11/$E$25,0))</f>
        <v>4.3791707430934834E-3</v>
      </c>
      <c r="G11" s="103">
        <f t="shared" ref="G11:G20" si="2">E11</f>
        <v>37.134999999999998</v>
      </c>
      <c r="H11" s="26">
        <f t="shared" si="1"/>
        <v>4.5999999999999999E-3</v>
      </c>
    </row>
    <row r="12" spans="1:8" s="2" customFormat="1" ht="15.75" customHeight="1" x14ac:dyDescent="0.2">
      <c r="A12" s="393" t="str">
        <f>A70</f>
        <v>1.3. Vale-refeição (diário)</v>
      </c>
      <c r="B12" s="380"/>
      <c r="C12" s="103">
        <f>G73</f>
        <v>273</v>
      </c>
      <c r="D12" s="26">
        <f>ROUND(IFERROR(C12/$C$25,0),4)</f>
        <v>3.0300000000000001E-2</v>
      </c>
      <c r="E12" s="103">
        <f t="shared" si="0"/>
        <v>273</v>
      </c>
      <c r="F12" s="26">
        <f>(IFERROR(E12/$E$25,0))</f>
        <v>3.2193715170715523E-2</v>
      </c>
      <c r="G12" s="103">
        <f t="shared" si="2"/>
        <v>273</v>
      </c>
      <c r="H12" s="26">
        <f t="shared" si="1"/>
        <v>3.3700000000000001E-2</v>
      </c>
    </row>
    <row r="13" spans="1:8" s="6" customFormat="1" ht="15.75" customHeight="1" x14ac:dyDescent="0.2">
      <c r="A13" s="379" t="str">
        <f>A79</f>
        <v>2. Veículos</v>
      </c>
      <c r="B13" s="380"/>
      <c r="C13" s="102">
        <f>+G148</f>
        <v>5050.218988333334</v>
      </c>
      <c r="D13" s="37">
        <f>SUM(D14:D20)</f>
        <v>0.56010000000000004</v>
      </c>
      <c r="E13" s="102">
        <f t="shared" si="0"/>
        <v>5050.218988333334</v>
      </c>
      <c r="F13" s="37">
        <f>SUM(F14:F20)</f>
        <v>0.59555059216169404</v>
      </c>
      <c r="G13" s="102">
        <f t="shared" si="2"/>
        <v>5050.218988333334</v>
      </c>
      <c r="H13" s="37">
        <f>SUM(H14:H20)</f>
        <v>0.62330000000000008</v>
      </c>
    </row>
    <row r="14" spans="1:8" s="2" customFormat="1" ht="15.75" customHeight="1" x14ac:dyDescent="0.2">
      <c r="A14" s="382" t="str">
        <f>A80</f>
        <v>2.1 Depreciação</v>
      </c>
      <c r="B14" s="380"/>
      <c r="C14" s="103">
        <f>G86</f>
        <v>1133.1923216666667</v>
      </c>
      <c r="D14" s="43">
        <f t="shared" ref="D14:D22" si="3">ROUND(IFERROR(C14/$C$25,0),4)</f>
        <v>0.12570000000000001</v>
      </c>
      <c r="E14" s="103">
        <f t="shared" si="0"/>
        <v>1133.1923216666667</v>
      </c>
      <c r="F14" s="26">
        <f t="shared" ref="F14:F21" si="4">(IFERROR(E14/$E$25,0))</f>
        <v>0.13363249390981141</v>
      </c>
      <c r="G14" s="103">
        <f t="shared" si="2"/>
        <v>1133.1923216666667</v>
      </c>
      <c r="H14" s="43">
        <f t="shared" si="1"/>
        <v>0.1399</v>
      </c>
    </row>
    <row r="15" spans="1:8" s="2" customFormat="1" ht="15.75" customHeight="1" x14ac:dyDescent="0.2">
      <c r="A15" s="382" t="str">
        <f>A88</f>
        <v>2.2 Remuneração do Capital</v>
      </c>
      <c r="B15" s="380"/>
      <c r="C15" s="103">
        <f>G97</f>
        <v>1290.05</v>
      </c>
      <c r="D15" s="43">
        <f t="shared" si="3"/>
        <v>0.1431</v>
      </c>
      <c r="E15" s="103">
        <f t="shared" si="0"/>
        <v>1290.05</v>
      </c>
      <c r="F15" s="26">
        <f t="shared" si="4"/>
        <v>0.15213004489370535</v>
      </c>
      <c r="G15" s="103">
        <f t="shared" si="2"/>
        <v>1290.05</v>
      </c>
      <c r="H15" s="43">
        <f t="shared" si="1"/>
        <v>0.15920000000000001</v>
      </c>
    </row>
    <row r="16" spans="1:8" s="2" customFormat="1" ht="15.75" customHeight="1" x14ac:dyDescent="0.2">
      <c r="A16" s="382" t="str">
        <f>A99</f>
        <v>2.3. Impostos e Seguros</v>
      </c>
      <c r="B16" s="380"/>
      <c r="C16" s="103">
        <f>G108</f>
        <v>476.14</v>
      </c>
      <c r="D16" s="43">
        <f t="shared" si="3"/>
        <v>5.28E-2</v>
      </c>
      <c r="E16" s="103">
        <f t="shared" si="0"/>
        <v>476.14</v>
      </c>
      <c r="F16" s="26">
        <f t="shared" si="4"/>
        <v>5.6149141177232562E-2</v>
      </c>
      <c r="G16" s="103">
        <f t="shared" si="2"/>
        <v>476.14</v>
      </c>
      <c r="H16" s="43">
        <f t="shared" si="1"/>
        <v>5.8799999999999998E-2</v>
      </c>
    </row>
    <row r="17" spans="1:10" s="2" customFormat="1" ht="15.75" customHeight="1" x14ac:dyDescent="0.2">
      <c r="A17" s="382" t="str">
        <f>A110</f>
        <v>2.4. Consumos</v>
      </c>
      <c r="B17" s="380"/>
      <c r="C17" s="103">
        <f>G125</f>
        <v>930.35</v>
      </c>
      <c r="D17" s="43">
        <f t="shared" si="3"/>
        <v>0.1032</v>
      </c>
      <c r="E17" s="103">
        <f t="shared" si="0"/>
        <v>930.35</v>
      </c>
      <c r="F17" s="26">
        <f t="shared" si="4"/>
        <v>0.10971217182811425</v>
      </c>
      <c r="G17" s="103">
        <f t="shared" si="2"/>
        <v>930.35</v>
      </c>
      <c r="H17" s="43">
        <f t="shared" si="1"/>
        <v>0.1148</v>
      </c>
    </row>
    <row r="18" spans="1:10" s="2" customFormat="1" ht="15.75" customHeight="1" x14ac:dyDescent="0.2">
      <c r="A18" s="382" t="str">
        <f>A127</f>
        <v>2.5. Manutenção</v>
      </c>
      <c r="B18" s="380"/>
      <c r="C18" s="103">
        <f>G132</f>
        <v>1035.94</v>
      </c>
      <c r="D18" s="43">
        <f t="shared" si="3"/>
        <v>0.1149</v>
      </c>
      <c r="E18" s="103">
        <f t="shared" si="0"/>
        <v>1035.94</v>
      </c>
      <c r="F18" s="26">
        <f t="shared" si="4"/>
        <v>0.12216394613168881</v>
      </c>
      <c r="G18" s="103">
        <f t="shared" si="2"/>
        <v>1035.94</v>
      </c>
      <c r="H18" s="43">
        <f t="shared" si="1"/>
        <v>0.12790000000000001</v>
      </c>
    </row>
    <row r="19" spans="1:10" s="2" customFormat="1" ht="15.75" customHeight="1" x14ac:dyDescent="0.2">
      <c r="A19" s="382" t="str">
        <f>A134</f>
        <v>2.6. Pneus</v>
      </c>
      <c r="B19" s="380"/>
      <c r="C19" s="103">
        <f>G140</f>
        <v>112.14</v>
      </c>
      <c r="D19" s="43">
        <f t="shared" si="3"/>
        <v>1.24E-2</v>
      </c>
      <c r="E19" s="103">
        <f t="shared" si="0"/>
        <v>112.14</v>
      </c>
      <c r="F19" s="26">
        <f t="shared" si="4"/>
        <v>1.3224187616278532E-2</v>
      </c>
      <c r="G19" s="103">
        <f t="shared" si="2"/>
        <v>112.14</v>
      </c>
      <c r="H19" s="43">
        <f t="shared" si="1"/>
        <v>1.38E-2</v>
      </c>
    </row>
    <row r="20" spans="1:10" s="2" customFormat="1" ht="15.75" customHeight="1" x14ac:dyDescent="0.2">
      <c r="A20" s="345" t="str">
        <f>A142</f>
        <v>2.7. Rastreador GPS</v>
      </c>
      <c r="B20" s="344"/>
      <c r="C20" s="103">
        <f>G146</f>
        <v>72.406666666666666</v>
      </c>
      <c r="D20" s="43">
        <f t="shared" si="3"/>
        <v>8.0000000000000002E-3</v>
      </c>
      <c r="E20" s="103">
        <f t="shared" si="0"/>
        <v>72.406666666666666</v>
      </c>
      <c r="F20" s="26">
        <f t="shared" si="4"/>
        <v>8.5386066048630353E-3</v>
      </c>
      <c r="G20" s="103">
        <f t="shared" si="2"/>
        <v>72.406666666666666</v>
      </c>
      <c r="H20" s="43">
        <f t="shared" si="1"/>
        <v>8.8999999999999999E-3</v>
      </c>
    </row>
    <row r="21" spans="1:10" s="6" customFormat="1" ht="15.75" customHeight="1" x14ac:dyDescent="0.2">
      <c r="A21" s="379" t="str">
        <f>A150</f>
        <v>3. Ferramentas e Materiais de Consumo</v>
      </c>
      <c r="B21" s="380"/>
      <c r="C21" s="102">
        <f>+G158</f>
        <v>100.5</v>
      </c>
      <c r="D21" s="37">
        <f t="shared" si="3"/>
        <v>1.11E-2</v>
      </c>
      <c r="E21" s="102">
        <f t="shared" si="0"/>
        <v>100.5</v>
      </c>
      <c r="F21" s="37">
        <f t="shared" si="4"/>
        <v>1.185153250790077E-2</v>
      </c>
      <c r="G21" s="102">
        <f>E21</f>
        <v>100.5</v>
      </c>
      <c r="H21" s="37">
        <f>ROUND(IFERROR(G21/$G$25,0),4)</f>
        <v>1.24E-2</v>
      </c>
    </row>
    <row r="22" spans="1:10" s="6" customFormat="1" ht="15.75" customHeight="1" x14ac:dyDescent="0.2">
      <c r="A22" s="381" t="str">
        <f>A163</f>
        <v>4. Benefícios e Desp. Ind. - BDI - LUCRO REAL</v>
      </c>
      <c r="B22" s="380"/>
      <c r="C22" s="102">
        <f>+G168</f>
        <v>2204.12</v>
      </c>
      <c r="D22" s="37">
        <f t="shared" si="3"/>
        <v>0.24440000000000001</v>
      </c>
      <c r="E22" s="111"/>
      <c r="F22" s="105"/>
      <c r="G22" s="111"/>
      <c r="H22" s="108"/>
    </row>
    <row r="23" spans="1:10" s="6" customFormat="1" ht="15.75" customHeight="1" x14ac:dyDescent="0.2">
      <c r="A23" s="381" t="str">
        <f>A176</f>
        <v>5. Benefícios e Desp. Ind. - BDI - LUCRO PRESUMIDO</v>
      </c>
      <c r="B23" s="380"/>
      <c r="C23" s="111"/>
      <c r="D23" s="107"/>
      <c r="E23" s="102">
        <f>G182</f>
        <v>1666.55</v>
      </c>
      <c r="F23" s="37">
        <f>(IFERROR(E23/$E$25,0))</f>
        <v>0.19652906966210973</v>
      </c>
      <c r="G23" s="111"/>
      <c r="H23" s="110"/>
    </row>
    <row r="24" spans="1:10" s="6" customFormat="1" ht="15.75" customHeight="1" thickBot="1" x14ac:dyDescent="0.25">
      <c r="A24" s="394" t="str">
        <f>A190</f>
        <v>6. Benef. Desp. Ind. + Impostos - SIMPLES NACIONAL</v>
      </c>
      <c r="B24" s="395"/>
      <c r="C24" s="112"/>
      <c r="D24" s="113"/>
      <c r="E24" s="112"/>
      <c r="F24" s="105"/>
      <c r="G24" s="115">
        <f>G193+G206</f>
        <v>1588.94</v>
      </c>
      <c r="H24" s="104">
        <f>ROUND(IFERROR(G24/$G$25,0),4)</f>
        <v>0.1961</v>
      </c>
    </row>
    <row r="25" spans="1:10" s="2" customFormat="1" ht="15.75" customHeight="1" thickBot="1" x14ac:dyDescent="0.25">
      <c r="A25" s="388" t="s">
        <v>185</v>
      </c>
      <c r="B25" s="396"/>
      <c r="C25" s="292">
        <f>C9+C13+C21+C22</f>
        <v>9017.4859883333338</v>
      </c>
      <c r="D25" s="302">
        <f>D9+D13+D21+D22</f>
        <v>1</v>
      </c>
      <c r="E25" s="292">
        <f>E9+E13+E21+E23</f>
        <v>8479.9159883333341</v>
      </c>
      <c r="F25" s="302">
        <f>F9+F13+F21+F23</f>
        <v>0.99999999999999989</v>
      </c>
      <c r="G25" s="292">
        <f>G9+G13+G21+G24</f>
        <v>8102.7024883333343</v>
      </c>
      <c r="H25" s="302">
        <f>H9+H13+H21+H24</f>
        <v>1</v>
      </c>
      <c r="I25" s="342"/>
      <c r="J25" s="335"/>
    </row>
    <row r="26" spans="1:10" s="2" customFormat="1" ht="15.75" customHeight="1" thickBot="1" x14ac:dyDescent="0.25">
      <c r="A26" s="388" t="s">
        <v>186</v>
      </c>
      <c r="B26" s="396"/>
      <c r="C26" s="125">
        <f>G174</f>
        <v>7.99</v>
      </c>
      <c r="D26" s="42"/>
      <c r="E26" s="125">
        <f>G188</f>
        <v>7.51</v>
      </c>
      <c r="F26" s="42"/>
      <c r="G26" s="292">
        <f>G213</f>
        <v>7.18</v>
      </c>
      <c r="H26" s="42"/>
      <c r="J26" s="335"/>
    </row>
    <row r="27" spans="1:10" ht="13.5" thickBot="1" x14ac:dyDescent="0.25">
      <c r="A27" s="116"/>
      <c r="B27" s="117"/>
      <c r="C27" s="117"/>
      <c r="D27" s="117"/>
      <c r="E27" s="118"/>
      <c r="F27" s="118"/>
      <c r="G27" s="128"/>
      <c r="H27" s="179"/>
    </row>
    <row r="28" spans="1:10" s="2" customFormat="1" ht="15" customHeight="1" thickBot="1" x14ac:dyDescent="0.25">
      <c r="A28" s="367" t="s">
        <v>215</v>
      </c>
      <c r="B28" s="368"/>
      <c r="C28" s="368"/>
      <c r="D28" s="368"/>
      <c r="E28" s="368"/>
      <c r="F28" s="368"/>
      <c r="G28" s="369"/>
      <c r="H28" s="180"/>
    </row>
    <row r="29" spans="1:10" s="2" customFormat="1" ht="15" customHeight="1" thickBot="1" x14ac:dyDescent="0.25">
      <c r="A29" s="388" t="s">
        <v>201</v>
      </c>
      <c r="B29" s="387"/>
      <c r="C29" s="14"/>
      <c r="D29" s="14"/>
      <c r="E29" s="166"/>
      <c r="F29" s="160" t="s">
        <v>20</v>
      </c>
      <c r="G29" s="160" t="s">
        <v>142</v>
      </c>
      <c r="H29" s="180"/>
    </row>
    <row r="30" spans="1:10" s="2" customFormat="1" ht="15" customHeight="1" x14ac:dyDescent="0.2">
      <c r="A30" s="401" t="s">
        <v>259</v>
      </c>
      <c r="B30" s="402"/>
      <c r="C30" s="158"/>
      <c r="D30" s="158"/>
      <c r="E30" s="159"/>
      <c r="F30" s="237">
        <v>1</v>
      </c>
      <c r="G30" s="238">
        <v>2265</v>
      </c>
      <c r="H30" s="181"/>
      <c r="I30" s="308"/>
    </row>
    <row r="31" spans="1:10" s="2" customFormat="1" ht="15" customHeight="1" thickBot="1" x14ac:dyDescent="0.25">
      <c r="A31" s="403" t="s">
        <v>25</v>
      </c>
      <c r="B31" s="404"/>
      <c r="C31" s="28"/>
      <c r="D31" s="28"/>
      <c r="E31" s="29"/>
      <c r="F31" s="30">
        <f>SUM(F30:F30)</f>
        <v>1</v>
      </c>
      <c r="G31" s="157">
        <f>SUM(G30:G30)</f>
        <v>2265</v>
      </c>
      <c r="H31" s="181"/>
    </row>
    <row r="32" spans="1:10" s="2" customFormat="1" ht="15" customHeight="1" thickBot="1" x14ac:dyDescent="0.25">
      <c r="A32" s="38"/>
      <c r="B32" s="20"/>
      <c r="C32" s="39"/>
      <c r="D32" s="27"/>
      <c r="E32" s="17"/>
      <c r="F32" s="17"/>
      <c r="G32" s="18"/>
      <c r="H32" s="181"/>
    </row>
    <row r="33" spans="1:9" s="2" customFormat="1" ht="33" customHeight="1" x14ac:dyDescent="0.2">
      <c r="A33" s="399" t="s">
        <v>202</v>
      </c>
      <c r="B33" s="405"/>
      <c r="C33" s="168" t="s">
        <v>183</v>
      </c>
      <c r="D33" s="168" t="s">
        <v>248</v>
      </c>
      <c r="E33" s="168" t="s">
        <v>143</v>
      </c>
      <c r="F33" s="177" t="s">
        <v>20</v>
      </c>
      <c r="G33" s="163" t="s">
        <v>144</v>
      </c>
      <c r="H33" s="181"/>
    </row>
    <row r="34" spans="1:9" s="2" customFormat="1" ht="30.75" customHeight="1" x14ac:dyDescent="0.2">
      <c r="A34" s="406" t="s">
        <v>283</v>
      </c>
      <c r="B34" s="407"/>
      <c r="C34" s="240">
        <v>10</v>
      </c>
      <c r="D34" s="172">
        <f>1/C34</f>
        <v>0.1</v>
      </c>
      <c r="E34" s="240">
        <v>21</v>
      </c>
      <c r="F34" s="241">
        <v>1</v>
      </c>
      <c r="G34" s="239">
        <v>208627</v>
      </c>
      <c r="H34" s="181"/>
    </row>
    <row r="35" spans="1:9" s="2" customFormat="1" ht="15" customHeight="1" thickBot="1" x14ac:dyDescent="0.25">
      <c r="A35" s="397" t="s">
        <v>176</v>
      </c>
      <c r="B35" s="398"/>
      <c r="C35" s="170"/>
      <c r="D35" s="173"/>
      <c r="E35" s="169" t="s">
        <v>267</v>
      </c>
      <c r="F35" s="242">
        <v>7.5</v>
      </c>
      <c r="G35" s="289">
        <v>5.54</v>
      </c>
      <c r="H35" s="181"/>
    </row>
    <row r="36" spans="1:9" s="2" customFormat="1" ht="15" customHeight="1" thickBot="1" x14ac:dyDescent="0.25">
      <c r="A36" s="161"/>
      <c r="B36" s="195"/>
      <c r="C36" s="90"/>
      <c r="D36" s="90"/>
      <c r="E36" s="90"/>
      <c r="F36" s="287"/>
      <c r="G36" s="288"/>
      <c r="H36" s="181"/>
    </row>
    <row r="37" spans="1:9" s="2" customFormat="1" x14ac:dyDescent="0.2">
      <c r="A37" s="399" t="s">
        <v>203</v>
      </c>
      <c r="B37" s="357"/>
      <c r="C37" s="177" t="s">
        <v>27</v>
      </c>
      <c r="D37" s="168"/>
      <c r="E37" s="168"/>
      <c r="F37" s="177" t="s">
        <v>147</v>
      </c>
      <c r="G37" s="162" t="s">
        <v>148</v>
      </c>
      <c r="H37" s="190"/>
    </row>
    <row r="38" spans="1:9" s="2" customFormat="1" ht="15" customHeight="1" x14ac:dyDescent="0.2">
      <c r="A38" s="400" t="s">
        <v>145</v>
      </c>
      <c r="B38" s="352"/>
      <c r="C38" s="171" t="s">
        <v>140</v>
      </c>
      <c r="D38" s="172"/>
      <c r="E38" s="172"/>
      <c r="F38" s="241">
        <v>80.64</v>
      </c>
      <c r="G38" s="174">
        <f>F38*F39</f>
        <v>1128.96</v>
      </c>
      <c r="H38" s="181"/>
      <c r="I38" s="308">
        <f>G38*12</f>
        <v>13547.52</v>
      </c>
    </row>
    <row r="39" spans="1:9" s="2" customFormat="1" ht="15" customHeight="1" thickBot="1" x14ac:dyDescent="0.25">
      <c r="A39" s="397" t="s">
        <v>295</v>
      </c>
      <c r="B39" s="398"/>
      <c r="C39" s="169" t="s">
        <v>146</v>
      </c>
      <c r="D39" s="170"/>
      <c r="E39" s="170"/>
      <c r="F39" s="349">
        <v>14</v>
      </c>
      <c r="G39" s="167"/>
      <c r="H39" s="181"/>
      <c r="I39" s="155" t="s">
        <v>282</v>
      </c>
    </row>
    <row r="40" spans="1:9" s="2" customFormat="1" ht="15" customHeight="1" thickBot="1" x14ac:dyDescent="0.25">
      <c r="A40" s="161"/>
      <c r="B40" s="195"/>
      <c r="C40" s="90"/>
      <c r="D40" s="90"/>
      <c r="E40" s="17"/>
      <c r="F40" s="164"/>
      <c r="G40" s="165"/>
      <c r="H40" s="181"/>
      <c r="I40" s="155" t="s">
        <v>284</v>
      </c>
    </row>
    <row r="41" spans="1:9" s="2" customFormat="1" ht="15" customHeight="1" thickBot="1" x14ac:dyDescent="0.25">
      <c r="A41" s="336" t="s">
        <v>256</v>
      </c>
      <c r="B41" s="195"/>
      <c r="C41" s="177" t="s">
        <v>0</v>
      </c>
      <c r="D41" s="383" t="s">
        <v>257</v>
      </c>
      <c r="E41" s="384"/>
      <c r="F41" s="384"/>
      <c r="G41" s="385"/>
      <c r="H41" s="190"/>
    </row>
    <row r="42" spans="1:9" s="6" customFormat="1" ht="15.75" customHeight="1" thickBot="1" x14ac:dyDescent="0.25">
      <c r="A42" s="386" t="s">
        <v>258</v>
      </c>
      <c r="B42" s="387"/>
      <c r="C42" s="337">
        <f>100/20*F39/2/100</f>
        <v>0.35</v>
      </c>
      <c r="D42" s="388" t="s">
        <v>260</v>
      </c>
      <c r="E42" s="389"/>
      <c r="F42" s="389"/>
      <c r="G42" s="338"/>
      <c r="H42" s="190"/>
      <c r="I42" s="2"/>
    </row>
    <row r="43" spans="1:9" s="2" customFormat="1" ht="15" customHeight="1" thickBot="1" x14ac:dyDescent="0.25">
      <c r="A43" s="161"/>
      <c r="B43" s="195"/>
      <c r="C43" s="90"/>
      <c r="D43" s="90"/>
      <c r="E43" s="17"/>
      <c r="F43" s="164"/>
      <c r="G43" s="165"/>
      <c r="H43" s="181"/>
    </row>
    <row r="44" spans="1:9" s="2" customFormat="1" ht="15" customHeight="1" thickBot="1" x14ac:dyDescent="0.25">
      <c r="A44" s="367" t="s">
        <v>204</v>
      </c>
      <c r="B44" s="368"/>
      <c r="C44" s="368"/>
      <c r="D44" s="368"/>
      <c r="E44" s="368"/>
      <c r="F44" s="368"/>
      <c r="G44" s="369"/>
      <c r="H44" s="180"/>
    </row>
    <row r="45" spans="1:9" ht="11.25" customHeight="1" x14ac:dyDescent="0.2">
      <c r="A45" s="97" t="s">
        <v>23</v>
      </c>
      <c r="B45" s="6"/>
      <c r="E45" s="27"/>
      <c r="F45" s="27"/>
      <c r="G45" s="40"/>
      <c r="H45" s="181"/>
    </row>
    <row r="46" spans="1:9" ht="13.5" thickBot="1" x14ac:dyDescent="0.25">
      <c r="A46" s="97" t="s">
        <v>224</v>
      </c>
      <c r="B46" s="6"/>
      <c r="E46" s="27"/>
      <c r="F46" s="27"/>
      <c r="G46" s="40"/>
      <c r="H46" s="181"/>
    </row>
    <row r="47" spans="1:9" s="7" customFormat="1" ht="13.15" customHeight="1" thickBot="1" x14ac:dyDescent="0.25">
      <c r="A47" s="354" t="s">
        <v>26</v>
      </c>
      <c r="B47" s="355"/>
      <c r="C47" s="218" t="s">
        <v>27</v>
      </c>
      <c r="D47" s="218" t="s">
        <v>20</v>
      </c>
      <c r="E47" s="219" t="s">
        <v>90</v>
      </c>
      <c r="F47" s="219" t="s">
        <v>28</v>
      </c>
      <c r="G47" s="220" t="s">
        <v>29</v>
      </c>
      <c r="H47" s="220" t="s">
        <v>141</v>
      </c>
    </row>
    <row r="48" spans="1:9" x14ac:dyDescent="0.2">
      <c r="A48" s="356" t="s">
        <v>126</v>
      </c>
      <c r="B48" s="357"/>
      <c r="C48" s="8" t="s">
        <v>5</v>
      </c>
      <c r="D48" s="8">
        <v>1</v>
      </c>
      <c r="E48" s="175">
        <f>G30</f>
        <v>2265</v>
      </c>
      <c r="F48" s="9">
        <f>D48*E48</f>
        <v>2265</v>
      </c>
      <c r="G48" s="129"/>
      <c r="H48" s="129"/>
    </row>
    <row r="49" spans="1:9" x14ac:dyDescent="0.2">
      <c r="A49" s="294" t="s">
        <v>251</v>
      </c>
      <c r="B49" s="326"/>
      <c r="C49" s="89" t="s">
        <v>252</v>
      </c>
      <c r="D49" s="327"/>
      <c r="E49" s="11">
        <f>(E48/220)*0.2</f>
        <v>2.0590909090909091</v>
      </c>
      <c r="F49" s="9">
        <f>D49*E49</f>
        <v>0</v>
      </c>
      <c r="G49" s="130"/>
      <c r="H49" s="40"/>
    </row>
    <row r="50" spans="1:9" s="155" customFormat="1" ht="13.15" customHeight="1" x14ac:dyDescent="0.2">
      <c r="A50" s="334" t="s">
        <v>254</v>
      </c>
      <c r="C50" s="89" t="s">
        <v>19</v>
      </c>
      <c r="D50" s="184"/>
      <c r="E50" s="184">
        <f>((D49/F39)*5)*(SUM(E49))</f>
        <v>0</v>
      </c>
      <c r="F50" s="184">
        <f>E50</f>
        <v>0</v>
      </c>
      <c r="G50" s="130"/>
      <c r="H50" s="40"/>
      <c r="I50" s="4"/>
    </row>
    <row r="51" spans="1:9" s="6" customFormat="1" x14ac:dyDescent="0.2">
      <c r="A51" s="353" t="s">
        <v>1</v>
      </c>
      <c r="B51" s="361"/>
      <c r="C51" s="91"/>
      <c r="D51" s="91"/>
      <c r="E51" s="19"/>
      <c r="F51" s="35">
        <f>SUM(F48:F50)</f>
        <v>2265</v>
      </c>
      <c r="G51" s="131"/>
      <c r="H51" s="181"/>
    </row>
    <row r="52" spans="1:9" x14ac:dyDescent="0.2">
      <c r="A52" s="364" t="s">
        <v>2</v>
      </c>
      <c r="B52" s="352"/>
      <c r="C52" s="10" t="s">
        <v>0</v>
      </c>
      <c r="D52" s="41">
        <f>'Enc. Soc. - LR-LP e SN'!C$28*100</f>
        <v>70.61</v>
      </c>
      <c r="E52" s="11">
        <f>F51</f>
        <v>2265</v>
      </c>
      <c r="F52" s="11">
        <f>ROUND(E52*D52/100,2)</f>
        <v>1599.32</v>
      </c>
      <c r="G52" s="130"/>
      <c r="H52" s="181"/>
      <c r="I52" s="6"/>
    </row>
    <row r="53" spans="1:9" s="6" customFormat="1" x14ac:dyDescent="0.2">
      <c r="A53" s="353" t="s">
        <v>91</v>
      </c>
      <c r="B53" s="361"/>
      <c r="C53" s="81"/>
      <c r="D53" s="81"/>
      <c r="E53" s="82"/>
      <c r="F53" s="35">
        <f>F51+F52</f>
        <v>3864.3199999999997</v>
      </c>
      <c r="G53" s="131"/>
      <c r="H53" s="181"/>
    </row>
    <row r="54" spans="1:9" ht="13.5" thickBot="1" x14ac:dyDescent="0.25">
      <c r="A54" s="364" t="s">
        <v>3</v>
      </c>
      <c r="B54" s="352"/>
      <c r="C54" s="10" t="s">
        <v>4</v>
      </c>
      <c r="D54" s="176">
        <f>F30</f>
        <v>1</v>
      </c>
      <c r="E54" s="11">
        <f>F53</f>
        <v>3864.3199999999997</v>
      </c>
      <c r="F54" s="11">
        <f>D54*E54</f>
        <v>3864.3199999999997</v>
      </c>
      <c r="G54" s="221">
        <f>F54</f>
        <v>3864.3199999999997</v>
      </c>
      <c r="H54" s="221">
        <f>G54/G$38</f>
        <v>3.4229024943310655</v>
      </c>
      <c r="I54" s="6"/>
    </row>
    <row r="55" spans="1:9" s="155" customFormat="1" ht="13.9" customHeight="1" thickBot="1" x14ac:dyDescent="0.25">
      <c r="A55" s="340"/>
      <c r="B55" s="198"/>
      <c r="C55" s="198"/>
      <c r="D55" s="198"/>
      <c r="E55" s="341" t="s">
        <v>261</v>
      </c>
      <c r="F55" s="339">
        <f>$C$42</f>
        <v>0.35</v>
      </c>
      <c r="G55" s="221">
        <f>F54*F55</f>
        <v>1352.5119999999997</v>
      </c>
      <c r="H55" s="221">
        <f>G55/G$38</f>
        <v>1.1980158730158728</v>
      </c>
      <c r="I55" s="6"/>
    </row>
    <row r="56" spans="1:9" ht="11.25" customHeight="1" x14ac:dyDescent="0.2">
      <c r="A56" s="96"/>
      <c r="E56" s="27"/>
      <c r="F56" s="27"/>
      <c r="G56" s="128"/>
      <c r="H56" s="181"/>
      <c r="I56" s="6"/>
    </row>
    <row r="57" spans="1:9" ht="11.25" customHeight="1" x14ac:dyDescent="0.2">
      <c r="A57" s="97" t="s">
        <v>225</v>
      </c>
      <c r="B57" s="6"/>
      <c r="E57" s="27"/>
      <c r="F57" s="27"/>
      <c r="G57" s="40"/>
      <c r="H57" s="181"/>
      <c r="I57" s="6"/>
    </row>
    <row r="58" spans="1:9" ht="11.25" customHeight="1" x14ac:dyDescent="0.2">
      <c r="A58" s="366" t="s">
        <v>2</v>
      </c>
      <c r="B58" s="352"/>
      <c r="C58" s="89" t="s">
        <v>0</v>
      </c>
      <c r="D58" s="41">
        <f>'Enc. Soc. - LR-LP e SN'!C$38*100</f>
        <v>32.817279999999997</v>
      </c>
      <c r="E58" s="11">
        <f>F51</f>
        <v>2265</v>
      </c>
      <c r="F58" s="11">
        <f>ROUND(E58*D58/100,2)</f>
        <v>743.31</v>
      </c>
      <c r="G58" s="40"/>
      <c r="H58" s="181"/>
      <c r="I58" s="6"/>
    </row>
    <row r="59" spans="1:9" x14ac:dyDescent="0.2">
      <c r="A59" s="353" t="s">
        <v>91</v>
      </c>
      <c r="B59" s="361"/>
      <c r="C59" s="91"/>
      <c r="D59" s="91"/>
      <c r="E59" s="19"/>
      <c r="F59" s="36">
        <f>E58+F58</f>
        <v>3008.31</v>
      </c>
      <c r="G59" s="40"/>
      <c r="H59" s="181"/>
      <c r="I59" s="6"/>
    </row>
    <row r="60" spans="1:9" ht="13.5" thickBot="1" x14ac:dyDescent="0.25">
      <c r="A60" s="364" t="s">
        <v>3</v>
      </c>
      <c r="B60" s="352"/>
      <c r="C60" s="10" t="s">
        <v>4</v>
      </c>
      <c r="D60" s="10">
        <f>D54</f>
        <v>1</v>
      </c>
      <c r="E60" s="11">
        <f>F59</f>
        <v>3008.31</v>
      </c>
      <c r="F60" s="11">
        <f>D60*E60</f>
        <v>3008.31</v>
      </c>
      <c r="G60" s="221">
        <f>F60</f>
        <v>3008.31</v>
      </c>
      <c r="H60" s="221">
        <f>G60/G$38</f>
        <v>2.664673681972789</v>
      </c>
      <c r="I60" s="6"/>
    </row>
    <row r="61" spans="1:9" s="155" customFormat="1" ht="13.9" customHeight="1" thickBot="1" x14ac:dyDescent="0.25">
      <c r="A61" s="340"/>
      <c r="B61" s="198"/>
      <c r="C61" s="198"/>
      <c r="D61" s="198"/>
      <c r="E61" s="341" t="s">
        <v>261</v>
      </c>
      <c r="F61" s="339">
        <f>$C$42</f>
        <v>0.35</v>
      </c>
      <c r="G61" s="221">
        <f>F60*F61</f>
        <v>1052.9085</v>
      </c>
      <c r="H61" s="221">
        <f>G61/G$38</f>
        <v>0.93263578869047614</v>
      </c>
      <c r="I61" s="6"/>
    </row>
    <row r="62" spans="1:9" ht="11.25" customHeight="1" x14ac:dyDescent="0.2">
      <c r="A62" s="96"/>
      <c r="E62" s="27"/>
      <c r="F62" s="27"/>
      <c r="G62" s="128"/>
      <c r="H62" s="181"/>
      <c r="I62" s="6"/>
    </row>
    <row r="63" spans="1:9" ht="13.5" thickBot="1" x14ac:dyDescent="0.25">
      <c r="A63" s="97" t="s">
        <v>226</v>
      </c>
      <c r="B63" s="6"/>
      <c r="C63" s="93"/>
      <c r="E63" s="4"/>
      <c r="F63" s="4"/>
      <c r="G63" s="40"/>
      <c r="H63" s="181"/>
      <c r="I63" s="6"/>
    </row>
    <row r="64" spans="1:9" ht="13.5" thickBot="1" x14ac:dyDescent="0.25">
      <c r="A64" s="354" t="s">
        <v>26</v>
      </c>
      <c r="B64" s="355"/>
      <c r="C64" s="218" t="s">
        <v>27</v>
      </c>
      <c r="D64" s="218" t="s">
        <v>20</v>
      </c>
      <c r="E64" s="219" t="s">
        <v>90</v>
      </c>
      <c r="F64" s="219" t="s">
        <v>28</v>
      </c>
      <c r="G64" s="220" t="s">
        <v>29</v>
      </c>
      <c r="H64" s="220" t="s">
        <v>141</v>
      </c>
      <c r="I64" s="6"/>
    </row>
    <row r="65" spans="1:9" x14ac:dyDescent="0.2">
      <c r="A65" s="365" t="s">
        <v>40</v>
      </c>
      <c r="B65" s="357"/>
      <c r="C65" s="10" t="s">
        <v>19</v>
      </c>
      <c r="D65" s="32">
        <v>1</v>
      </c>
      <c r="E65" s="243">
        <v>6.05</v>
      </c>
      <c r="F65" s="11"/>
      <c r="G65" s="129"/>
      <c r="H65" s="129"/>
      <c r="I65" s="6"/>
    </row>
    <row r="66" spans="1:9" x14ac:dyDescent="0.2">
      <c r="A66" s="364" t="s">
        <v>41</v>
      </c>
      <c r="B66" s="352"/>
      <c r="C66" s="10" t="s">
        <v>42</v>
      </c>
      <c r="D66" s="21">
        <v>20</v>
      </c>
      <c r="E66" s="11"/>
      <c r="F66" s="11"/>
      <c r="G66" s="130"/>
      <c r="H66" s="181"/>
      <c r="I66" s="6"/>
    </row>
    <row r="67" spans="1:9" ht="13.5" thickBot="1" x14ac:dyDescent="0.25">
      <c r="A67" s="351" t="s">
        <v>98</v>
      </c>
      <c r="B67" s="352"/>
      <c r="C67" s="8" t="s">
        <v>6</v>
      </c>
      <c r="D67" s="21">
        <f>$D$66*2*(F30)</f>
        <v>40</v>
      </c>
      <c r="E67" s="9">
        <f>IF(E65=0,"",IFERROR((($D$66*2*$E$65)-(F48*0.06*D66/D66))/($D$66*2),"-"))</f>
        <v>2.6524999999999999</v>
      </c>
      <c r="F67" s="9">
        <f>IFERROR(D67*E67,"-")</f>
        <v>106.1</v>
      </c>
      <c r="G67" s="221">
        <f>F67</f>
        <v>106.1</v>
      </c>
      <c r="H67" s="290">
        <f>G67/G$38</f>
        <v>9.3980300453514728E-2</v>
      </c>
      <c r="I67" s="6"/>
    </row>
    <row r="68" spans="1:9" s="155" customFormat="1" ht="13.9" customHeight="1" thickBot="1" x14ac:dyDescent="0.25">
      <c r="A68" s="340"/>
      <c r="B68" s="198"/>
      <c r="C68" s="198"/>
      <c r="D68" s="198"/>
      <c r="E68" s="341" t="s">
        <v>261</v>
      </c>
      <c r="F68" s="339">
        <f>$C$42</f>
        <v>0.35</v>
      </c>
      <c r="G68" s="221">
        <f>F67*F68</f>
        <v>37.134999999999998</v>
      </c>
      <c r="H68" s="221">
        <f>G68/G$38</f>
        <v>3.2893105158730153E-2</v>
      </c>
      <c r="I68" s="6"/>
    </row>
    <row r="69" spans="1:9" ht="11.25" customHeight="1" x14ac:dyDescent="0.2">
      <c r="A69" s="96"/>
      <c r="E69" s="27"/>
      <c r="F69" s="27"/>
      <c r="G69" s="128"/>
      <c r="H69" s="181"/>
      <c r="I69" s="6"/>
    </row>
    <row r="70" spans="1:9" ht="13.5" thickBot="1" x14ac:dyDescent="0.25">
      <c r="A70" s="97" t="s">
        <v>227</v>
      </c>
      <c r="B70" s="6"/>
      <c r="E70" s="27"/>
      <c r="F70" s="27"/>
      <c r="G70" s="132"/>
      <c r="H70" s="181"/>
      <c r="I70" s="6"/>
    </row>
    <row r="71" spans="1:9" ht="13.5" thickBot="1" x14ac:dyDescent="0.25">
      <c r="A71" s="222" t="s">
        <v>26</v>
      </c>
      <c r="B71" s="223"/>
      <c r="C71" s="218" t="s">
        <v>27</v>
      </c>
      <c r="D71" s="218" t="s">
        <v>20</v>
      </c>
      <c r="E71" s="219" t="s">
        <v>90</v>
      </c>
      <c r="F71" s="219" t="s">
        <v>28</v>
      </c>
      <c r="G71" s="220" t="s">
        <v>29</v>
      </c>
      <c r="H71" s="220" t="s">
        <v>141</v>
      </c>
      <c r="I71" s="6"/>
    </row>
    <row r="72" spans="1:9" ht="13.5" thickBot="1" x14ac:dyDescent="0.25">
      <c r="A72" s="351" t="s">
        <v>231</v>
      </c>
      <c r="B72" s="352"/>
      <c r="C72" s="89" t="s">
        <v>7</v>
      </c>
      <c r="D72" s="33">
        <f>D66*(F30)</f>
        <v>20</v>
      </c>
      <c r="E72" s="241">
        <f>13+26</f>
        <v>39</v>
      </c>
      <c r="F72" s="23">
        <f>D72*E72</f>
        <v>780</v>
      </c>
      <c r="G72" s="221">
        <f>F72</f>
        <v>780</v>
      </c>
      <c r="H72" s="221">
        <f>G72/G$38</f>
        <v>0.69090136054421769</v>
      </c>
      <c r="I72" s="6"/>
    </row>
    <row r="73" spans="1:9" s="155" customFormat="1" ht="13.9" customHeight="1" thickBot="1" x14ac:dyDescent="0.25">
      <c r="A73" s="340"/>
      <c r="B73" s="198"/>
      <c r="C73" s="198"/>
      <c r="D73" s="198"/>
      <c r="E73" s="341" t="s">
        <v>261</v>
      </c>
      <c r="F73" s="339">
        <f>$C$42</f>
        <v>0.35</v>
      </c>
      <c r="G73" s="221">
        <f>F72*F73</f>
        <v>273</v>
      </c>
      <c r="H73" s="221">
        <f>G73/G$38</f>
        <v>0.24181547619047619</v>
      </c>
      <c r="I73" s="6"/>
    </row>
    <row r="74" spans="1:9" x14ac:dyDescent="0.2">
      <c r="A74" s="96"/>
      <c r="E74" s="92"/>
      <c r="F74" s="92"/>
      <c r="G74" s="40"/>
      <c r="H74" s="181"/>
      <c r="I74" s="6"/>
    </row>
    <row r="75" spans="1:9" ht="13.5" thickBot="1" x14ac:dyDescent="0.25">
      <c r="A75" s="96"/>
      <c r="E75" s="27"/>
      <c r="F75" s="27"/>
      <c r="G75" s="40"/>
      <c r="H75" s="181"/>
      <c r="I75" s="6"/>
    </row>
    <row r="76" spans="1:9" ht="13.5" thickBot="1" x14ac:dyDescent="0.25">
      <c r="A76" s="12" t="s">
        <v>102</v>
      </c>
      <c r="B76" s="13"/>
      <c r="C76" s="13"/>
      <c r="D76" s="13"/>
      <c r="E76" s="14"/>
      <c r="F76" s="15"/>
      <c r="G76" s="224">
        <f>G55+G68+G73</f>
        <v>1662.6469999999997</v>
      </c>
      <c r="H76" s="225">
        <f>G76/G$38</f>
        <v>1.472724454365079</v>
      </c>
      <c r="I76" s="6"/>
    </row>
    <row r="77" spans="1:9" ht="13.5" thickBot="1" x14ac:dyDescent="0.25">
      <c r="A77" s="12" t="s">
        <v>103</v>
      </c>
      <c r="B77" s="13"/>
      <c r="C77" s="13"/>
      <c r="D77" s="13"/>
      <c r="E77" s="14"/>
      <c r="F77" s="15"/>
      <c r="G77" s="226">
        <f>G61+G68+G73</f>
        <v>1363.0435</v>
      </c>
      <c r="H77" s="221">
        <f>G77/G$38</f>
        <v>1.2073443700396824</v>
      </c>
      <c r="I77" s="6"/>
    </row>
    <row r="78" spans="1:9" x14ac:dyDescent="0.2">
      <c r="A78" s="96"/>
      <c r="E78" s="27"/>
      <c r="F78" s="27"/>
      <c r="G78" s="128"/>
      <c r="H78" s="181"/>
      <c r="I78" s="6"/>
    </row>
    <row r="79" spans="1:9" x14ac:dyDescent="0.2">
      <c r="A79" s="97" t="s">
        <v>189</v>
      </c>
      <c r="B79" s="6"/>
      <c r="E79" s="27"/>
      <c r="F79" s="27"/>
      <c r="G79" s="40"/>
      <c r="H79" s="181"/>
    </row>
    <row r="80" spans="1:9" ht="13.5" thickBot="1" x14ac:dyDescent="0.25">
      <c r="A80" s="97" t="s">
        <v>190</v>
      </c>
      <c r="B80" s="6"/>
      <c r="E80" s="27"/>
      <c r="F80" s="27"/>
      <c r="G80" s="40"/>
      <c r="H80" s="181"/>
    </row>
    <row r="81" spans="1:8" ht="13.5" thickBot="1" x14ac:dyDescent="0.25">
      <c r="A81" s="222" t="s">
        <v>26</v>
      </c>
      <c r="B81" s="223"/>
      <c r="C81" s="218" t="s">
        <v>27</v>
      </c>
      <c r="D81" s="218" t="s">
        <v>20</v>
      </c>
      <c r="E81" s="219" t="s">
        <v>90</v>
      </c>
      <c r="F81" s="219" t="s">
        <v>28</v>
      </c>
      <c r="G81" s="220" t="s">
        <v>29</v>
      </c>
      <c r="H81" s="220" t="s">
        <v>141</v>
      </c>
    </row>
    <row r="82" spans="1:8" x14ac:dyDescent="0.2">
      <c r="A82" s="356" t="s">
        <v>124</v>
      </c>
      <c r="B82" s="357"/>
      <c r="C82" s="8" t="s">
        <v>7</v>
      </c>
      <c r="D82" s="8">
        <v>1</v>
      </c>
      <c r="E82" s="175">
        <f>G34</f>
        <v>208627</v>
      </c>
      <c r="F82" s="9">
        <f>D82*E82</f>
        <v>208627</v>
      </c>
      <c r="G82" s="129"/>
      <c r="H82" s="129"/>
    </row>
    <row r="83" spans="1:8" x14ac:dyDescent="0.2">
      <c r="A83" s="351" t="s">
        <v>132</v>
      </c>
      <c r="B83" s="352"/>
      <c r="C83" s="10" t="s">
        <v>43</v>
      </c>
      <c r="D83" s="176">
        <f>C34</f>
        <v>10</v>
      </c>
      <c r="E83" s="31"/>
      <c r="F83" s="11"/>
      <c r="G83" s="130"/>
      <c r="H83" s="181"/>
    </row>
    <row r="84" spans="1:8" x14ac:dyDescent="0.2">
      <c r="A84" s="351" t="s">
        <v>127</v>
      </c>
      <c r="B84" s="352"/>
      <c r="C84" s="10" t="s">
        <v>0</v>
      </c>
      <c r="D84" s="41">
        <f>Depr.!B12</f>
        <v>65.180000000000007</v>
      </c>
      <c r="E84" s="184">
        <f>F82</f>
        <v>208627</v>
      </c>
      <c r="F84" s="184">
        <f>D84*E84/100</f>
        <v>135983.07860000001</v>
      </c>
      <c r="G84" s="130"/>
      <c r="H84" s="181"/>
    </row>
    <row r="85" spans="1:8" x14ac:dyDescent="0.2">
      <c r="A85" s="353" t="s">
        <v>133</v>
      </c>
      <c r="B85" s="352"/>
      <c r="C85" s="34" t="s">
        <v>5</v>
      </c>
      <c r="D85" s="34">
        <f>D83*12</f>
        <v>120</v>
      </c>
      <c r="E85" s="35">
        <f>F84</f>
        <v>135983.07860000001</v>
      </c>
      <c r="F85" s="35">
        <f>IFERROR(E85/D85,0)</f>
        <v>1133.1923216666667</v>
      </c>
      <c r="G85" s="130"/>
      <c r="H85" s="181"/>
    </row>
    <row r="86" spans="1:8" ht="13.5" thickBot="1" x14ac:dyDescent="0.25">
      <c r="A86" s="353" t="s">
        <v>94</v>
      </c>
      <c r="B86" s="352"/>
      <c r="C86" s="148" t="s">
        <v>7</v>
      </c>
      <c r="D86" s="183">
        <f>F34</f>
        <v>1</v>
      </c>
      <c r="E86" s="149">
        <f>F85</f>
        <v>1133.1923216666667</v>
      </c>
      <c r="F86" s="319">
        <f>D86*E86</f>
        <v>1133.1923216666667</v>
      </c>
      <c r="G86" s="221">
        <f>F86</f>
        <v>1133.1923216666667</v>
      </c>
      <c r="H86" s="221">
        <f>G86/G$38</f>
        <v>1.0037488676894368</v>
      </c>
    </row>
    <row r="87" spans="1:8" x14ac:dyDescent="0.2">
      <c r="A87" s="100"/>
      <c r="B87" s="87"/>
      <c r="C87" s="87"/>
      <c r="D87" s="87"/>
      <c r="E87" s="92"/>
      <c r="F87" s="92"/>
      <c r="G87" s="40"/>
      <c r="H87" s="181"/>
    </row>
    <row r="88" spans="1:8" ht="13.5" thickBot="1" x14ac:dyDescent="0.25">
      <c r="A88" s="97" t="s">
        <v>191</v>
      </c>
      <c r="B88" s="6"/>
      <c r="E88" s="27"/>
      <c r="F88" s="253"/>
      <c r="G88" s="40"/>
      <c r="H88" s="181"/>
    </row>
    <row r="89" spans="1:8" ht="13.5" thickBot="1" x14ac:dyDescent="0.25">
      <c r="A89" s="354" t="s">
        <v>26</v>
      </c>
      <c r="B89" s="355"/>
      <c r="C89" s="218" t="s">
        <v>27</v>
      </c>
      <c r="D89" s="218" t="s">
        <v>20</v>
      </c>
      <c r="E89" s="219" t="s">
        <v>90</v>
      </c>
      <c r="F89" s="219" t="s">
        <v>28</v>
      </c>
      <c r="G89" s="220" t="s">
        <v>29</v>
      </c>
      <c r="H89" s="220" t="s">
        <v>141</v>
      </c>
    </row>
    <row r="90" spans="1:8" x14ac:dyDescent="0.2">
      <c r="A90" s="356" t="s">
        <v>134</v>
      </c>
      <c r="B90" s="357"/>
      <c r="C90" s="8" t="s">
        <v>7</v>
      </c>
      <c r="D90" s="8">
        <v>1</v>
      </c>
      <c r="E90" s="9">
        <f>E82</f>
        <v>208627</v>
      </c>
      <c r="F90" s="9">
        <f>D90*E90</f>
        <v>208627</v>
      </c>
      <c r="G90" s="134"/>
      <c r="H90" s="129"/>
    </row>
    <row r="91" spans="1:8" x14ac:dyDescent="0.2">
      <c r="A91" s="364" t="s">
        <v>86</v>
      </c>
      <c r="B91" s="352"/>
      <c r="C91" s="10" t="s">
        <v>0</v>
      </c>
      <c r="D91" s="244">
        <v>10.5</v>
      </c>
      <c r="E91" s="11"/>
      <c r="F91" s="11"/>
      <c r="G91" s="133"/>
      <c r="H91" s="181"/>
    </row>
    <row r="92" spans="1:8" x14ac:dyDescent="0.2">
      <c r="A92" s="351" t="s">
        <v>197</v>
      </c>
      <c r="B92" s="352"/>
      <c r="C92" s="10" t="s">
        <v>19</v>
      </c>
      <c r="D92" s="45">
        <f>F90</f>
        <v>208627</v>
      </c>
      <c r="E92" s="11"/>
      <c r="F92" s="11"/>
      <c r="G92" s="133"/>
      <c r="H92" s="181"/>
    </row>
    <row r="93" spans="1:8" x14ac:dyDescent="0.2">
      <c r="A93" s="351" t="s">
        <v>196</v>
      </c>
      <c r="B93" s="352"/>
      <c r="C93" s="10"/>
      <c r="D93" s="45">
        <f>F82-F84</f>
        <v>72643.921399999992</v>
      </c>
      <c r="E93" s="11"/>
      <c r="F93" s="11"/>
      <c r="G93" s="133"/>
      <c r="H93" s="181"/>
    </row>
    <row r="94" spans="1:8" x14ac:dyDescent="0.2">
      <c r="A94" s="351" t="s">
        <v>188</v>
      </c>
      <c r="B94" s="352"/>
      <c r="C94" s="10" t="s">
        <v>19</v>
      </c>
      <c r="D94" s="31">
        <f>(D92-D93)*((D83+1)/(2*D83))+D93</f>
        <v>147434.61463</v>
      </c>
      <c r="E94" s="11"/>
      <c r="F94" s="11"/>
      <c r="G94" s="133"/>
      <c r="H94" s="181"/>
    </row>
    <row r="95" spans="1:8" x14ac:dyDescent="0.2">
      <c r="A95" s="353" t="s">
        <v>135</v>
      </c>
      <c r="B95" s="352"/>
      <c r="C95" s="34" t="s">
        <v>19</v>
      </c>
      <c r="D95" s="34"/>
      <c r="E95" s="151">
        <f>ROUND(D91*D94/12/100,2)</f>
        <v>1290.05</v>
      </c>
      <c r="F95" s="35">
        <f>E95</f>
        <v>1290.05</v>
      </c>
      <c r="G95" s="133"/>
      <c r="H95" s="181"/>
    </row>
    <row r="96" spans="1:8" x14ac:dyDescent="0.2">
      <c r="A96" s="353" t="s">
        <v>136</v>
      </c>
      <c r="B96" s="361"/>
      <c r="C96" s="91"/>
      <c r="D96" s="91"/>
      <c r="E96" s="19"/>
      <c r="F96" s="150">
        <f>F95</f>
        <v>1290.05</v>
      </c>
      <c r="G96" s="133"/>
      <c r="H96" s="181"/>
    </row>
    <row r="97" spans="1:8" ht="13.5" thickBot="1" x14ac:dyDescent="0.25">
      <c r="A97" s="353" t="s">
        <v>94</v>
      </c>
      <c r="B97" s="352"/>
      <c r="C97" s="34" t="s">
        <v>7</v>
      </c>
      <c r="D97" s="10">
        <f>D86</f>
        <v>1</v>
      </c>
      <c r="E97" s="35">
        <f>F96</f>
        <v>1290.05</v>
      </c>
      <c r="F97" s="319">
        <f>D97*E97</f>
        <v>1290.05</v>
      </c>
      <c r="G97" s="221">
        <f>F97</f>
        <v>1290.05</v>
      </c>
      <c r="H97" s="221">
        <f>G97/G$38</f>
        <v>1.1426888463718821</v>
      </c>
    </row>
    <row r="98" spans="1:8" ht="11.25" customHeight="1" x14ac:dyDescent="0.2">
      <c r="A98" s="96"/>
      <c r="E98" s="27"/>
      <c r="F98" s="27"/>
      <c r="G98" s="128"/>
      <c r="H98" s="181"/>
    </row>
    <row r="99" spans="1:8" ht="13.5" thickBot="1" x14ac:dyDescent="0.25">
      <c r="A99" s="97" t="s">
        <v>192</v>
      </c>
      <c r="B99" s="6"/>
      <c r="E99" s="27"/>
      <c r="F99" s="27"/>
      <c r="G99" s="40"/>
      <c r="H99" s="181"/>
    </row>
    <row r="100" spans="1:8" ht="13.5" thickBot="1" x14ac:dyDescent="0.25">
      <c r="A100" s="354" t="s">
        <v>26</v>
      </c>
      <c r="B100" s="355"/>
      <c r="C100" s="218" t="s">
        <v>27</v>
      </c>
      <c r="D100" s="218" t="s">
        <v>20</v>
      </c>
      <c r="E100" s="219" t="s">
        <v>90</v>
      </c>
      <c r="F100" s="219" t="s">
        <v>28</v>
      </c>
      <c r="G100" s="220" t="s">
        <v>29</v>
      </c>
      <c r="H100" s="220" t="s">
        <v>141</v>
      </c>
    </row>
    <row r="101" spans="1:8" x14ac:dyDescent="0.2">
      <c r="A101" s="365" t="s">
        <v>8</v>
      </c>
      <c r="B101" s="357"/>
      <c r="C101" s="8" t="s">
        <v>7</v>
      </c>
      <c r="D101" s="9">
        <f>D86</f>
        <v>1</v>
      </c>
      <c r="E101" s="9">
        <f>0.01*($F$82)</f>
        <v>2086.27</v>
      </c>
      <c r="F101" s="9">
        <f t="shared" ref="F101:F107" si="5">D101*E101</f>
        <v>2086.27</v>
      </c>
      <c r="G101" s="129"/>
      <c r="H101" s="129"/>
    </row>
    <row r="102" spans="1:8" x14ac:dyDescent="0.2">
      <c r="A102" s="351" t="s">
        <v>232</v>
      </c>
      <c r="B102" s="352"/>
      <c r="C102" s="10" t="s">
        <v>7</v>
      </c>
      <c r="D102" s="9">
        <f>D86</f>
        <v>1</v>
      </c>
      <c r="E102" s="241">
        <v>160.22</v>
      </c>
      <c r="F102" s="11">
        <f t="shared" si="5"/>
        <v>160.22</v>
      </c>
      <c r="G102" s="130"/>
      <c r="H102" s="181"/>
    </row>
    <row r="103" spans="1:8" x14ac:dyDescent="0.2">
      <c r="A103" s="364" t="s">
        <v>9</v>
      </c>
      <c r="B103" s="352"/>
      <c r="C103" s="10" t="s">
        <v>7</v>
      </c>
      <c r="D103" s="9">
        <f>D86</f>
        <v>1</v>
      </c>
      <c r="E103" s="241">
        <v>1310.25</v>
      </c>
      <c r="F103" s="11">
        <f t="shared" si="5"/>
        <v>1310.25</v>
      </c>
      <c r="G103" s="135"/>
      <c r="H103" s="181"/>
    </row>
    <row r="104" spans="1:8" x14ac:dyDescent="0.2">
      <c r="A104" s="351" t="s">
        <v>249</v>
      </c>
      <c r="B104" s="352"/>
      <c r="C104" s="10" t="s">
        <v>7</v>
      </c>
      <c r="D104" s="9">
        <v>1</v>
      </c>
      <c r="E104" s="241">
        <v>1171.9000000000001</v>
      </c>
      <c r="F104" s="11">
        <f t="shared" si="5"/>
        <v>1171.9000000000001</v>
      </c>
      <c r="G104" s="135"/>
      <c r="H104" s="181"/>
    </row>
    <row r="105" spans="1:8" x14ac:dyDescent="0.2">
      <c r="A105" s="351" t="s">
        <v>255</v>
      </c>
      <c r="B105" s="352"/>
      <c r="C105" s="10" t="s">
        <v>7</v>
      </c>
      <c r="D105" s="9">
        <v>1</v>
      </c>
      <c r="E105" s="241">
        <v>540.09</v>
      </c>
      <c r="F105" s="11">
        <f t="shared" si="5"/>
        <v>540.09</v>
      </c>
      <c r="G105" s="135"/>
      <c r="H105" s="181"/>
    </row>
    <row r="106" spans="1:8" x14ac:dyDescent="0.2">
      <c r="A106" s="306" t="s">
        <v>244</v>
      </c>
      <c r="B106" s="307"/>
      <c r="C106" s="10" t="s">
        <v>7</v>
      </c>
      <c r="D106" s="9">
        <v>1</v>
      </c>
      <c r="E106" s="241">
        <v>400</v>
      </c>
      <c r="F106" s="11">
        <f t="shared" si="5"/>
        <v>400</v>
      </c>
      <c r="G106" s="135"/>
      <c r="H106" s="181"/>
    </row>
    <row r="107" spans="1:8" x14ac:dyDescent="0.2">
      <c r="A107" s="351" t="s">
        <v>177</v>
      </c>
      <c r="B107" s="352"/>
      <c r="C107" s="10" t="s">
        <v>7</v>
      </c>
      <c r="D107" s="9">
        <v>1</v>
      </c>
      <c r="E107" s="241">
        <v>45</v>
      </c>
      <c r="F107" s="11">
        <f t="shared" si="5"/>
        <v>45</v>
      </c>
      <c r="G107" s="135"/>
      <c r="H107" s="181"/>
    </row>
    <row r="108" spans="1:8" ht="13.5" thickBot="1" x14ac:dyDescent="0.25">
      <c r="A108" s="353" t="s">
        <v>10</v>
      </c>
      <c r="B108" s="352"/>
      <c r="C108" s="34" t="s">
        <v>5</v>
      </c>
      <c r="D108" s="34">
        <v>12</v>
      </c>
      <c r="E108" s="35">
        <f>SUM(F101:F107)</f>
        <v>5713.73</v>
      </c>
      <c r="F108" s="35">
        <f>ROUND(E108/D108,2)</f>
        <v>476.14</v>
      </c>
      <c r="G108" s="221">
        <f>F108</f>
        <v>476.14</v>
      </c>
      <c r="H108" s="221">
        <f>G108/G$38</f>
        <v>0.42175099206349204</v>
      </c>
    </row>
    <row r="109" spans="1:8" x14ac:dyDescent="0.2">
      <c r="A109" s="316"/>
      <c r="B109" s="317"/>
      <c r="C109" s="317"/>
      <c r="D109" s="317"/>
      <c r="E109" s="318"/>
      <c r="F109" s="27"/>
      <c r="G109" s="40"/>
      <c r="H109" s="181"/>
    </row>
    <row r="110" spans="1:8" x14ac:dyDescent="0.2">
      <c r="A110" s="97" t="s">
        <v>193</v>
      </c>
      <c r="B110" s="6"/>
      <c r="C110" s="95"/>
      <c r="E110" s="27"/>
      <c r="F110" s="27"/>
      <c r="G110" s="40"/>
      <c r="H110" s="181"/>
    </row>
    <row r="111" spans="1:8" ht="13.5" thickBot="1" x14ac:dyDescent="0.25">
      <c r="A111" s="99" t="s">
        <v>137</v>
      </c>
      <c r="B111" s="197"/>
      <c r="C111" s="178">
        <f>G38</f>
        <v>1128.96</v>
      </c>
      <c r="E111" s="27"/>
      <c r="F111" s="27"/>
      <c r="G111" s="40"/>
      <c r="H111" s="181"/>
    </row>
    <row r="112" spans="1:8" ht="13.5" thickBot="1" x14ac:dyDescent="0.25">
      <c r="A112" s="354" t="s">
        <v>26</v>
      </c>
      <c r="B112" s="355"/>
      <c r="C112" s="218" t="s">
        <v>27</v>
      </c>
      <c r="D112" s="218" t="s">
        <v>93</v>
      </c>
      <c r="E112" s="219" t="s">
        <v>90</v>
      </c>
      <c r="F112" s="219" t="s">
        <v>28</v>
      </c>
      <c r="G112" s="220" t="s">
        <v>29</v>
      </c>
      <c r="H112" s="220" t="s">
        <v>141</v>
      </c>
    </row>
    <row r="113" spans="1:8" x14ac:dyDescent="0.2">
      <c r="A113" s="365" t="s">
        <v>11</v>
      </c>
      <c r="B113" s="357"/>
      <c r="C113" s="8" t="s">
        <v>12</v>
      </c>
      <c r="D113" s="175">
        <f>F35</f>
        <v>7.5</v>
      </c>
      <c r="E113" s="175">
        <f>G35</f>
        <v>5.54</v>
      </c>
      <c r="F113" s="9"/>
      <c r="G113" s="129"/>
      <c r="H113" s="129"/>
    </row>
    <row r="114" spans="1:8" x14ac:dyDescent="0.2">
      <c r="A114" s="351" t="s">
        <v>253</v>
      </c>
      <c r="B114" s="352"/>
      <c r="C114" s="10" t="s">
        <v>13</v>
      </c>
      <c r="D114" s="32">
        <f>C111</f>
        <v>1128.96</v>
      </c>
      <c r="E114" s="86">
        <f>IFERROR(+E113/D113,"-")</f>
        <v>0.73866666666666669</v>
      </c>
      <c r="F114" s="11">
        <f>IFERROR(D114*E114,"-")</f>
        <v>833.92512000000011</v>
      </c>
      <c r="G114" s="130"/>
      <c r="H114" s="181"/>
    </row>
    <row r="115" spans="1:8" x14ac:dyDescent="0.2">
      <c r="A115" s="306" t="s">
        <v>263</v>
      </c>
      <c r="B115" s="307"/>
      <c r="C115" s="10" t="s">
        <v>12</v>
      </c>
      <c r="D115" s="241">
        <v>65</v>
      </c>
      <c r="E115" s="346">
        <v>4</v>
      </c>
      <c r="F115" s="11"/>
      <c r="G115" s="130"/>
      <c r="H115" s="181"/>
    </row>
    <row r="116" spans="1:8" x14ac:dyDescent="0.2">
      <c r="A116" s="306" t="s">
        <v>264</v>
      </c>
      <c r="B116" s="307"/>
      <c r="C116" s="10" t="s">
        <v>13</v>
      </c>
      <c r="D116" s="32">
        <f>C111</f>
        <v>1128.96</v>
      </c>
      <c r="E116" s="86">
        <f>IFERROR(+E115/D115,"-")</f>
        <v>6.1538461538461542E-2</v>
      </c>
      <c r="F116" s="11">
        <f>IFERROR(D116*E116,"-")</f>
        <v>69.47446153846154</v>
      </c>
      <c r="G116" s="130"/>
      <c r="H116" s="181"/>
    </row>
    <row r="117" spans="1:8" x14ac:dyDescent="0.2">
      <c r="A117" s="351" t="s">
        <v>206</v>
      </c>
      <c r="B117" s="352"/>
      <c r="C117" s="89" t="s">
        <v>207</v>
      </c>
      <c r="D117" s="245">
        <v>10.5</v>
      </c>
      <c r="E117" s="241">
        <v>19.3</v>
      </c>
      <c r="F117" s="11"/>
      <c r="G117" s="130"/>
      <c r="H117" s="181"/>
    </row>
    <row r="118" spans="1:8" x14ac:dyDescent="0.2">
      <c r="A118" s="364" t="s">
        <v>14</v>
      </c>
      <c r="B118" s="352"/>
      <c r="C118" s="10" t="s">
        <v>13</v>
      </c>
      <c r="D118" s="32">
        <f>D114</f>
        <v>1128.96</v>
      </c>
      <c r="E118" s="83">
        <f>+D117*E117/10000</f>
        <v>2.0265000000000002E-2</v>
      </c>
      <c r="F118" s="11">
        <f>D118*E118</f>
        <v>22.878374400000002</v>
      </c>
      <c r="G118" s="130"/>
      <c r="H118" s="181"/>
    </row>
    <row r="119" spans="1:8" x14ac:dyDescent="0.2">
      <c r="A119" s="351" t="s">
        <v>208</v>
      </c>
      <c r="B119" s="352"/>
      <c r="C119" s="89" t="s">
        <v>209</v>
      </c>
      <c r="D119" s="245">
        <v>4.5999999999999996</v>
      </c>
      <c r="E119" s="241">
        <v>22.8</v>
      </c>
      <c r="F119" s="11"/>
      <c r="G119" s="130"/>
      <c r="H119" s="181"/>
    </row>
    <row r="120" spans="1:8" x14ac:dyDescent="0.2">
      <c r="A120" s="364" t="s">
        <v>15</v>
      </c>
      <c r="B120" s="352"/>
      <c r="C120" s="10" t="s">
        <v>13</v>
      </c>
      <c r="D120" s="32">
        <f>D114</f>
        <v>1128.96</v>
      </c>
      <c r="E120" s="214">
        <f>+D119*E119/100000</f>
        <v>1.0487999999999999E-3</v>
      </c>
      <c r="F120" s="11">
        <f>D120*E120</f>
        <v>1.1840532479999999</v>
      </c>
      <c r="G120" s="130"/>
      <c r="H120" s="181"/>
    </row>
    <row r="121" spans="1:8" x14ac:dyDescent="0.2">
      <c r="A121" s="351" t="s">
        <v>211</v>
      </c>
      <c r="B121" s="352"/>
      <c r="C121" s="89" t="s">
        <v>210</v>
      </c>
      <c r="D121" s="245">
        <v>1.7</v>
      </c>
      <c r="E121" s="241">
        <v>21.95</v>
      </c>
      <c r="F121" s="11"/>
      <c r="G121" s="130"/>
      <c r="H121" s="181"/>
    </row>
    <row r="122" spans="1:8" x14ac:dyDescent="0.2">
      <c r="A122" s="364" t="s">
        <v>16</v>
      </c>
      <c r="B122" s="352"/>
      <c r="C122" s="10" t="s">
        <v>13</v>
      </c>
      <c r="D122" s="32">
        <f>D114</f>
        <v>1128.96</v>
      </c>
      <c r="E122" s="214">
        <f>+D121*E121/80000</f>
        <v>4.6643749999999995E-4</v>
      </c>
      <c r="F122" s="11">
        <f>D122*E122</f>
        <v>0.52658927999999994</v>
      </c>
      <c r="G122" s="130"/>
      <c r="H122" s="181"/>
    </row>
    <row r="123" spans="1:8" x14ac:dyDescent="0.2">
      <c r="A123" s="351" t="s">
        <v>213</v>
      </c>
      <c r="B123" s="352"/>
      <c r="C123" s="89" t="s">
        <v>212</v>
      </c>
      <c r="D123" s="245">
        <v>1</v>
      </c>
      <c r="E123" s="241">
        <v>20.9</v>
      </c>
      <c r="F123" s="11"/>
      <c r="G123" s="130"/>
      <c r="H123" s="181"/>
    </row>
    <row r="124" spans="1:8" x14ac:dyDescent="0.2">
      <c r="A124" s="364" t="s">
        <v>17</v>
      </c>
      <c r="B124" s="352"/>
      <c r="C124" s="10" t="s">
        <v>13</v>
      </c>
      <c r="D124" s="32">
        <f>D114</f>
        <v>1128.96</v>
      </c>
      <c r="E124" s="83">
        <f>+D123*E123/10000</f>
        <v>2.0899999999999998E-3</v>
      </c>
      <c r="F124" s="11">
        <f>D124*E124</f>
        <v>2.3595264</v>
      </c>
      <c r="G124" s="130"/>
      <c r="H124" s="181"/>
    </row>
    <row r="125" spans="1:8" ht="13.5" thickBot="1" x14ac:dyDescent="0.25">
      <c r="A125" s="353" t="s">
        <v>92</v>
      </c>
      <c r="B125" s="352"/>
      <c r="C125" s="34" t="s">
        <v>44</v>
      </c>
      <c r="D125" s="84"/>
      <c r="E125" s="85">
        <f>IFERROR(E114+E118+E120+E122+E124,0)</f>
        <v>0.76253690416666664</v>
      </c>
      <c r="F125" s="35">
        <f>ROUND(SUM(F113:F124),2)</f>
        <v>930.35</v>
      </c>
      <c r="G125" s="221">
        <f>F125</f>
        <v>930.35</v>
      </c>
      <c r="H125" s="221">
        <f>G125/G$38</f>
        <v>0.82407702664399096</v>
      </c>
    </row>
    <row r="126" spans="1:8" ht="11.25" customHeight="1" x14ac:dyDescent="0.2">
      <c r="A126" s="96"/>
      <c r="E126" s="27"/>
      <c r="F126" s="27"/>
      <c r="G126" s="128"/>
      <c r="H126" s="181"/>
    </row>
    <row r="127" spans="1:8" ht="13.5" thickBot="1" x14ac:dyDescent="0.25">
      <c r="A127" s="97" t="s">
        <v>194</v>
      </c>
      <c r="B127" s="6"/>
      <c r="E127" s="27"/>
      <c r="F127" s="27"/>
      <c r="G127" s="40"/>
      <c r="H127" s="181"/>
    </row>
    <row r="128" spans="1:8" ht="13.5" thickBot="1" x14ac:dyDescent="0.25">
      <c r="A128" s="354" t="s">
        <v>26</v>
      </c>
      <c r="B128" s="355"/>
      <c r="C128" s="218" t="s">
        <v>27</v>
      </c>
      <c r="D128" s="218" t="s">
        <v>20</v>
      </c>
      <c r="E128" s="219" t="s">
        <v>90</v>
      </c>
      <c r="F128" s="219" t="s">
        <v>28</v>
      </c>
      <c r="G128" s="220" t="s">
        <v>29</v>
      </c>
      <c r="H128" s="220" t="s">
        <v>141</v>
      </c>
    </row>
    <row r="129" spans="1:10" x14ac:dyDescent="0.2">
      <c r="A129" s="356" t="s">
        <v>169</v>
      </c>
      <c r="B129" s="357"/>
      <c r="C129" s="8" t="s">
        <v>44</v>
      </c>
      <c r="D129" s="32">
        <f>D114</f>
        <v>1128.96</v>
      </c>
      <c r="E129" s="246">
        <v>0.35</v>
      </c>
      <c r="F129" s="9">
        <f>D129*E129</f>
        <v>395.13599999999997</v>
      </c>
      <c r="G129" s="129"/>
      <c r="H129" s="129"/>
      <c r="J129" s="325"/>
    </row>
    <row r="130" spans="1:10" x14ac:dyDescent="0.2">
      <c r="A130" s="351" t="s">
        <v>128</v>
      </c>
      <c r="B130" s="352"/>
      <c r="C130" s="152" t="s">
        <v>129</v>
      </c>
      <c r="D130" s="248">
        <v>4</v>
      </c>
      <c r="E130" s="247">
        <v>100</v>
      </c>
      <c r="F130" s="153">
        <f>D130*E130</f>
        <v>400</v>
      </c>
      <c r="G130" s="40"/>
      <c r="H130" s="40"/>
    </row>
    <row r="131" spans="1:10" s="155" customFormat="1" x14ac:dyDescent="0.2">
      <c r="A131" s="351" t="s">
        <v>236</v>
      </c>
      <c r="B131" s="352"/>
      <c r="C131" s="152" t="s">
        <v>129</v>
      </c>
      <c r="D131" s="300">
        <f>F39*2</f>
        <v>28</v>
      </c>
      <c r="E131" s="301">
        <v>8.6</v>
      </c>
      <c r="F131" s="153">
        <f>D131*E131</f>
        <v>240.79999999999998</v>
      </c>
      <c r="G131" s="154"/>
      <c r="H131" s="182"/>
      <c r="I131" s="4"/>
    </row>
    <row r="132" spans="1:10" s="155" customFormat="1" ht="13.5" thickBot="1" x14ac:dyDescent="0.25">
      <c r="A132" s="353" t="s">
        <v>130</v>
      </c>
      <c r="B132" s="352"/>
      <c r="C132" s="89" t="s">
        <v>131</v>
      </c>
      <c r="D132" s="156"/>
      <c r="E132" s="23"/>
      <c r="F132" s="149">
        <f>ROUND(SUM(F129:F131),2)</f>
        <v>1035.94</v>
      </c>
      <c r="G132" s="221">
        <f>F132</f>
        <v>1035.94</v>
      </c>
      <c r="H132" s="221">
        <f>G132/G$38</f>
        <v>0.91760558390022673</v>
      </c>
      <c r="I132" s="4"/>
    </row>
    <row r="133" spans="1:10" ht="11.25" customHeight="1" x14ac:dyDescent="0.2">
      <c r="A133" s="96"/>
      <c r="E133" s="27"/>
      <c r="F133" s="27"/>
      <c r="G133" s="128"/>
      <c r="H133" s="181"/>
    </row>
    <row r="134" spans="1:10" ht="13.5" thickBot="1" x14ac:dyDescent="0.25">
      <c r="A134" s="97" t="s">
        <v>195</v>
      </c>
      <c r="B134" s="6"/>
      <c r="E134" s="27"/>
      <c r="F134" s="27"/>
      <c r="G134" s="40"/>
      <c r="H134" s="181"/>
    </row>
    <row r="135" spans="1:10" ht="13.5" thickBot="1" x14ac:dyDescent="0.25">
      <c r="A135" s="354" t="s">
        <v>26</v>
      </c>
      <c r="B135" s="355"/>
      <c r="C135" s="218" t="s">
        <v>27</v>
      </c>
      <c r="D135" s="218" t="s">
        <v>20</v>
      </c>
      <c r="E135" s="219" t="s">
        <v>90</v>
      </c>
      <c r="F135" s="219" t="s">
        <v>28</v>
      </c>
      <c r="G135" s="220" t="s">
        <v>29</v>
      </c>
      <c r="H135" s="220" t="s">
        <v>141</v>
      </c>
    </row>
    <row r="136" spans="1:10" x14ac:dyDescent="0.2">
      <c r="A136" s="356" t="s">
        <v>262</v>
      </c>
      <c r="B136" s="357"/>
      <c r="C136" s="8" t="s">
        <v>7</v>
      </c>
      <c r="D136" s="249">
        <v>6</v>
      </c>
      <c r="E136" s="247">
        <v>745</v>
      </c>
      <c r="F136" s="9">
        <f>D136*E136</f>
        <v>4470</v>
      </c>
      <c r="G136" s="129"/>
      <c r="H136" s="129"/>
    </row>
    <row r="137" spans="1:10" x14ac:dyDescent="0.2">
      <c r="A137" s="294" t="s">
        <v>233</v>
      </c>
      <c r="B137" s="295"/>
      <c r="C137" s="152" t="s">
        <v>27</v>
      </c>
      <c r="D137" s="298">
        <v>0</v>
      </c>
      <c r="E137" s="296"/>
      <c r="F137" s="153"/>
      <c r="G137" s="130"/>
      <c r="H137" s="40"/>
    </row>
    <row r="138" spans="1:10" x14ac:dyDescent="0.2">
      <c r="A138" s="294" t="s">
        <v>234</v>
      </c>
      <c r="B138" s="295"/>
      <c r="C138" s="152" t="s">
        <v>27</v>
      </c>
      <c r="D138" s="153">
        <f>D136*D137</f>
        <v>0</v>
      </c>
      <c r="E138" s="247">
        <v>0</v>
      </c>
      <c r="F138" s="153">
        <f>D138*E138</f>
        <v>0</v>
      </c>
      <c r="G138" s="130"/>
      <c r="H138" s="40"/>
    </row>
    <row r="139" spans="1:10" x14ac:dyDescent="0.2">
      <c r="A139" s="351" t="s">
        <v>125</v>
      </c>
      <c r="B139" s="352"/>
      <c r="C139" s="10" t="s">
        <v>18</v>
      </c>
      <c r="D139" s="299">
        <v>45000</v>
      </c>
      <c r="E139" s="184">
        <f>F136+F138</f>
        <v>4470</v>
      </c>
      <c r="F139" s="184">
        <f>IFERROR(E139/D139,"-")</f>
        <v>9.9333333333333329E-2</v>
      </c>
      <c r="G139" s="130"/>
      <c r="H139" s="181"/>
    </row>
    <row r="140" spans="1:10" ht="13.5" thickBot="1" x14ac:dyDescent="0.25">
      <c r="A140" s="353" t="s">
        <v>24</v>
      </c>
      <c r="B140" s="352"/>
      <c r="C140" s="10" t="s">
        <v>13</v>
      </c>
      <c r="D140" s="297">
        <f>C111</f>
        <v>1128.96</v>
      </c>
      <c r="E140" s="184">
        <f>F139</f>
        <v>9.9333333333333329E-2</v>
      </c>
      <c r="F140" s="184">
        <f>ROUND(D140*E140,2)</f>
        <v>112.14</v>
      </c>
      <c r="G140" s="221">
        <f>F140</f>
        <v>112.14</v>
      </c>
      <c r="H140" s="221">
        <f>G140/G$38</f>
        <v>9.9330357142857137E-2</v>
      </c>
    </row>
    <row r="141" spans="1:10" ht="11.25" customHeight="1" x14ac:dyDescent="0.2">
      <c r="A141" s="96"/>
      <c r="E141" s="27"/>
      <c r="F141" s="27"/>
      <c r="G141" s="128"/>
      <c r="H141" s="181"/>
    </row>
    <row r="142" spans="1:10" ht="13.5" thickBot="1" x14ac:dyDescent="0.25">
      <c r="A142" s="97" t="s">
        <v>245</v>
      </c>
      <c r="B142" s="6"/>
      <c r="E142" s="27"/>
      <c r="F142" s="27"/>
      <c r="G142" s="40"/>
      <c r="H142" s="181"/>
    </row>
    <row r="143" spans="1:10" ht="13.5" thickBot="1" x14ac:dyDescent="0.25">
      <c r="A143" s="354" t="s">
        <v>26</v>
      </c>
      <c r="B143" s="355"/>
      <c r="C143" s="218" t="s">
        <v>27</v>
      </c>
      <c r="D143" s="218" t="s">
        <v>20</v>
      </c>
      <c r="E143" s="219" t="s">
        <v>90</v>
      </c>
      <c r="F143" s="219" t="s">
        <v>28</v>
      </c>
      <c r="G143" s="220" t="s">
        <v>29</v>
      </c>
      <c r="H143" s="220" t="s">
        <v>141</v>
      </c>
    </row>
    <row r="144" spans="1:10" x14ac:dyDescent="0.2">
      <c r="A144" s="356" t="s">
        <v>250</v>
      </c>
      <c r="B144" s="357"/>
      <c r="C144" s="152" t="s">
        <v>142</v>
      </c>
      <c r="D144" s="298">
        <v>1</v>
      </c>
      <c r="E144" s="247">
        <f>149/12</f>
        <v>12.416666666666666</v>
      </c>
      <c r="F144" s="9">
        <f>D144*E144</f>
        <v>12.416666666666666</v>
      </c>
      <c r="G144" s="129"/>
      <c r="H144" s="129"/>
    </row>
    <row r="145" spans="1:8" x14ac:dyDescent="0.2">
      <c r="A145" s="294" t="s">
        <v>246</v>
      </c>
      <c r="B145" s="295"/>
      <c r="C145" s="152" t="s">
        <v>142</v>
      </c>
      <c r="D145" s="298">
        <v>1</v>
      </c>
      <c r="E145" s="247">
        <v>59.99</v>
      </c>
      <c r="F145" s="153">
        <f>D145*E145</f>
        <v>59.99</v>
      </c>
      <c r="G145" s="130"/>
      <c r="H145" s="40"/>
    </row>
    <row r="146" spans="1:8" ht="13.5" thickBot="1" x14ac:dyDescent="0.25">
      <c r="A146" s="353" t="s">
        <v>247</v>
      </c>
      <c r="B146" s="352"/>
      <c r="C146" s="10"/>
      <c r="D146" s="297"/>
      <c r="E146" s="184"/>
      <c r="F146" s="184"/>
      <c r="G146" s="221">
        <f>F144+F145</f>
        <v>72.406666666666666</v>
      </c>
      <c r="H146" s="221">
        <f>G146/G$38</f>
        <v>6.4135723733938013E-2</v>
      </c>
    </row>
    <row r="147" spans="1:8" ht="11.25" customHeight="1" thickBot="1" x14ac:dyDescent="0.25">
      <c r="A147" s="96"/>
      <c r="E147" s="27"/>
      <c r="F147" s="27"/>
      <c r="G147" s="128"/>
      <c r="H147" s="181"/>
    </row>
    <row r="148" spans="1:8" ht="13.5" thickBot="1" x14ac:dyDescent="0.25">
      <c r="A148" s="12" t="s">
        <v>138</v>
      </c>
      <c r="B148" s="13"/>
      <c r="C148" s="13"/>
      <c r="D148" s="13"/>
      <c r="E148" s="14"/>
      <c r="F148" s="15"/>
      <c r="G148" s="227">
        <f>+SUM(G82:G147)</f>
        <v>5050.218988333334</v>
      </c>
      <c r="H148" s="221">
        <f>G148/G$38</f>
        <v>4.4733373975458246</v>
      </c>
    </row>
    <row r="149" spans="1:8" ht="11.25" customHeight="1" x14ac:dyDescent="0.2">
      <c r="A149" s="96"/>
      <c r="E149" s="27"/>
      <c r="F149" s="27"/>
      <c r="G149" s="128"/>
      <c r="H149" s="181"/>
    </row>
    <row r="150" spans="1:8" ht="13.5" thickBot="1" x14ac:dyDescent="0.25">
      <c r="A150" s="97" t="s">
        <v>149</v>
      </c>
      <c r="B150" s="6"/>
      <c r="C150" s="6"/>
      <c r="D150" s="6"/>
      <c r="E150" s="20"/>
      <c r="F150" s="20"/>
      <c r="G150" s="136"/>
      <c r="H150" s="181"/>
    </row>
    <row r="151" spans="1:8" ht="13.5" thickBot="1" x14ac:dyDescent="0.25">
      <c r="A151" s="354" t="s">
        <v>26</v>
      </c>
      <c r="B151" s="355"/>
      <c r="C151" s="218" t="s">
        <v>27</v>
      </c>
      <c r="D151" s="218" t="s">
        <v>20</v>
      </c>
      <c r="E151" s="219" t="s">
        <v>90</v>
      </c>
      <c r="F151" s="219" t="s">
        <v>28</v>
      </c>
      <c r="G151" s="220" t="s">
        <v>29</v>
      </c>
      <c r="H151" s="220" t="s">
        <v>141</v>
      </c>
    </row>
    <row r="152" spans="1:8" x14ac:dyDescent="0.2">
      <c r="A152" s="356" t="s">
        <v>171</v>
      </c>
      <c r="B152" s="357"/>
      <c r="C152" s="89" t="s">
        <v>170</v>
      </c>
      <c r="D152" s="250">
        <f>1/12</f>
        <v>8.3333333333333329E-2</v>
      </c>
      <c r="E152" s="247">
        <v>28</v>
      </c>
      <c r="F152" s="11">
        <f>D152*E152</f>
        <v>2.333333333333333</v>
      </c>
      <c r="G152" s="137"/>
      <c r="H152" s="129"/>
    </row>
    <row r="153" spans="1:8" x14ac:dyDescent="0.2">
      <c r="A153" s="351" t="s">
        <v>172</v>
      </c>
      <c r="B153" s="352"/>
      <c r="C153" s="89" t="s">
        <v>170</v>
      </c>
      <c r="D153" s="250">
        <f>3/12</f>
        <v>0.25</v>
      </c>
      <c r="E153" s="247">
        <v>19.899999999999999</v>
      </c>
      <c r="F153" s="11">
        <f>D153*E153</f>
        <v>4.9749999999999996</v>
      </c>
      <c r="G153" s="138"/>
      <c r="H153" s="181"/>
    </row>
    <row r="154" spans="1:8" x14ac:dyDescent="0.2">
      <c r="A154" s="351" t="s">
        <v>173</v>
      </c>
      <c r="B154" s="352"/>
      <c r="C154" s="89" t="s">
        <v>170</v>
      </c>
      <c r="D154" s="250">
        <f>2/12</f>
        <v>0.16666666666666666</v>
      </c>
      <c r="E154" s="247">
        <v>14.8</v>
      </c>
      <c r="F154" s="11">
        <f>D154*E154</f>
        <v>2.4666666666666668</v>
      </c>
      <c r="G154" s="138"/>
      <c r="H154" s="181"/>
    </row>
    <row r="155" spans="1:8" ht="13.5" thickBot="1" x14ac:dyDescent="0.25">
      <c r="A155" s="351" t="s">
        <v>174</v>
      </c>
      <c r="B155" s="352"/>
      <c r="C155" s="89" t="s">
        <v>187</v>
      </c>
      <c r="D155" s="250">
        <f>4</f>
        <v>4</v>
      </c>
      <c r="E155" s="247">
        <v>17.98</v>
      </c>
      <c r="F155" s="11">
        <f>D155*E155</f>
        <v>71.92</v>
      </c>
      <c r="G155" s="138"/>
      <c r="H155" s="181"/>
    </row>
    <row r="156" spans="1:8" ht="13.5" thickBot="1" x14ac:dyDescent="0.25">
      <c r="A156" s="351" t="s">
        <v>175</v>
      </c>
      <c r="B156" s="352"/>
      <c r="C156" s="89" t="s">
        <v>170</v>
      </c>
      <c r="D156" s="250">
        <v>4</v>
      </c>
      <c r="E156" s="247">
        <v>4.7</v>
      </c>
      <c r="F156" s="11">
        <f t="shared" ref="F156" si="6">D156*E156</f>
        <v>18.8</v>
      </c>
      <c r="G156" s="225">
        <f>ROUND(SUM(F152:F156),2)</f>
        <v>100.5</v>
      </c>
      <c r="H156" s="225">
        <f>G156/G$38</f>
        <v>8.9019982993197272E-2</v>
      </c>
    </row>
    <row r="157" spans="1:8" ht="11.25" customHeight="1" thickBot="1" x14ac:dyDescent="0.25">
      <c r="A157" s="96"/>
      <c r="E157" s="27"/>
      <c r="F157" s="27"/>
      <c r="G157" s="40"/>
      <c r="H157" s="40"/>
    </row>
    <row r="158" spans="1:8" ht="13.5" thickBot="1" x14ac:dyDescent="0.25">
      <c r="A158" s="12" t="s">
        <v>89</v>
      </c>
      <c r="B158" s="13"/>
      <c r="C158" s="13"/>
      <c r="D158" s="13"/>
      <c r="E158" s="14"/>
      <c r="F158" s="15"/>
      <c r="G158" s="227">
        <f>+G156</f>
        <v>100.5</v>
      </c>
      <c r="H158" s="227">
        <f>G158/G$38</f>
        <v>8.9019982993197272E-2</v>
      </c>
    </row>
    <row r="159" spans="1:8" ht="11.25" customHeight="1" thickBot="1" x14ac:dyDescent="0.25">
      <c r="A159" s="96"/>
      <c r="E159" s="27"/>
      <c r="F159" s="27"/>
      <c r="G159" s="128"/>
      <c r="H159" s="128"/>
    </row>
    <row r="160" spans="1:8" ht="17.25" customHeight="1" thickBot="1" x14ac:dyDescent="0.25">
      <c r="A160" s="12" t="s">
        <v>122</v>
      </c>
      <c r="B160" s="13"/>
      <c r="C160" s="16"/>
      <c r="D160" s="16"/>
      <c r="E160" s="17"/>
      <c r="F160" s="18"/>
      <c r="G160" s="224">
        <f>+G76+G148+G158</f>
        <v>6813.3659883333339</v>
      </c>
      <c r="H160" s="224">
        <f>G160/G$38</f>
        <v>6.0350818349041004</v>
      </c>
    </row>
    <row r="161" spans="1:8" ht="17.25" customHeight="1" thickBot="1" x14ac:dyDescent="0.25">
      <c r="A161" s="12" t="s">
        <v>123</v>
      </c>
      <c r="B161" s="13"/>
      <c r="C161" s="16"/>
      <c r="D161" s="16"/>
      <c r="E161" s="17"/>
      <c r="F161" s="18"/>
      <c r="G161" s="226">
        <f>+G77+G148+G158</f>
        <v>6513.7624883333337</v>
      </c>
      <c r="H161" s="226">
        <f>G161/G$38</f>
        <v>5.7697017505787036</v>
      </c>
    </row>
    <row r="162" spans="1:8" ht="11.25" customHeight="1" x14ac:dyDescent="0.2">
      <c r="A162" s="96"/>
      <c r="E162" s="27"/>
      <c r="F162" s="27"/>
      <c r="G162" s="128"/>
      <c r="H162" s="128"/>
    </row>
    <row r="163" spans="1:8" ht="13.5" thickBot="1" x14ac:dyDescent="0.25">
      <c r="A163" s="97" t="s">
        <v>150</v>
      </c>
      <c r="B163" s="6"/>
      <c r="E163" s="27"/>
      <c r="F163" s="27"/>
      <c r="G163" s="40"/>
      <c r="H163" s="40"/>
    </row>
    <row r="164" spans="1:8" ht="13.5" thickBot="1" x14ac:dyDescent="0.25">
      <c r="A164" s="354" t="s">
        <v>26</v>
      </c>
      <c r="B164" s="355"/>
      <c r="C164" s="218" t="s">
        <v>27</v>
      </c>
      <c r="D164" s="218" t="s">
        <v>20</v>
      </c>
      <c r="E164" s="219" t="s">
        <v>90</v>
      </c>
      <c r="F164" s="219" t="s">
        <v>28</v>
      </c>
      <c r="G164" s="220" t="s">
        <v>29</v>
      </c>
      <c r="H164" s="220" t="s">
        <v>141</v>
      </c>
    </row>
    <row r="165" spans="1:8" ht="13.5" thickBot="1" x14ac:dyDescent="0.25">
      <c r="A165" s="356" t="s">
        <v>151</v>
      </c>
      <c r="B165" s="357"/>
      <c r="C165" s="8" t="s">
        <v>0</v>
      </c>
      <c r="D165" s="41">
        <f>BDI!E11*100</f>
        <v>32.35</v>
      </c>
      <c r="E165" s="9">
        <f>+G160</f>
        <v>6813.3659883333339</v>
      </c>
      <c r="F165" s="9">
        <f>ROUND(D165*E165/100,2)</f>
        <v>2204.12</v>
      </c>
      <c r="G165" s="227">
        <f>+F165</f>
        <v>2204.12</v>
      </c>
      <c r="H165" s="227">
        <f>G165/G$38</f>
        <v>1.9523455215419498</v>
      </c>
    </row>
    <row r="166" spans="1:8" x14ac:dyDescent="0.2">
      <c r="A166" s="96"/>
      <c r="E166" s="27"/>
      <c r="F166" s="27"/>
      <c r="G166" s="128"/>
      <c r="H166" s="128"/>
    </row>
    <row r="167" spans="1:8" ht="11.25" customHeight="1" thickBot="1" x14ac:dyDescent="0.25">
      <c r="A167" s="96"/>
      <c r="E167" s="27"/>
      <c r="F167" s="27"/>
      <c r="G167" s="40"/>
      <c r="H167" s="40"/>
    </row>
    <row r="168" spans="1:8" ht="13.5" thickBot="1" x14ac:dyDescent="0.25">
      <c r="A168" s="12" t="s">
        <v>152</v>
      </c>
      <c r="B168" s="13"/>
      <c r="C168" s="16"/>
      <c r="D168" s="16"/>
      <c r="E168" s="17"/>
      <c r="F168" s="18"/>
      <c r="G168" s="226">
        <f>G165</f>
        <v>2204.12</v>
      </c>
      <c r="H168" s="226">
        <f>G168/G$38</f>
        <v>1.9523455215419498</v>
      </c>
    </row>
    <row r="169" spans="1:8" ht="13.5" thickBot="1" x14ac:dyDescent="0.25">
      <c r="A169" s="97"/>
      <c r="B169" s="6"/>
      <c r="C169" s="6"/>
      <c r="D169" s="6"/>
      <c r="E169" s="20"/>
      <c r="F169" s="20"/>
      <c r="G169" s="139"/>
      <c r="H169" s="139"/>
    </row>
    <row r="170" spans="1:8" ht="24.75" customHeight="1" thickBot="1" x14ac:dyDescent="0.25">
      <c r="A170" s="12" t="s">
        <v>153</v>
      </c>
      <c r="B170" s="13"/>
      <c r="C170" s="16"/>
      <c r="D170" s="16"/>
      <c r="E170" s="17"/>
      <c r="F170" s="18"/>
      <c r="G170" s="189">
        <f>G160+G168</f>
        <v>9017.4859883333338</v>
      </c>
      <c r="H170" s="226">
        <f>G170/G$38</f>
        <v>7.9874273564460507</v>
      </c>
    </row>
    <row r="171" spans="1:8" ht="12.6" customHeight="1" x14ac:dyDescent="0.2">
      <c r="A171" s="101"/>
      <c r="B171" s="24"/>
      <c r="C171" s="24"/>
      <c r="D171" s="24"/>
      <c r="E171" s="25"/>
      <c r="F171" s="25"/>
      <c r="G171" s="140"/>
      <c r="H171" s="140"/>
    </row>
    <row r="172" spans="1:8" ht="16.149999999999999" customHeight="1" x14ac:dyDescent="0.2">
      <c r="A172" s="351" t="s">
        <v>154</v>
      </c>
      <c r="B172" s="361"/>
      <c r="C172" s="79"/>
      <c r="D172" s="79"/>
      <c r="E172" s="147">
        <f>C111</f>
        <v>1128.96</v>
      </c>
      <c r="F172" s="146" t="s">
        <v>140</v>
      </c>
      <c r="G172" s="40"/>
      <c r="H172" s="40"/>
    </row>
    <row r="173" spans="1:8" ht="13.5" thickBot="1" x14ac:dyDescent="0.25">
      <c r="A173" s="96"/>
      <c r="E173" s="27"/>
      <c r="F173" s="27"/>
      <c r="G173" s="40"/>
      <c r="H173" s="40"/>
    </row>
    <row r="174" spans="1:8" ht="25.5" customHeight="1" thickBot="1" x14ac:dyDescent="0.25">
      <c r="A174" s="12" t="s">
        <v>155</v>
      </c>
      <c r="B174" s="13"/>
      <c r="C174" s="13"/>
      <c r="D174" s="13"/>
      <c r="E174" s="14"/>
      <c r="F174" s="145" t="s">
        <v>141</v>
      </c>
      <c r="G174" s="358">
        <f>ROUND(IFERROR(G170/E172,"-"),2)</f>
        <v>7.99</v>
      </c>
      <c r="H174" s="359"/>
    </row>
    <row r="175" spans="1:8" ht="12.6" customHeight="1" x14ac:dyDescent="0.2">
      <c r="A175" s="97"/>
      <c r="B175" s="6"/>
      <c r="C175" s="6"/>
      <c r="D175" s="6"/>
      <c r="E175" s="20"/>
      <c r="F175" s="20"/>
      <c r="G175" s="141"/>
      <c r="H175" s="141"/>
    </row>
    <row r="176" spans="1:8" x14ac:dyDescent="0.2">
      <c r="A176" s="97" t="s">
        <v>156</v>
      </c>
      <c r="B176" s="6"/>
      <c r="E176" s="27"/>
      <c r="F176" s="27"/>
      <c r="G176" s="40"/>
      <c r="H176" s="40"/>
    </row>
    <row r="177" spans="1:8" ht="11.25" customHeight="1" thickBot="1" x14ac:dyDescent="0.25">
      <c r="A177" s="96"/>
      <c r="E177" s="27"/>
      <c r="F177" s="27"/>
      <c r="G177" s="40"/>
      <c r="H177" s="40"/>
    </row>
    <row r="178" spans="1:8" ht="13.5" thickBot="1" x14ac:dyDescent="0.25">
      <c r="A178" s="222" t="s">
        <v>26</v>
      </c>
      <c r="B178" s="223"/>
      <c r="C178" s="218" t="s">
        <v>27</v>
      </c>
      <c r="D178" s="218" t="s">
        <v>20</v>
      </c>
      <c r="E178" s="219" t="s">
        <v>90</v>
      </c>
      <c r="F178" s="219" t="s">
        <v>28</v>
      </c>
      <c r="G178" s="220" t="s">
        <v>29</v>
      </c>
      <c r="H178" s="220" t="s">
        <v>141</v>
      </c>
    </row>
    <row r="179" spans="1:8" ht="13.5" thickBot="1" x14ac:dyDescent="0.25">
      <c r="A179" s="356" t="s">
        <v>139</v>
      </c>
      <c r="B179" s="357"/>
      <c r="C179" s="8" t="s">
        <v>0</v>
      </c>
      <c r="D179" s="41">
        <f>BDI!E$24*100</f>
        <v>24.46</v>
      </c>
      <c r="E179" s="9">
        <f>G160</f>
        <v>6813.3659883333339</v>
      </c>
      <c r="F179" s="9">
        <f>ROUND(D179*E179/100,2)</f>
        <v>1666.55</v>
      </c>
      <c r="G179" s="227">
        <f>+F179</f>
        <v>1666.55</v>
      </c>
      <c r="H179" s="227">
        <f>G179/G$38</f>
        <v>1.4761816184807255</v>
      </c>
    </row>
    <row r="180" spans="1:8" x14ac:dyDescent="0.2">
      <c r="A180" s="96"/>
      <c r="E180" s="27"/>
      <c r="F180" s="27"/>
      <c r="G180" s="141"/>
      <c r="H180" s="141"/>
    </row>
    <row r="181" spans="1:8" ht="11.25" customHeight="1" thickBot="1" x14ac:dyDescent="0.25">
      <c r="A181" s="96"/>
      <c r="E181" s="27"/>
      <c r="F181" s="27"/>
      <c r="G181" s="40"/>
      <c r="H181" s="40"/>
    </row>
    <row r="182" spans="1:8" ht="13.5" thickBot="1" x14ac:dyDescent="0.25">
      <c r="A182" s="12" t="s">
        <v>157</v>
      </c>
      <c r="B182" s="13"/>
      <c r="C182" s="16"/>
      <c r="D182" s="16"/>
      <c r="E182" s="17"/>
      <c r="F182" s="18"/>
      <c r="G182" s="226">
        <f>G179</f>
        <v>1666.55</v>
      </c>
      <c r="H182" s="226">
        <f>G182/G$38</f>
        <v>1.4761816184807255</v>
      </c>
    </row>
    <row r="183" spans="1:8" ht="13.5" thickBot="1" x14ac:dyDescent="0.25">
      <c r="A183" s="97"/>
      <c r="B183" s="6"/>
      <c r="C183" s="6"/>
      <c r="D183" s="6"/>
      <c r="E183" s="20"/>
      <c r="F183" s="20"/>
      <c r="G183" s="139"/>
      <c r="H183" s="139"/>
    </row>
    <row r="184" spans="1:8" ht="24.75" customHeight="1" thickBot="1" x14ac:dyDescent="0.25">
      <c r="A184" s="12" t="s">
        <v>158</v>
      </c>
      <c r="B184" s="13"/>
      <c r="C184" s="16"/>
      <c r="D184" s="16"/>
      <c r="E184" s="17"/>
      <c r="F184" s="18"/>
      <c r="G184" s="189">
        <f>G160+G182</f>
        <v>8479.9159883333341</v>
      </c>
      <c r="H184" s="226">
        <f>G184/G$38</f>
        <v>7.5112634533848261</v>
      </c>
    </row>
    <row r="185" spans="1:8" ht="12.6" customHeight="1" x14ac:dyDescent="0.2">
      <c r="A185" s="101"/>
      <c r="B185" s="24"/>
      <c r="C185" s="24"/>
      <c r="D185" s="24"/>
      <c r="E185" s="25"/>
      <c r="F185" s="25"/>
      <c r="G185" s="140"/>
      <c r="H185" s="140"/>
    </row>
    <row r="186" spans="1:8" ht="16.149999999999999" customHeight="1" x14ac:dyDescent="0.2">
      <c r="A186" s="144" t="s">
        <v>159</v>
      </c>
      <c r="B186" s="198"/>
      <c r="C186" s="79"/>
      <c r="D186" s="79"/>
      <c r="E186" s="147">
        <f>E$172</f>
        <v>1128.96</v>
      </c>
      <c r="F186" s="146" t="s">
        <v>140</v>
      </c>
      <c r="G186" s="40"/>
      <c r="H186" s="40"/>
    </row>
    <row r="187" spans="1:8" ht="13.5" thickBot="1" x14ac:dyDescent="0.25">
      <c r="A187" s="96"/>
      <c r="E187" s="27"/>
      <c r="F187" s="27"/>
      <c r="G187" s="40"/>
      <c r="H187" s="40"/>
    </row>
    <row r="188" spans="1:8" ht="25.5" customHeight="1" thickBot="1" x14ac:dyDescent="0.25">
      <c r="A188" s="12" t="s">
        <v>160</v>
      </c>
      <c r="B188" s="13"/>
      <c r="C188" s="13"/>
      <c r="D188" s="13"/>
      <c r="E188" s="14"/>
      <c r="F188" s="145" t="s">
        <v>141</v>
      </c>
      <c r="G188" s="358">
        <f>ROUND(IFERROR(G184/E186,"-"),2)</f>
        <v>7.51</v>
      </c>
      <c r="H188" s="359"/>
    </row>
    <row r="189" spans="1:8" x14ac:dyDescent="0.2">
      <c r="A189" s="116"/>
      <c r="B189" s="117"/>
      <c r="C189" s="117"/>
      <c r="D189" s="117"/>
      <c r="E189" s="118"/>
      <c r="F189" s="118"/>
      <c r="G189" s="128"/>
      <c r="H189" s="128"/>
    </row>
    <row r="190" spans="1:8" x14ac:dyDescent="0.2">
      <c r="A190" s="127" t="s">
        <v>161</v>
      </c>
      <c r="B190" s="199"/>
      <c r="E190" s="27"/>
      <c r="F190" s="27"/>
      <c r="G190" s="40"/>
      <c r="H190" s="40"/>
    </row>
    <row r="191" spans="1:8" ht="11.25" customHeight="1" thickBot="1" x14ac:dyDescent="0.25">
      <c r="A191" s="96"/>
      <c r="E191" s="27"/>
      <c r="F191" s="27"/>
      <c r="G191" s="40"/>
      <c r="H191" s="40"/>
    </row>
    <row r="192" spans="1:8" ht="13.5" thickBot="1" x14ac:dyDescent="0.25">
      <c r="A192" s="222" t="s">
        <v>26</v>
      </c>
      <c r="B192" s="223"/>
      <c r="C192" s="218" t="s">
        <v>27</v>
      </c>
      <c r="D192" s="218" t="s">
        <v>20</v>
      </c>
      <c r="E192" s="219" t="s">
        <v>90</v>
      </c>
      <c r="F192" s="219" t="s">
        <v>28</v>
      </c>
      <c r="G192" s="220" t="s">
        <v>29</v>
      </c>
      <c r="H192" s="220" t="s">
        <v>141</v>
      </c>
    </row>
    <row r="193" spans="1:11" ht="13.5" thickBot="1" x14ac:dyDescent="0.25">
      <c r="A193" s="98" t="s">
        <v>162</v>
      </c>
      <c r="B193" s="196"/>
      <c r="C193" s="8" t="s">
        <v>0</v>
      </c>
      <c r="D193" s="41">
        <f>BDI!C35*100</f>
        <v>16.93</v>
      </c>
      <c r="E193" s="9">
        <f>G161</f>
        <v>6513.7624883333337</v>
      </c>
      <c r="F193" s="9">
        <f>ROUND(D193*E193/100,2)</f>
        <v>1102.78</v>
      </c>
      <c r="G193" s="227">
        <f>+F193</f>
        <v>1102.78</v>
      </c>
      <c r="H193" s="227">
        <f>G193/G$38</f>
        <v>0.97681051587301582</v>
      </c>
    </row>
    <row r="194" spans="1:11" x14ac:dyDescent="0.2">
      <c r="A194" s="96"/>
      <c r="E194" s="27"/>
      <c r="F194" s="27"/>
      <c r="G194" s="128"/>
      <c r="H194" s="128"/>
    </row>
    <row r="195" spans="1:11" ht="11.25" customHeight="1" thickBot="1" x14ac:dyDescent="0.25">
      <c r="A195" s="96"/>
      <c r="E195" s="27"/>
      <c r="F195" s="27"/>
      <c r="G195" s="40"/>
      <c r="H195" s="40"/>
    </row>
    <row r="196" spans="1:11" ht="13.5" thickBot="1" x14ac:dyDescent="0.25">
      <c r="A196" s="12" t="s">
        <v>163</v>
      </c>
      <c r="B196" s="13"/>
      <c r="C196" s="16"/>
      <c r="D196" s="16"/>
      <c r="E196" s="17"/>
      <c r="F196" s="18"/>
      <c r="G196" s="226">
        <f>G193</f>
        <v>1102.78</v>
      </c>
      <c r="H196" s="226">
        <f>G196/G$38</f>
        <v>0.97681051587301582</v>
      </c>
    </row>
    <row r="197" spans="1:11" ht="13.5" thickBot="1" x14ac:dyDescent="0.25">
      <c r="A197" s="97"/>
      <c r="B197" s="6"/>
      <c r="C197" s="6"/>
      <c r="D197" s="6"/>
      <c r="E197" s="20"/>
      <c r="F197" s="20"/>
      <c r="G197" s="139"/>
      <c r="H197" s="139"/>
    </row>
    <row r="198" spans="1:11" ht="24.75" customHeight="1" thickBot="1" x14ac:dyDescent="0.25">
      <c r="A198" s="12" t="s">
        <v>164</v>
      </c>
      <c r="B198" s="13"/>
      <c r="C198" s="16"/>
      <c r="D198" s="16"/>
      <c r="E198" s="17"/>
      <c r="F198" s="18"/>
      <c r="G198" s="226">
        <f>E193+G196</f>
        <v>7616.5424883333335</v>
      </c>
      <c r="H198" s="226">
        <f>G198/G$38</f>
        <v>6.7465122664517194</v>
      </c>
    </row>
    <row r="199" spans="1:11" ht="12.6" customHeight="1" x14ac:dyDescent="0.2">
      <c r="A199" s="101"/>
      <c r="B199" s="24"/>
      <c r="C199" s="24"/>
      <c r="D199" s="24"/>
      <c r="E199" s="25"/>
      <c r="F199" s="25"/>
      <c r="G199" s="140"/>
      <c r="H199" s="140"/>
    </row>
    <row r="200" spans="1:11" ht="12.6" customHeight="1" x14ac:dyDescent="0.2">
      <c r="A200" s="101" t="s">
        <v>121</v>
      </c>
      <c r="B200" s="24"/>
      <c r="C200" s="24"/>
      <c r="D200" s="24"/>
      <c r="E200" s="25"/>
      <c r="F200" s="25"/>
      <c r="G200" s="142"/>
      <c r="H200" s="142"/>
    </row>
    <row r="201" spans="1:11" x14ac:dyDescent="0.2">
      <c r="A201" s="143" t="s">
        <v>118</v>
      </c>
      <c r="B201" s="6"/>
      <c r="E201" s="27"/>
      <c r="F201" s="27"/>
      <c r="G201" s="40"/>
      <c r="H201" s="40"/>
    </row>
    <row r="202" spans="1:11" x14ac:dyDescent="0.2">
      <c r="A202" s="97" t="s">
        <v>116</v>
      </c>
      <c r="B202" s="6"/>
      <c r="E202" s="27"/>
      <c r="F202" s="27"/>
      <c r="G202" s="40"/>
      <c r="H202" s="40"/>
    </row>
    <row r="203" spans="1:11" x14ac:dyDescent="0.2">
      <c r="A203" s="362" t="s">
        <v>296</v>
      </c>
      <c r="B203" s="363"/>
      <c r="E203" s="27"/>
      <c r="F203" s="27"/>
      <c r="G203" s="40"/>
      <c r="H203" s="40"/>
    </row>
    <row r="204" spans="1:11" ht="11.25" customHeight="1" thickBot="1" x14ac:dyDescent="0.25">
      <c r="A204" s="119"/>
      <c r="E204" s="27"/>
      <c r="F204" s="27"/>
      <c r="G204" s="40"/>
      <c r="H204" s="40"/>
    </row>
    <row r="205" spans="1:11" ht="15.75" thickBot="1" x14ac:dyDescent="0.3">
      <c r="A205" s="222" t="s">
        <v>26</v>
      </c>
      <c r="B205" s="223"/>
      <c r="C205" s="218" t="s">
        <v>27</v>
      </c>
      <c r="D205" s="218" t="s">
        <v>20</v>
      </c>
      <c r="E205" s="219" t="s">
        <v>117</v>
      </c>
      <c r="F205" s="219" t="s">
        <v>28</v>
      </c>
      <c r="G205" s="220" t="s">
        <v>29</v>
      </c>
      <c r="H205" s="220" t="s">
        <v>141</v>
      </c>
      <c r="I205" s="328"/>
      <c r="J205" s="329"/>
      <c r="K205" s="328"/>
    </row>
    <row r="206" spans="1:11" ht="15.75" thickBot="1" x14ac:dyDescent="0.3">
      <c r="A206" s="356" t="s">
        <v>165</v>
      </c>
      <c r="B206" s="357"/>
      <c r="C206" s="120" t="s">
        <v>0</v>
      </c>
      <c r="D206" s="291">
        <v>6</v>
      </c>
      <c r="E206" s="121">
        <f>G198</f>
        <v>7616.5424883333335</v>
      </c>
      <c r="F206" s="9">
        <f>ROUND(G209*(D206/100),2)</f>
        <v>486.16</v>
      </c>
      <c r="G206" s="226">
        <f>F206</f>
        <v>486.16</v>
      </c>
      <c r="H206" s="226">
        <f>G206/G$38</f>
        <v>0.4306264172335601</v>
      </c>
      <c r="I206" s="330"/>
      <c r="J206" s="331">
        <f>G209*12</f>
        <v>97232.457297872344</v>
      </c>
      <c r="K206" s="331"/>
    </row>
    <row r="207" spans="1:11" ht="15.75" x14ac:dyDescent="0.25">
      <c r="A207" s="96"/>
      <c r="E207" s="27"/>
      <c r="F207" s="27"/>
      <c r="G207" s="140"/>
      <c r="H207" s="140"/>
      <c r="I207" s="328"/>
      <c r="J207" s="328"/>
      <c r="K207" s="328"/>
    </row>
    <row r="208" spans="1:11" ht="15.75" thickBot="1" x14ac:dyDescent="0.3">
      <c r="A208" s="122"/>
      <c r="B208" s="123"/>
      <c r="C208" s="123"/>
      <c r="D208" s="123"/>
      <c r="E208" s="124"/>
      <c r="F208" s="124"/>
      <c r="G208" s="40"/>
      <c r="H208" s="40"/>
      <c r="I208" s="332"/>
      <c r="J208" s="332"/>
      <c r="K208" s="333"/>
    </row>
    <row r="209" spans="1:8" ht="24.75" customHeight="1" thickBot="1" x14ac:dyDescent="0.25">
      <c r="A209" s="12" t="s">
        <v>166</v>
      </c>
      <c r="B209" s="13"/>
      <c r="C209" s="16"/>
      <c r="D209" s="16"/>
      <c r="E209" s="17"/>
      <c r="F209" s="18"/>
      <c r="G209" s="189">
        <f>E206/((100-D206)/100)</f>
        <v>8102.704774822696</v>
      </c>
      <c r="H209" s="226">
        <f>G209/G$38</f>
        <v>7.1771407089911916</v>
      </c>
    </row>
    <row r="210" spans="1:8" ht="12.6" customHeight="1" x14ac:dyDescent="0.2">
      <c r="A210" s="101"/>
      <c r="B210" s="24"/>
      <c r="C210" s="24"/>
      <c r="D210" s="24"/>
      <c r="E210" s="25"/>
      <c r="F210" s="25"/>
      <c r="G210" s="140"/>
      <c r="H210" s="140"/>
    </row>
    <row r="211" spans="1:8" ht="16.149999999999999" customHeight="1" x14ac:dyDescent="0.2">
      <c r="A211" s="144" t="s">
        <v>167</v>
      </c>
      <c r="B211" s="198"/>
      <c r="C211" s="79"/>
      <c r="D211" s="79"/>
      <c r="E211" s="147">
        <f>E$172</f>
        <v>1128.96</v>
      </c>
      <c r="F211" s="146" t="s">
        <v>140</v>
      </c>
      <c r="G211" s="40"/>
      <c r="H211" s="40"/>
    </row>
    <row r="212" spans="1:8" ht="13.5" thickBot="1" x14ac:dyDescent="0.25">
      <c r="A212" s="96"/>
      <c r="E212" s="27"/>
      <c r="F212" s="27"/>
      <c r="G212" s="40"/>
      <c r="H212" s="40"/>
    </row>
    <row r="213" spans="1:8" ht="25.5" customHeight="1" thickBot="1" x14ac:dyDescent="0.25">
      <c r="A213" s="12" t="s">
        <v>168</v>
      </c>
      <c r="B213" s="13"/>
      <c r="C213" s="13"/>
      <c r="D213" s="13"/>
      <c r="E213" s="14"/>
      <c r="F213" s="145" t="s">
        <v>141</v>
      </c>
      <c r="G213" s="358">
        <f>ROUND(IFERROR(G209/E211,"-"),2)</f>
        <v>7.18</v>
      </c>
      <c r="H213" s="359"/>
    </row>
    <row r="214" spans="1:8" ht="9" customHeight="1" x14ac:dyDescent="0.2">
      <c r="E214" s="4"/>
      <c r="F214" s="4"/>
      <c r="G214" s="4"/>
      <c r="H214" s="27"/>
    </row>
    <row r="215" spans="1:8" x14ac:dyDescent="0.2">
      <c r="H215" s="27"/>
    </row>
    <row r="216" spans="1:8" x14ac:dyDescent="0.2">
      <c r="H216" s="27"/>
    </row>
    <row r="217" spans="1:8" x14ac:dyDescent="0.2">
      <c r="A217" s="6"/>
      <c r="B217" s="6"/>
      <c r="C217" s="6"/>
      <c r="D217" s="6"/>
      <c r="E217" s="286"/>
      <c r="F217" s="286"/>
      <c r="G217" s="286"/>
      <c r="H217" s="20"/>
    </row>
    <row r="218" spans="1:8" x14ac:dyDescent="0.2">
      <c r="A218" s="6"/>
      <c r="B218" s="6"/>
      <c r="C218" s="6"/>
      <c r="D218" s="6"/>
      <c r="E218" s="286"/>
      <c r="F218" s="286"/>
      <c r="G218" s="286"/>
      <c r="H218" s="20"/>
    </row>
    <row r="219" spans="1:8" x14ac:dyDescent="0.2">
      <c r="A219" s="6"/>
      <c r="B219" s="6"/>
      <c r="C219" s="6"/>
      <c r="D219" s="6"/>
      <c r="E219" s="286"/>
      <c r="F219" s="286"/>
      <c r="G219" s="286"/>
      <c r="H219" s="20"/>
    </row>
    <row r="220" spans="1:8" x14ac:dyDescent="0.2">
      <c r="A220" s="6"/>
      <c r="B220" s="6"/>
      <c r="C220" s="6"/>
      <c r="D220" s="6"/>
      <c r="E220" s="286"/>
      <c r="F220" s="286"/>
      <c r="G220" s="286"/>
      <c r="H220" s="20"/>
    </row>
    <row r="221" spans="1:8" x14ac:dyDescent="0.2">
      <c r="A221" s="6"/>
      <c r="B221" s="6"/>
      <c r="C221" s="360"/>
      <c r="D221" s="360"/>
      <c r="E221" s="360"/>
      <c r="F221" s="286"/>
      <c r="G221" s="286"/>
      <c r="H221" s="20"/>
    </row>
    <row r="222" spans="1:8" x14ac:dyDescent="0.2">
      <c r="A222" s="6"/>
      <c r="B222" s="6"/>
      <c r="C222" s="360"/>
      <c r="D222" s="360"/>
      <c r="E222" s="360"/>
      <c r="F222" s="286"/>
      <c r="G222" s="286"/>
      <c r="H222" s="20"/>
    </row>
    <row r="223" spans="1:8" x14ac:dyDescent="0.2">
      <c r="A223" s="6"/>
      <c r="B223" s="6"/>
      <c r="C223" s="360"/>
      <c r="D223" s="360"/>
      <c r="E223" s="360"/>
      <c r="F223" s="286"/>
      <c r="G223" s="286"/>
      <c r="H223" s="20"/>
    </row>
    <row r="224" spans="1:8" x14ac:dyDescent="0.2">
      <c r="H224" s="27"/>
    </row>
    <row r="225" spans="8:8" x14ac:dyDescent="0.2">
      <c r="H225" s="27"/>
    </row>
    <row r="226" spans="8:8" x14ac:dyDescent="0.2">
      <c r="H226" s="27"/>
    </row>
  </sheetData>
  <mergeCells count="117">
    <mergeCell ref="C223:E223"/>
    <mergeCell ref="G188:H188"/>
    <mergeCell ref="A203:B203"/>
    <mergeCell ref="A206:B206"/>
    <mergeCell ref="G213:H213"/>
    <mergeCell ref="C221:E221"/>
    <mergeCell ref="C222:E222"/>
    <mergeCell ref="A156:B156"/>
    <mergeCell ref="A164:B164"/>
    <mergeCell ref="A165:B165"/>
    <mergeCell ref="A172:B172"/>
    <mergeCell ref="G174:H174"/>
    <mergeCell ref="A179:B179"/>
    <mergeCell ref="A146:B146"/>
    <mergeCell ref="A151:B151"/>
    <mergeCell ref="A152:B152"/>
    <mergeCell ref="A153:B153"/>
    <mergeCell ref="A154:B154"/>
    <mergeCell ref="A155:B155"/>
    <mergeCell ref="A135:B135"/>
    <mergeCell ref="A136:B136"/>
    <mergeCell ref="A139:B139"/>
    <mergeCell ref="A140:B140"/>
    <mergeCell ref="A143:B143"/>
    <mergeCell ref="A144:B144"/>
    <mergeCell ref="A125:B125"/>
    <mergeCell ref="A128:B128"/>
    <mergeCell ref="A129:B129"/>
    <mergeCell ref="A130:B130"/>
    <mergeCell ref="A131:B131"/>
    <mergeCell ref="A132:B132"/>
    <mergeCell ref="A119:B119"/>
    <mergeCell ref="A120:B120"/>
    <mergeCell ref="A121:B121"/>
    <mergeCell ref="A122:B122"/>
    <mergeCell ref="A123:B123"/>
    <mergeCell ref="A124:B124"/>
    <mergeCell ref="A108:B108"/>
    <mergeCell ref="A112:B112"/>
    <mergeCell ref="A113:B113"/>
    <mergeCell ref="A114:B114"/>
    <mergeCell ref="A117:B117"/>
    <mergeCell ref="A118:B118"/>
    <mergeCell ref="A101:B101"/>
    <mergeCell ref="A102:B102"/>
    <mergeCell ref="A103:B103"/>
    <mergeCell ref="A104:B104"/>
    <mergeCell ref="A105:B105"/>
    <mergeCell ref="A107:B107"/>
    <mergeCell ref="A93:B93"/>
    <mergeCell ref="A94:B94"/>
    <mergeCell ref="A95:B95"/>
    <mergeCell ref="A96:B96"/>
    <mergeCell ref="A97:B97"/>
    <mergeCell ref="A100:B100"/>
    <mergeCell ref="A85:B85"/>
    <mergeCell ref="A86:B86"/>
    <mergeCell ref="A89:B89"/>
    <mergeCell ref="A90:B90"/>
    <mergeCell ref="A91:B91"/>
    <mergeCell ref="A92:B92"/>
    <mergeCell ref="A66:B66"/>
    <mergeCell ref="A67:B67"/>
    <mergeCell ref="A72:B72"/>
    <mergeCell ref="A82:B82"/>
    <mergeCell ref="A83:B83"/>
    <mergeCell ref="A84:B84"/>
    <mergeCell ref="A54:B54"/>
    <mergeCell ref="A58:B58"/>
    <mergeCell ref="A59:B59"/>
    <mergeCell ref="A60:B60"/>
    <mergeCell ref="A64:B64"/>
    <mergeCell ref="A65:B65"/>
    <mergeCell ref="A44:G44"/>
    <mergeCell ref="A47:B47"/>
    <mergeCell ref="A48:B48"/>
    <mergeCell ref="A51:B51"/>
    <mergeCell ref="A52:B52"/>
    <mergeCell ref="A53:B53"/>
    <mergeCell ref="A35:B35"/>
    <mergeCell ref="A37:B37"/>
    <mergeCell ref="A38:B38"/>
    <mergeCell ref="A39:B39"/>
    <mergeCell ref="D41:G41"/>
    <mergeCell ref="A42:B42"/>
    <mergeCell ref="D42:F42"/>
    <mergeCell ref="A28:G28"/>
    <mergeCell ref="A29:B29"/>
    <mergeCell ref="A30:B30"/>
    <mergeCell ref="A31:B31"/>
    <mergeCell ref="A33:B33"/>
    <mergeCell ref="A34:B34"/>
    <mergeCell ref="A21:B21"/>
    <mergeCell ref="A22:B22"/>
    <mergeCell ref="A23:B23"/>
    <mergeCell ref="A24:B24"/>
    <mergeCell ref="A25:B25"/>
    <mergeCell ref="A26:B26"/>
    <mergeCell ref="A16:B16"/>
    <mergeCell ref="A17:B17"/>
    <mergeCell ref="A18:B18"/>
    <mergeCell ref="A19:B19"/>
    <mergeCell ref="A8:B8"/>
    <mergeCell ref="A9:B9"/>
    <mergeCell ref="A10:B10"/>
    <mergeCell ref="A11:B11"/>
    <mergeCell ref="A12:B12"/>
    <mergeCell ref="A13:B13"/>
    <mergeCell ref="A1:H1"/>
    <mergeCell ref="D3:E3"/>
    <mergeCell ref="G3:H3"/>
    <mergeCell ref="B4:C4"/>
    <mergeCell ref="C7:D7"/>
    <mergeCell ref="E7:F7"/>
    <mergeCell ref="G7:H7"/>
    <mergeCell ref="A14:B14"/>
    <mergeCell ref="A15:B15"/>
  </mergeCells>
  <pageMargins left="0.39370078740157483" right="0" top="0.59055118110236227" bottom="0.39370078740157483" header="0" footer="0"/>
  <pageSetup paperSize="9" scale="82" fitToHeight="0" orientation="portrait" r:id="rId1"/>
  <headerFooter alignWithMargins="0">
    <oddFooter>&amp;R&amp;P de &amp;N</oddFooter>
  </headerFooter>
  <rowBreaks count="3" manualBreakCount="3">
    <brk id="61" max="7" man="1"/>
    <brk id="125" max="7" man="1"/>
    <brk id="188" max="7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227"/>
  <sheetViews>
    <sheetView topLeftCell="A97" zoomScale="110" zoomScaleNormal="110" zoomScaleSheetLayoutView="110" workbookViewId="0">
      <selection activeCell="F107" sqref="F107"/>
    </sheetView>
  </sheetViews>
  <sheetFormatPr defaultColWidth="9.140625" defaultRowHeight="12.75" x14ac:dyDescent="0.2"/>
  <cols>
    <col min="1" max="1" width="17.85546875" style="4" customWidth="1"/>
    <col min="2" max="2" width="26.85546875" style="4" customWidth="1"/>
    <col min="3" max="3" width="14.14062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4.140625" style="5" bestFit="1" customWidth="1"/>
    <col min="8" max="8" width="8.28515625" style="5" customWidth="1"/>
    <col min="9" max="10" width="14.42578125" style="4" customWidth="1"/>
    <col min="11" max="11" width="10.5703125" style="4" bestFit="1" customWidth="1"/>
    <col min="12" max="16384" width="9.140625" style="4"/>
  </cols>
  <sheetData>
    <row r="1" spans="1:8" s="88" customFormat="1" ht="23.25" customHeight="1" thickBot="1" x14ac:dyDescent="0.25">
      <c r="A1" s="370" t="s">
        <v>184</v>
      </c>
      <c r="B1" s="371"/>
      <c r="C1" s="371"/>
      <c r="D1" s="371"/>
      <c r="E1" s="371"/>
      <c r="F1" s="371"/>
      <c r="G1" s="371"/>
      <c r="H1" s="372"/>
    </row>
    <row r="2" spans="1:8" s="2" customFormat="1" ht="15.75" customHeight="1" thickBot="1" x14ac:dyDescent="0.25">
      <c r="A2" s="215" t="s">
        <v>199</v>
      </c>
      <c r="B2" s="216"/>
      <c r="C2" s="252" t="s">
        <v>216</v>
      </c>
      <c r="D2" s="232"/>
      <c r="E2" s="232"/>
      <c r="F2" s="232"/>
      <c r="G2" s="232"/>
      <c r="H2" s="233"/>
    </row>
    <row r="3" spans="1:8" s="88" customFormat="1" ht="23.25" customHeight="1" thickBot="1" x14ac:dyDescent="0.25">
      <c r="A3" s="229" t="s">
        <v>96</v>
      </c>
      <c r="B3" s="236" t="s">
        <v>269</v>
      </c>
      <c r="C3" s="228" t="s">
        <v>222</v>
      </c>
      <c r="D3" s="373"/>
      <c r="E3" s="374"/>
      <c r="F3" s="228" t="s">
        <v>214</v>
      </c>
      <c r="G3" s="373"/>
      <c r="H3" s="375"/>
    </row>
    <row r="4" spans="1:8" s="3" customFormat="1" ht="18.75" thickBot="1" x14ac:dyDescent="0.3">
      <c r="A4" s="230" t="s">
        <v>228</v>
      </c>
      <c r="B4" s="378" t="s">
        <v>243</v>
      </c>
      <c r="C4" s="378"/>
      <c r="D4" s="293" t="s">
        <v>229</v>
      </c>
      <c r="E4" s="13" t="s">
        <v>285</v>
      </c>
      <c r="F4" s="200"/>
      <c r="G4" s="200"/>
      <c r="H4" s="201"/>
    </row>
    <row r="5" spans="1:8" s="2" customFormat="1" ht="10.9" customHeight="1" thickBot="1" x14ac:dyDescent="0.25">
      <c r="A5" s="202"/>
      <c r="B5" s="203"/>
      <c r="C5" s="204"/>
      <c r="D5" s="204"/>
      <c r="E5" s="205"/>
      <c r="F5" s="205"/>
      <c r="G5" s="205"/>
      <c r="H5" s="206"/>
    </row>
    <row r="6" spans="1:8" s="2" customFormat="1" ht="15.75" customHeight="1" thickBot="1" x14ac:dyDescent="0.25">
      <c r="A6" s="215" t="s">
        <v>200</v>
      </c>
      <c r="B6" s="216"/>
      <c r="C6" s="216"/>
      <c r="D6" s="216"/>
      <c r="E6" s="216"/>
      <c r="F6" s="216"/>
      <c r="G6" s="216"/>
      <c r="H6" s="217"/>
    </row>
    <row r="7" spans="1:8" s="2" customFormat="1" ht="16.5" thickBot="1" x14ac:dyDescent="0.25">
      <c r="A7" s="126" t="s">
        <v>119</v>
      </c>
      <c r="B7" s="126"/>
      <c r="C7" s="376" t="s">
        <v>109</v>
      </c>
      <c r="D7" s="377"/>
      <c r="E7" s="376" t="s">
        <v>110</v>
      </c>
      <c r="F7" s="377"/>
      <c r="G7" s="376" t="s">
        <v>113</v>
      </c>
      <c r="H7" s="377"/>
    </row>
    <row r="8" spans="1:8" s="2" customFormat="1" ht="28.5" customHeight="1" x14ac:dyDescent="0.2">
      <c r="A8" s="390" t="s">
        <v>85</v>
      </c>
      <c r="B8" s="391"/>
      <c r="C8" s="106" t="s">
        <v>111</v>
      </c>
      <c r="D8" s="22" t="s">
        <v>112</v>
      </c>
      <c r="E8" s="106" t="s">
        <v>111</v>
      </c>
      <c r="F8" s="22" t="s">
        <v>112</v>
      </c>
      <c r="G8" s="106" t="s">
        <v>111</v>
      </c>
      <c r="H8" s="22" t="s">
        <v>112</v>
      </c>
    </row>
    <row r="9" spans="1:8" s="6" customFormat="1" ht="15.75" customHeight="1" x14ac:dyDescent="0.2">
      <c r="A9" s="379" t="str">
        <f>A45</f>
        <v>1. Mão-de-obra</v>
      </c>
      <c r="B9" s="380"/>
      <c r="C9" s="102">
        <f>+G76</f>
        <v>237.52100000000002</v>
      </c>
      <c r="D9" s="37">
        <f>SUM(D10:D12)</f>
        <v>0.09</v>
      </c>
      <c r="E9" s="102">
        <f>G76</f>
        <v>237.52100000000002</v>
      </c>
      <c r="F9" s="37">
        <f>SUM(F10:F12)</f>
        <v>9.5735311840450421E-2</v>
      </c>
      <c r="G9" s="102">
        <f>G77</f>
        <v>194.72050000000002</v>
      </c>
      <c r="H9" s="37">
        <f>SUM(H10:H12)</f>
        <v>8.0299999999999996E-2</v>
      </c>
    </row>
    <row r="10" spans="1:8" s="2" customFormat="1" ht="15.75" customHeight="1" x14ac:dyDescent="0.2">
      <c r="A10" s="392" t="s">
        <v>223</v>
      </c>
      <c r="B10" s="380"/>
      <c r="C10" s="103">
        <f>G55</f>
        <v>193.21600000000001</v>
      </c>
      <c r="D10" s="26">
        <f>ROUND(IFERROR(C10/$C$25,0),4)</f>
        <v>7.3200000000000001E-2</v>
      </c>
      <c r="E10" s="103">
        <f t="shared" ref="E10:E21" si="0">C10</f>
        <v>193.21600000000001</v>
      </c>
      <c r="F10" s="26">
        <f>(IFERROR(E10/$E$25,0))</f>
        <v>7.7877720338683606E-2</v>
      </c>
      <c r="G10" s="103">
        <f>G61</f>
        <v>150.41550000000001</v>
      </c>
      <c r="H10" s="26">
        <f t="shared" ref="H10:H20" si="1">ROUND(IFERROR(G10/$G$25,0),4)</f>
        <v>6.2E-2</v>
      </c>
    </row>
    <row r="11" spans="1:8" s="2" customFormat="1" ht="15.75" customHeight="1" x14ac:dyDescent="0.2">
      <c r="A11" s="393" t="str">
        <f>A63</f>
        <v>1.2. Vale Transporte</v>
      </c>
      <c r="B11" s="380"/>
      <c r="C11" s="103">
        <f>G68</f>
        <v>5.3049999999999997</v>
      </c>
      <c r="D11" s="26">
        <f>ROUND(IFERROR(C11/$C$25,0),4)</f>
        <v>2E-3</v>
      </c>
      <c r="E11" s="103">
        <f t="shared" si="0"/>
        <v>5.3049999999999997</v>
      </c>
      <c r="F11" s="26">
        <f>(IFERROR(E11/$E$25,0))</f>
        <v>2.1382354794464045E-3</v>
      </c>
      <c r="G11" s="103">
        <f t="shared" ref="G11:G20" si="2">E11</f>
        <v>5.3049999999999997</v>
      </c>
      <c r="H11" s="26">
        <f t="shared" si="1"/>
        <v>2.2000000000000001E-3</v>
      </c>
    </row>
    <row r="12" spans="1:8" s="2" customFormat="1" ht="15.75" customHeight="1" x14ac:dyDescent="0.2">
      <c r="A12" s="393" t="str">
        <f>A70</f>
        <v>1.3. Vale-refeição (diário)</v>
      </c>
      <c r="B12" s="380"/>
      <c r="C12" s="103">
        <f>G73</f>
        <v>39</v>
      </c>
      <c r="D12" s="26">
        <f>ROUND(IFERROR(C12/$C$25,0),4)</f>
        <v>1.4800000000000001E-2</v>
      </c>
      <c r="E12" s="103">
        <f t="shared" si="0"/>
        <v>39</v>
      </c>
      <c r="F12" s="26">
        <f>(IFERROR(E12/$E$25,0))</f>
        <v>1.571935602232041E-2</v>
      </c>
      <c r="G12" s="103">
        <f t="shared" si="2"/>
        <v>39</v>
      </c>
      <c r="H12" s="26">
        <f t="shared" si="1"/>
        <v>1.61E-2</v>
      </c>
    </row>
    <row r="13" spans="1:8" s="6" customFormat="1" ht="15.75" customHeight="1" x14ac:dyDescent="0.2">
      <c r="A13" s="379" t="str">
        <f>A79</f>
        <v>2. Veículos</v>
      </c>
      <c r="B13" s="380"/>
      <c r="C13" s="102">
        <f>+G149</f>
        <v>1655.4066666666668</v>
      </c>
      <c r="D13" s="37">
        <f>SUM(D14:D20)</f>
        <v>0.62739999999999996</v>
      </c>
      <c r="E13" s="102">
        <f t="shared" si="0"/>
        <v>1655.4066666666668</v>
      </c>
      <c r="F13" s="37">
        <f>SUM(F14:F20)</f>
        <v>0.66722889115528261</v>
      </c>
      <c r="G13" s="102">
        <f t="shared" si="2"/>
        <v>1655.4066666666668</v>
      </c>
      <c r="H13" s="37">
        <f>SUM(H14:H20)</f>
        <v>0.68210000000000004</v>
      </c>
    </row>
    <row r="14" spans="1:8" s="2" customFormat="1" ht="15.75" customHeight="1" x14ac:dyDescent="0.2">
      <c r="A14" s="382" t="str">
        <f>A80</f>
        <v>2.1 Depreciação</v>
      </c>
      <c r="B14" s="380"/>
      <c r="C14" s="103">
        <f>G86</f>
        <v>0</v>
      </c>
      <c r="D14" s="43">
        <f t="shared" ref="D14:D22" si="3">ROUND(IFERROR(C14/$C$25,0),4)</f>
        <v>0</v>
      </c>
      <c r="E14" s="103">
        <f t="shared" si="0"/>
        <v>0</v>
      </c>
      <c r="F14" s="43">
        <f t="shared" ref="F14:F21" si="4">(IFERROR(E14/$E$25,0))</f>
        <v>0</v>
      </c>
      <c r="G14" s="103">
        <f t="shared" si="2"/>
        <v>0</v>
      </c>
      <c r="H14" s="26">
        <f t="shared" si="1"/>
        <v>0</v>
      </c>
    </row>
    <row r="15" spans="1:8" s="2" customFormat="1" ht="15.75" customHeight="1" x14ac:dyDescent="0.2">
      <c r="A15" s="382" t="str">
        <f>A88</f>
        <v>2.2 Remuneração do Capital</v>
      </c>
      <c r="B15" s="380"/>
      <c r="C15" s="103">
        <f>G97</f>
        <v>0</v>
      </c>
      <c r="D15" s="43">
        <f t="shared" si="3"/>
        <v>0</v>
      </c>
      <c r="E15" s="103">
        <f t="shared" si="0"/>
        <v>0</v>
      </c>
      <c r="F15" s="43">
        <f t="shared" si="4"/>
        <v>0</v>
      </c>
      <c r="G15" s="103">
        <f t="shared" si="2"/>
        <v>0</v>
      </c>
      <c r="H15" s="26">
        <f t="shared" si="1"/>
        <v>0</v>
      </c>
    </row>
    <row r="16" spans="1:8" s="2" customFormat="1" ht="15.75" customHeight="1" x14ac:dyDescent="0.2">
      <c r="A16" s="382" t="str">
        <f>A99</f>
        <v>2.3. Impostos e Seguros</v>
      </c>
      <c r="B16" s="380"/>
      <c r="C16" s="103">
        <f>G109</f>
        <v>1063.05</v>
      </c>
      <c r="D16" s="43">
        <f t="shared" si="3"/>
        <v>0.40289999999999998</v>
      </c>
      <c r="E16" s="103">
        <f t="shared" si="0"/>
        <v>1063.05</v>
      </c>
      <c r="F16" s="43">
        <f t="shared" si="4"/>
        <v>0.42847336973147981</v>
      </c>
      <c r="G16" s="103">
        <f t="shared" si="2"/>
        <v>1063.05</v>
      </c>
      <c r="H16" s="26">
        <f t="shared" si="1"/>
        <v>0.43809999999999999</v>
      </c>
    </row>
    <row r="17" spans="1:10" s="2" customFormat="1" ht="15.75" customHeight="1" x14ac:dyDescent="0.2">
      <c r="A17" s="382" t="str">
        <f>A111</f>
        <v>2.4. Consumos</v>
      </c>
      <c r="B17" s="380"/>
      <c r="C17" s="103">
        <f>G126</f>
        <v>206.02</v>
      </c>
      <c r="D17" s="43">
        <f t="shared" si="3"/>
        <v>7.8100000000000003E-2</v>
      </c>
      <c r="E17" s="103">
        <f t="shared" si="0"/>
        <v>206.02</v>
      </c>
      <c r="F17" s="43">
        <f t="shared" si="4"/>
        <v>8.3038505838934643E-2</v>
      </c>
      <c r="G17" s="103">
        <f t="shared" si="2"/>
        <v>206.02</v>
      </c>
      <c r="H17" s="26">
        <f t="shared" si="1"/>
        <v>8.4900000000000003E-2</v>
      </c>
    </row>
    <row r="18" spans="1:10" s="2" customFormat="1" ht="15.75" customHeight="1" x14ac:dyDescent="0.2">
      <c r="A18" s="382" t="str">
        <f>A128</f>
        <v>2.5. Manutenção</v>
      </c>
      <c r="B18" s="380"/>
      <c r="C18" s="103">
        <f>G133</f>
        <v>289.10000000000002</v>
      </c>
      <c r="D18" s="304">
        <f t="shared" si="3"/>
        <v>0.1096</v>
      </c>
      <c r="E18" s="103">
        <f t="shared" si="0"/>
        <v>289.10000000000002</v>
      </c>
      <c r="F18" s="43">
        <f t="shared" si="4"/>
        <v>0.11652476477058542</v>
      </c>
      <c r="G18" s="103">
        <f t="shared" si="2"/>
        <v>289.10000000000002</v>
      </c>
      <c r="H18" s="26">
        <f t="shared" si="1"/>
        <v>0.1191</v>
      </c>
    </row>
    <row r="19" spans="1:10" s="2" customFormat="1" ht="15.75" customHeight="1" x14ac:dyDescent="0.2">
      <c r="A19" s="382" t="str">
        <f>A135</f>
        <v>2.6. Pneus</v>
      </c>
      <c r="B19" s="380"/>
      <c r="C19" s="103">
        <f>G141</f>
        <v>24.83</v>
      </c>
      <c r="D19" s="43">
        <f t="shared" si="3"/>
        <v>9.4000000000000004E-3</v>
      </c>
      <c r="E19" s="103">
        <f t="shared" si="0"/>
        <v>24.83</v>
      </c>
      <c r="F19" s="43">
        <f t="shared" si="4"/>
        <v>1.0007990000877327E-2</v>
      </c>
      <c r="G19" s="103">
        <f t="shared" si="2"/>
        <v>24.83</v>
      </c>
      <c r="H19" s="26">
        <f t="shared" si="1"/>
        <v>1.0200000000000001E-2</v>
      </c>
    </row>
    <row r="20" spans="1:10" s="2" customFormat="1" ht="15.75" customHeight="1" x14ac:dyDescent="0.2">
      <c r="A20" s="345" t="str">
        <f>A143</f>
        <v>2.7. Rastreador GPS</v>
      </c>
      <c r="B20" s="344"/>
      <c r="C20" s="103">
        <f>G147</f>
        <v>72.406666666666666</v>
      </c>
      <c r="D20" s="43">
        <f t="shared" si="3"/>
        <v>2.7400000000000001E-2</v>
      </c>
      <c r="E20" s="103">
        <f t="shared" si="0"/>
        <v>72.406666666666666</v>
      </c>
      <c r="F20" s="43">
        <f t="shared" si="4"/>
        <v>2.9184260813405468E-2</v>
      </c>
      <c r="G20" s="103">
        <f t="shared" si="2"/>
        <v>72.406666666666666</v>
      </c>
      <c r="H20" s="26">
        <f t="shared" si="1"/>
        <v>2.98E-2</v>
      </c>
    </row>
    <row r="21" spans="1:10" s="6" customFormat="1" ht="15.75" customHeight="1" x14ac:dyDescent="0.2">
      <c r="A21" s="379" t="str">
        <f>A151</f>
        <v>3. Ferramentas e Materiais de Consumo</v>
      </c>
      <c r="B21" s="380"/>
      <c r="C21" s="102">
        <f>+G159</f>
        <v>100.5</v>
      </c>
      <c r="D21" s="37">
        <f t="shared" si="3"/>
        <v>3.8100000000000002E-2</v>
      </c>
      <c r="E21" s="102">
        <f t="shared" si="0"/>
        <v>100.5</v>
      </c>
      <c r="F21" s="37">
        <f t="shared" si="4"/>
        <v>4.0507571288287213E-2</v>
      </c>
      <c r="G21" s="102">
        <f>E21</f>
        <v>100.5</v>
      </c>
      <c r="H21" s="37">
        <f>ROUND(IFERROR(G21/$G$25,0),4)</f>
        <v>4.1399999999999999E-2</v>
      </c>
    </row>
    <row r="22" spans="1:10" s="6" customFormat="1" ht="15.75" customHeight="1" x14ac:dyDescent="0.2">
      <c r="A22" s="381" t="str">
        <f>A164</f>
        <v>4. Benefícios e Desp. Ind. - BDI - LUCRO REAL</v>
      </c>
      <c r="B22" s="380"/>
      <c r="C22" s="102">
        <f>+G169</f>
        <v>644.87</v>
      </c>
      <c r="D22" s="37">
        <f t="shared" si="3"/>
        <v>0.24440000000000001</v>
      </c>
      <c r="E22" s="109"/>
      <c r="F22" s="105"/>
      <c r="G22" s="111"/>
      <c r="H22" s="108"/>
    </row>
    <row r="23" spans="1:10" s="6" customFormat="1" ht="15.75" customHeight="1" x14ac:dyDescent="0.2">
      <c r="A23" s="381" t="str">
        <f>A177</f>
        <v>5. Benefícios e Desp. Ind. - BDI - LUCRO PRESUMIDO</v>
      </c>
      <c r="B23" s="380"/>
      <c r="C23" s="111"/>
      <c r="D23" s="107"/>
      <c r="E23" s="102">
        <f>G183</f>
        <v>487.59</v>
      </c>
      <c r="F23" s="37">
        <f>(IFERROR(E23/$E$25,0))</f>
        <v>0.19652822571597972</v>
      </c>
      <c r="G23" s="111"/>
      <c r="H23" s="110"/>
    </row>
    <row r="24" spans="1:10" s="6" customFormat="1" ht="15.75" customHeight="1" thickBot="1" x14ac:dyDescent="0.25">
      <c r="A24" s="394" t="str">
        <f>A191</f>
        <v>6. Benef. Desp. Ind. + Impostos - SIMPLES NACIONAL</v>
      </c>
      <c r="B24" s="395"/>
      <c r="C24" s="112"/>
      <c r="D24" s="113"/>
      <c r="E24" s="114"/>
      <c r="F24" s="105"/>
      <c r="G24" s="115">
        <f>G194+G207</f>
        <v>475.83000000000004</v>
      </c>
      <c r="H24" s="104">
        <f>ROUND(IFERROR(G24/$G$25,0),4)</f>
        <v>0.1961</v>
      </c>
    </row>
    <row r="25" spans="1:10" s="2" customFormat="1" ht="15.75" customHeight="1" thickBot="1" x14ac:dyDescent="0.25">
      <c r="A25" s="388" t="s">
        <v>185</v>
      </c>
      <c r="B25" s="396"/>
      <c r="C25" s="125">
        <f>C9+C13+C21+C22</f>
        <v>2638.2976666666668</v>
      </c>
      <c r="D25" s="303">
        <f>D9+D13+D21+D22</f>
        <v>0.99990000000000001</v>
      </c>
      <c r="E25" s="125">
        <f>E9+E13+E21+E23</f>
        <v>2481.0176666666666</v>
      </c>
      <c r="F25" s="302">
        <f>F9+F13+F21+F23</f>
        <v>1</v>
      </c>
      <c r="G25" s="292">
        <f>G9+G13+G21+G24</f>
        <v>2426.4571666666666</v>
      </c>
      <c r="H25" s="302">
        <f>H9+H13+H21+H24</f>
        <v>0.99990000000000001</v>
      </c>
      <c r="I25" s="342"/>
      <c r="J25" s="343"/>
    </row>
    <row r="26" spans="1:10" s="2" customFormat="1" ht="15.75" customHeight="1" thickBot="1" x14ac:dyDescent="0.25">
      <c r="A26" s="388" t="s">
        <v>186</v>
      </c>
      <c r="B26" s="396"/>
      <c r="C26" s="125">
        <f>G175</f>
        <v>10.553190666666667</v>
      </c>
      <c r="D26" s="42"/>
      <c r="E26" s="125">
        <f>G189</f>
        <v>9.9240706666666672</v>
      </c>
      <c r="F26" s="42"/>
      <c r="G26" s="125">
        <f>G214</f>
        <v>9.7058177304964559</v>
      </c>
      <c r="H26" s="42"/>
      <c r="J26" s="335"/>
    </row>
    <row r="27" spans="1:10" ht="13.5" thickBot="1" x14ac:dyDescent="0.25">
      <c r="A27" s="116"/>
      <c r="B27" s="117"/>
      <c r="C27" s="117"/>
      <c r="D27" s="117"/>
      <c r="E27" s="118"/>
      <c r="F27" s="118"/>
      <c r="G27" s="128"/>
      <c r="H27" s="179"/>
    </row>
    <row r="28" spans="1:10" s="2" customFormat="1" ht="15" customHeight="1" thickBot="1" x14ac:dyDescent="0.25">
      <c r="A28" s="367" t="s">
        <v>215</v>
      </c>
      <c r="B28" s="368"/>
      <c r="C28" s="368"/>
      <c r="D28" s="368"/>
      <c r="E28" s="368"/>
      <c r="F28" s="368"/>
      <c r="G28" s="369"/>
      <c r="H28" s="180"/>
    </row>
    <row r="29" spans="1:10" s="2" customFormat="1" ht="15" customHeight="1" thickBot="1" x14ac:dyDescent="0.25">
      <c r="A29" s="388" t="s">
        <v>201</v>
      </c>
      <c r="B29" s="387"/>
      <c r="C29" s="14"/>
      <c r="D29" s="14"/>
      <c r="E29" s="166"/>
      <c r="F29" s="160" t="s">
        <v>20</v>
      </c>
      <c r="G29" s="160" t="s">
        <v>142</v>
      </c>
      <c r="H29" s="180"/>
    </row>
    <row r="30" spans="1:10" s="2" customFormat="1" ht="15" customHeight="1" x14ac:dyDescent="0.2">
      <c r="A30" s="401" t="s">
        <v>97</v>
      </c>
      <c r="B30" s="402"/>
      <c r="C30" s="158"/>
      <c r="D30" s="158"/>
      <c r="E30" s="159"/>
      <c r="F30" s="237">
        <v>1</v>
      </c>
      <c r="G30" s="238">
        <v>2265</v>
      </c>
      <c r="H30" s="181"/>
      <c r="I30" s="308"/>
      <c r="J30" s="308"/>
    </row>
    <row r="31" spans="1:10" s="2" customFormat="1" ht="15" customHeight="1" thickBot="1" x14ac:dyDescent="0.25">
      <c r="A31" s="403" t="s">
        <v>25</v>
      </c>
      <c r="B31" s="404"/>
      <c r="C31" s="28"/>
      <c r="D31" s="28"/>
      <c r="E31" s="29"/>
      <c r="F31" s="30">
        <f>SUM(F30:F30)</f>
        <v>1</v>
      </c>
      <c r="G31" s="157">
        <f>SUM(G30:G30)</f>
        <v>2265</v>
      </c>
      <c r="H31" s="181"/>
    </row>
    <row r="32" spans="1:10" s="2" customFormat="1" ht="15" customHeight="1" thickBot="1" x14ac:dyDescent="0.25">
      <c r="A32" s="38"/>
      <c r="B32" s="20"/>
      <c r="C32" s="39"/>
      <c r="D32" s="27"/>
      <c r="E32" s="17"/>
      <c r="F32" s="17"/>
      <c r="G32" s="18"/>
      <c r="H32" s="181"/>
    </row>
    <row r="33" spans="1:10" s="2" customFormat="1" ht="33" customHeight="1" x14ac:dyDescent="0.2">
      <c r="A33" s="399" t="s">
        <v>202</v>
      </c>
      <c r="B33" s="405"/>
      <c r="C33" s="168" t="s">
        <v>183</v>
      </c>
      <c r="D33" s="168" t="s">
        <v>248</v>
      </c>
      <c r="E33" s="168" t="s">
        <v>143</v>
      </c>
      <c r="F33" s="177" t="s">
        <v>20</v>
      </c>
      <c r="G33" s="163" t="s">
        <v>144</v>
      </c>
      <c r="H33" s="181"/>
    </row>
    <row r="34" spans="1:10" s="2" customFormat="1" ht="27" customHeight="1" x14ac:dyDescent="0.2">
      <c r="A34" s="406" t="s">
        <v>275</v>
      </c>
      <c r="B34" s="407"/>
      <c r="C34" s="240">
        <v>10</v>
      </c>
      <c r="D34" s="172">
        <f>1/C34</f>
        <v>0.1</v>
      </c>
      <c r="E34" s="240">
        <v>28</v>
      </c>
      <c r="F34" s="241">
        <v>1</v>
      </c>
      <c r="G34" s="239">
        <v>468912</v>
      </c>
      <c r="H34" s="181"/>
    </row>
    <row r="35" spans="1:10" s="2" customFormat="1" ht="15" customHeight="1" thickBot="1" x14ac:dyDescent="0.25">
      <c r="A35" s="397" t="s">
        <v>176</v>
      </c>
      <c r="B35" s="398"/>
      <c r="C35" s="170"/>
      <c r="D35" s="173"/>
      <c r="E35" s="169" t="s">
        <v>267</v>
      </c>
      <c r="F35" s="242">
        <v>7.5</v>
      </c>
      <c r="G35" s="289">
        <v>5.54</v>
      </c>
      <c r="H35" s="181"/>
    </row>
    <row r="36" spans="1:10" s="2" customFormat="1" ht="15" customHeight="1" thickBot="1" x14ac:dyDescent="0.25">
      <c r="A36" s="161"/>
      <c r="B36" s="195"/>
      <c r="C36" s="90"/>
      <c r="D36" s="90"/>
      <c r="E36" s="90"/>
      <c r="F36" s="287"/>
      <c r="G36" s="288"/>
      <c r="H36" s="181"/>
    </row>
    <row r="37" spans="1:10" s="2" customFormat="1" x14ac:dyDescent="0.2">
      <c r="A37" s="399" t="s">
        <v>203</v>
      </c>
      <c r="B37" s="357"/>
      <c r="C37" s="177" t="s">
        <v>27</v>
      </c>
      <c r="D37" s="168"/>
      <c r="E37" s="168"/>
      <c r="F37" s="177" t="s">
        <v>147</v>
      </c>
      <c r="G37" s="162" t="s">
        <v>148</v>
      </c>
      <c r="H37" s="190"/>
    </row>
    <row r="38" spans="1:10" s="2" customFormat="1" ht="15" customHeight="1" x14ac:dyDescent="0.2">
      <c r="A38" s="400" t="s">
        <v>145</v>
      </c>
      <c r="B38" s="352"/>
      <c r="C38" s="171" t="s">
        <v>140</v>
      </c>
      <c r="D38" s="172"/>
      <c r="E38" s="172"/>
      <c r="F38" s="241">
        <v>250</v>
      </c>
      <c r="G38" s="174">
        <f>F38*F39</f>
        <v>250</v>
      </c>
      <c r="H38" s="181"/>
      <c r="I38" s="308">
        <f>G38*12</f>
        <v>3000</v>
      </c>
      <c r="J38" s="308"/>
    </row>
    <row r="39" spans="1:10" s="2" customFormat="1" ht="15" customHeight="1" thickBot="1" x14ac:dyDescent="0.25">
      <c r="A39" s="397" t="s">
        <v>237</v>
      </c>
      <c r="B39" s="398"/>
      <c r="C39" s="169" t="s">
        <v>146</v>
      </c>
      <c r="D39" s="170"/>
      <c r="E39" s="170"/>
      <c r="F39" s="349">
        <v>1</v>
      </c>
      <c r="G39" s="167"/>
      <c r="H39" s="181"/>
      <c r="I39" s="155"/>
    </row>
    <row r="40" spans="1:10" s="2" customFormat="1" ht="15" customHeight="1" thickBot="1" x14ac:dyDescent="0.25">
      <c r="A40" s="161"/>
      <c r="B40" s="195"/>
      <c r="C40" s="90"/>
      <c r="D40" s="90"/>
      <c r="E40" s="17"/>
      <c r="F40" s="164"/>
      <c r="G40" s="165"/>
      <c r="H40" s="181"/>
      <c r="I40" s="155"/>
    </row>
    <row r="41" spans="1:10" s="2" customFormat="1" ht="15" customHeight="1" thickBot="1" x14ac:dyDescent="0.25">
      <c r="A41" s="336" t="s">
        <v>256</v>
      </c>
      <c r="B41" s="195"/>
      <c r="C41" s="177" t="s">
        <v>0</v>
      </c>
      <c r="D41" s="383" t="s">
        <v>257</v>
      </c>
      <c r="E41" s="384"/>
      <c r="F41" s="384"/>
      <c r="G41" s="385"/>
      <c r="H41" s="190"/>
    </row>
    <row r="42" spans="1:10" s="6" customFormat="1" ht="15.75" customHeight="1" thickBot="1" x14ac:dyDescent="0.25">
      <c r="A42" s="386" t="s">
        <v>258</v>
      </c>
      <c r="B42" s="387"/>
      <c r="C42" s="337">
        <f>100%/20*F39</f>
        <v>0.05</v>
      </c>
      <c r="D42" s="388" t="s">
        <v>260</v>
      </c>
      <c r="E42" s="389"/>
      <c r="F42" s="389"/>
      <c r="G42" s="338"/>
      <c r="H42" s="190"/>
      <c r="I42" s="2"/>
    </row>
    <row r="43" spans="1:10" s="2" customFormat="1" ht="15" customHeight="1" thickBot="1" x14ac:dyDescent="0.25">
      <c r="A43" s="161"/>
      <c r="B43" s="195"/>
      <c r="C43" s="90"/>
      <c r="D43" s="90"/>
      <c r="E43" s="17"/>
      <c r="F43" s="164"/>
      <c r="G43" s="165"/>
      <c r="H43" s="181"/>
    </row>
    <row r="44" spans="1:10" s="2" customFormat="1" ht="15" customHeight="1" thickBot="1" x14ac:dyDescent="0.25">
      <c r="A44" s="367" t="s">
        <v>204</v>
      </c>
      <c r="B44" s="368"/>
      <c r="C44" s="368"/>
      <c r="D44" s="368"/>
      <c r="E44" s="368"/>
      <c r="F44" s="368"/>
      <c r="G44" s="369"/>
      <c r="H44" s="180"/>
    </row>
    <row r="45" spans="1:10" ht="11.25" customHeight="1" x14ac:dyDescent="0.2">
      <c r="A45" s="97" t="s">
        <v>23</v>
      </c>
      <c r="B45" s="6"/>
      <c r="E45" s="27"/>
      <c r="F45" s="27"/>
      <c r="G45" s="40"/>
      <c r="H45" s="181"/>
    </row>
    <row r="46" spans="1:10" ht="13.5" thickBot="1" x14ac:dyDescent="0.25">
      <c r="A46" s="97" t="s">
        <v>224</v>
      </c>
      <c r="B46" s="6"/>
      <c r="E46" s="27"/>
      <c r="F46" s="27"/>
      <c r="G46" s="40"/>
      <c r="H46" s="181"/>
    </row>
    <row r="47" spans="1:10" s="7" customFormat="1" ht="13.15" customHeight="1" thickBot="1" x14ac:dyDescent="0.25">
      <c r="A47" s="354" t="s">
        <v>26</v>
      </c>
      <c r="B47" s="355"/>
      <c r="C47" s="218" t="s">
        <v>27</v>
      </c>
      <c r="D47" s="218" t="s">
        <v>20</v>
      </c>
      <c r="E47" s="219" t="s">
        <v>90</v>
      </c>
      <c r="F47" s="219" t="s">
        <v>28</v>
      </c>
      <c r="G47" s="220" t="s">
        <v>29</v>
      </c>
      <c r="H47" s="220" t="s">
        <v>141</v>
      </c>
    </row>
    <row r="48" spans="1:10" x14ac:dyDescent="0.2">
      <c r="A48" s="356" t="s">
        <v>126</v>
      </c>
      <c r="B48" s="357"/>
      <c r="C48" s="8" t="s">
        <v>5</v>
      </c>
      <c r="D48" s="8">
        <v>1</v>
      </c>
      <c r="E48" s="175">
        <f>G30</f>
        <v>2265</v>
      </c>
      <c r="F48" s="9">
        <f>D48*E48</f>
        <v>2265</v>
      </c>
      <c r="G48" s="129"/>
      <c r="H48" s="129"/>
    </row>
    <row r="49" spans="1:9" x14ac:dyDescent="0.2">
      <c r="A49" s="294" t="s">
        <v>251</v>
      </c>
      <c r="B49" s="326"/>
      <c r="C49" s="89" t="s">
        <v>252</v>
      </c>
      <c r="D49" s="327"/>
      <c r="E49" s="11">
        <f>(E48/220)*0.2</f>
        <v>2.0590909090909091</v>
      </c>
      <c r="F49" s="9">
        <f>D49*E49</f>
        <v>0</v>
      </c>
      <c r="G49" s="130"/>
      <c r="H49" s="40"/>
    </row>
    <row r="50" spans="1:9" s="155" customFormat="1" ht="13.15" customHeight="1" x14ac:dyDescent="0.2">
      <c r="A50" s="334" t="s">
        <v>254</v>
      </c>
      <c r="C50" s="89" t="s">
        <v>19</v>
      </c>
      <c r="D50" s="184"/>
      <c r="E50" s="184">
        <f>((D49/F39)*5)*(SUM(E49))</f>
        <v>0</v>
      </c>
      <c r="F50" s="184">
        <f>E50</f>
        <v>0</v>
      </c>
      <c r="G50" s="130"/>
      <c r="H50" s="40"/>
      <c r="I50" s="4"/>
    </row>
    <row r="51" spans="1:9" s="6" customFormat="1" x14ac:dyDescent="0.2">
      <c r="A51" s="353" t="s">
        <v>1</v>
      </c>
      <c r="B51" s="361"/>
      <c r="C51" s="91"/>
      <c r="D51" s="91"/>
      <c r="E51" s="19"/>
      <c r="F51" s="35">
        <f>SUM(F48:F50)</f>
        <v>2265</v>
      </c>
      <c r="G51" s="131"/>
      <c r="H51" s="181"/>
    </row>
    <row r="52" spans="1:9" x14ac:dyDescent="0.2">
      <c r="A52" s="364" t="s">
        <v>2</v>
      </c>
      <c r="B52" s="352"/>
      <c r="C52" s="10" t="s">
        <v>0</v>
      </c>
      <c r="D52" s="41">
        <f>'Enc. Soc. - LR-LP e SN'!C$28*100</f>
        <v>70.61</v>
      </c>
      <c r="E52" s="11">
        <f>F51</f>
        <v>2265</v>
      </c>
      <c r="F52" s="11">
        <f>ROUND(E52*D52/100,2)</f>
        <v>1599.32</v>
      </c>
      <c r="G52" s="130"/>
      <c r="H52" s="181"/>
      <c r="I52" s="6"/>
    </row>
    <row r="53" spans="1:9" s="6" customFormat="1" x14ac:dyDescent="0.2">
      <c r="A53" s="353" t="s">
        <v>91</v>
      </c>
      <c r="B53" s="361"/>
      <c r="C53" s="81"/>
      <c r="D53" s="81"/>
      <c r="E53" s="82"/>
      <c r="F53" s="35">
        <f>F51+F52</f>
        <v>3864.3199999999997</v>
      </c>
      <c r="G53" s="131"/>
      <c r="H53" s="181"/>
    </row>
    <row r="54" spans="1:9" ht="13.5" thickBot="1" x14ac:dyDescent="0.25">
      <c r="A54" s="364" t="s">
        <v>3</v>
      </c>
      <c r="B54" s="352"/>
      <c r="C54" s="10" t="s">
        <v>4</v>
      </c>
      <c r="D54" s="176">
        <f>F30</f>
        <v>1</v>
      </c>
      <c r="E54" s="11">
        <f>F53</f>
        <v>3864.3199999999997</v>
      </c>
      <c r="F54" s="11">
        <f>D54*E54</f>
        <v>3864.3199999999997</v>
      </c>
      <c r="G54" s="221">
        <f>F54</f>
        <v>3864.3199999999997</v>
      </c>
      <c r="H54" s="221">
        <f>G54/G$38</f>
        <v>15.457279999999999</v>
      </c>
      <c r="I54" s="6"/>
    </row>
    <row r="55" spans="1:9" s="155" customFormat="1" ht="13.9" customHeight="1" thickBot="1" x14ac:dyDescent="0.25">
      <c r="A55" s="340"/>
      <c r="B55" s="198"/>
      <c r="C55" s="198"/>
      <c r="D55" s="198"/>
      <c r="E55" s="341" t="s">
        <v>261</v>
      </c>
      <c r="F55" s="339">
        <f>C42</f>
        <v>0.05</v>
      </c>
      <c r="G55" s="221">
        <f>F54*F55</f>
        <v>193.21600000000001</v>
      </c>
      <c r="H55" s="221">
        <f>G55/G$38</f>
        <v>0.772864</v>
      </c>
      <c r="I55" s="6"/>
    </row>
    <row r="56" spans="1:9" ht="11.25" customHeight="1" x14ac:dyDescent="0.2">
      <c r="A56" s="96"/>
      <c r="E56" s="27"/>
      <c r="F56" s="27"/>
      <c r="G56" s="128"/>
      <c r="H56" s="181"/>
      <c r="I56" s="6"/>
    </row>
    <row r="57" spans="1:9" ht="11.25" customHeight="1" x14ac:dyDescent="0.2">
      <c r="A57" s="97" t="s">
        <v>225</v>
      </c>
      <c r="B57" s="6"/>
      <c r="E57" s="27"/>
      <c r="F57" s="27"/>
      <c r="G57" s="40"/>
      <c r="H57" s="181"/>
      <c r="I57" s="6"/>
    </row>
    <row r="58" spans="1:9" ht="11.25" customHeight="1" x14ac:dyDescent="0.2">
      <c r="A58" s="366" t="s">
        <v>2</v>
      </c>
      <c r="B58" s="352"/>
      <c r="C58" s="89" t="s">
        <v>0</v>
      </c>
      <c r="D58" s="41">
        <f>'Enc. Soc. - LR-LP e SN'!C$38*100</f>
        <v>32.817279999999997</v>
      </c>
      <c r="E58" s="11">
        <f>F51</f>
        <v>2265</v>
      </c>
      <c r="F58" s="11">
        <f>ROUND(E58*D58/100,2)</f>
        <v>743.31</v>
      </c>
      <c r="G58" s="40"/>
      <c r="H58" s="181"/>
      <c r="I58" s="6"/>
    </row>
    <row r="59" spans="1:9" x14ac:dyDescent="0.2">
      <c r="A59" s="353" t="s">
        <v>91</v>
      </c>
      <c r="B59" s="361"/>
      <c r="C59" s="91"/>
      <c r="D59" s="91"/>
      <c r="E59" s="19"/>
      <c r="F59" s="36">
        <f>E58+F58</f>
        <v>3008.31</v>
      </c>
      <c r="G59" s="40"/>
      <c r="H59" s="181"/>
      <c r="I59" s="6"/>
    </row>
    <row r="60" spans="1:9" ht="12.75" customHeight="1" thickBot="1" x14ac:dyDescent="0.25">
      <c r="A60" s="364" t="s">
        <v>3</v>
      </c>
      <c r="B60" s="352"/>
      <c r="C60" s="10" t="s">
        <v>4</v>
      </c>
      <c r="D60" s="10">
        <f>D54</f>
        <v>1</v>
      </c>
      <c r="E60" s="11">
        <f>F59</f>
        <v>3008.31</v>
      </c>
      <c r="F60" s="11">
        <f>D60*E60</f>
        <v>3008.31</v>
      </c>
      <c r="G60" s="221">
        <f>F60</f>
        <v>3008.31</v>
      </c>
      <c r="H60" s="221">
        <f>G60/G$38</f>
        <v>12.033239999999999</v>
      </c>
      <c r="I60" s="6"/>
    </row>
    <row r="61" spans="1:9" s="155" customFormat="1" ht="13.9" customHeight="1" thickBot="1" x14ac:dyDescent="0.25">
      <c r="A61" s="340"/>
      <c r="B61" s="198"/>
      <c r="C61" s="198"/>
      <c r="D61" s="198"/>
      <c r="E61" s="341" t="s">
        <v>261</v>
      </c>
      <c r="F61" s="339">
        <f>F55</f>
        <v>0.05</v>
      </c>
      <c r="G61" s="221">
        <f>F60*F61</f>
        <v>150.41550000000001</v>
      </c>
      <c r="H61" s="221">
        <f>G61/G$38</f>
        <v>0.60166200000000003</v>
      </c>
      <c r="I61" s="6"/>
    </row>
    <row r="62" spans="1:9" ht="11.25" customHeight="1" x14ac:dyDescent="0.2">
      <c r="A62" s="96"/>
      <c r="E62" s="27"/>
      <c r="F62" s="27"/>
      <c r="G62" s="128"/>
      <c r="H62" s="181"/>
      <c r="I62" s="6"/>
    </row>
    <row r="63" spans="1:9" ht="13.5" thickBot="1" x14ac:dyDescent="0.25">
      <c r="A63" s="97" t="s">
        <v>226</v>
      </c>
      <c r="B63" s="6"/>
      <c r="C63" s="93"/>
      <c r="E63" s="4"/>
      <c r="F63" s="4"/>
      <c r="G63" s="40"/>
      <c r="H63" s="181"/>
    </row>
    <row r="64" spans="1:9" ht="13.5" thickBot="1" x14ac:dyDescent="0.25">
      <c r="A64" s="354" t="s">
        <v>26</v>
      </c>
      <c r="B64" s="355"/>
      <c r="C64" s="218" t="s">
        <v>27</v>
      </c>
      <c r="D64" s="218" t="s">
        <v>20</v>
      </c>
      <c r="E64" s="219" t="s">
        <v>90</v>
      </c>
      <c r="F64" s="219" t="s">
        <v>28</v>
      </c>
      <c r="G64" s="220" t="s">
        <v>29</v>
      </c>
      <c r="H64" s="220" t="s">
        <v>141</v>
      </c>
    </row>
    <row r="65" spans="1:9" x14ac:dyDescent="0.2">
      <c r="A65" s="365" t="s">
        <v>40</v>
      </c>
      <c r="B65" s="357"/>
      <c r="C65" s="10" t="s">
        <v>19</v>
      </c>
      <c r="D65" s="32">
        <v>1</v>
      </c>
      <c r="E65" s="243">
        <v>6.05</v>
      </c>
      <c r="F65" s="11"/>
      <c r="G65" s="129"/>
      <c r="H65" s="129"/>
    </row>
    <row r="66" spans="1:9" x14ac:dyDescent="0.2">
      <c r="A66" s="364" t="s">
        <v>41</v>
      </c>
      <c r="B66" s="352"/>
      <c r="C66" s="10" t="s">
        <v>42</v>
      </c>
      <c r="D66" s="21">
        <v>20</v>
      </c>
      <c r="E66" s="11"/>
      <c r="F66" s="11"/>
      <c r="G66" s="130"/>
      <c r="H66" s="181"/>
    </row>
    <row r="67" spans="1:9" ht="13.5" thickBot="1" x14ac:dyDescent="0.25">
      <c r="A67" s="351" t="s">
        <v>98</v>
      </c>
      <c r="B67" s="352"/>
      <c r="C67" s="8" t="s">
        <v>6</v>
      </c>
      <c r="D67" s="21">
        <f>$D$66*2*(F30)</f>
        <v>40</v>
      </c>
      <c r="E67" s="9">
        <f>IF(E65=0,"",IFERROR((($D$66*2*$E$65)-(F48*0.06*D66/D66))/($D$66*2),"-"))</f>
        <v>2.6524999999999999</v>
      </c>
      <c r="F67" s="9">
        <f>IFERROR(D67*E67,"-")</f>
        <v>106.1</v>
      </c>
      <c r="G67" s="221">
        <f>F67</f>
        <v>106.1</v>
      </c>
      <c r="H67" s="290">
        <f>G67/G$38</f>
        <v>0.4244</v>
      </c>
    </row>
    <row r="68" spans="1:9" s="155" customFormat="1" ht="13.9" customHeight="1" thickBot="1" x14ac:dyDescent="0.25">
      <c r="A68" s="340"/>
      <c r="B68" s="198"/>
      <c r="C68" s="198"/>
      <c r="D68" s="198"/>
      <c r="E68" s="341" t="s">
        <v>261</v>
      </c>
      <c r="F68" s="339">
        <f>F61</f>
        <v>0.05</v>
      </c>
      <c r="G68" s="221">
        <f>G67*F68</f>
        <v>5.3049999999999997</v>
      </c>
      <c r="H68" s="221">
        <f>G68/G$38</f>
        <v>2.1219999999999999E-2</v>
      </c>
      <c r="I68" s="6"/>
    </row>
    <row r="69" spans="1:9" ht="11.25" customHeight="1" x14ac:dyDescent="0.2">
      <c r="A69" s="96"/>
      <c r="E69" s="27"/>
      <c r="F69" s="27"/>
      <c r="G69" s="128"/>
      <c r="H69" s="181"/>
    </row>
    <row r="70" spans="1:9" ht="13.5" thickBot="1" x14ac:dyDescent="0.25">
      <c r="A70" s="97" t="s">
        <v>227</v>
      </c>
      <c r="B70" s="6"/>
      <c r="E70" s="27"/>
      <c r="F70" s="27"/>
      <c r="G70" s="132"/>
      <c r="H70" s="181"/>
    </row>
    <row r="71" spans="1:9" ht="13.5" thickBot="1" x14ac:dyDescent="0.25">
      <c r="A71" s="222" t="s">
        <v>26</v>
      </c>
      <c r="B71" s="223"/>
      <c r="C71" s="218" t="s">
        <v>27</v>
      </c>
      <c r="D71" s="218" t="s">
        <v>20</v>
      </c>
      <c r="E71" s="219" t="s">
        <v>90</v>
      </c>
      <c r="F71" s="219" t="s">
        <v>28</v>
      </c>
      <c r="G71" s="220" t="s">
        <v>29</v>
      </c>
      <c r="H71" s="220" t="s">
        <v>141</v>
      </c>
    </row>
    <row r="72" spans="1:9" ht="13.5" thickBot="1" x14ac:dyDescent="0.25">
      <c r="A72" s="351" t="s">
        <v>231</v>
      </c>
      <c r="B72" s="352"/>
      <c r="C72" s="89" t="s">
        <v>7</v>
      </c>
      <c r="D72" s="33">
        <f>D66*(F30)</f>
        <v>20</v>
      </c>
      <c r="E72" s="241">
        <f>13+26</f>
        <v>39</v>
      </c>
      <c r="F72" s="23">
        <f>D72*E72</f>
        <v>780</v>
      </c>
      <c r="G72" s="221">
        <f>F72</f>
        <v>780</v>
      </c>
      <c r="H72" s="221">
        <f>G72/G$38</f>
        <v>3.12</v>
      </c>
    </row>
    <row r="73" spans="1:9" s="155" customFormat="1" ht="13.9" customHeight="1" thickBot="1" x14ac:dyDescent="0.25">
      <c r="A73" s="340"/>
      <c r="B73" s="198"/>
      <c r="C73" s="198"/>
      <c r="D73" s="198"/>
      <c r="E73" s="341" t="s">
        <v>261</v>
      </c>
      <c r="F73" s="339">
        <f>F68</f>
        <v>0.05</v>
      </c>
      <c r="G73" s="221">
        <f>F72*F73</f>
        <v>39</v>
      </c>
      <c r="H73" s="221">
        <f>G73/G$38</f>
        <v>0.156</v>
      </c>
      <c r="I73" s="6"/>
    </row>
    <row r="74" spans="1:9" x14ac:dyDescent="0.2">
      <c r="A74" s="96"/>
      <c r="E74" s="92"/>
      <c r="F74" s="92"/>
      <c r="G74" s="128"/>
      <c r="H74" s="181"/>
    </row>
    <row r="75" spans="1:9" ht="13.5" thickBot="1" x14ac:dyDescent="0.25">
      <c r="A75" s="96"/>
      <c r="E75" s="27"/>
      <c r="F75" s="27"/>
      <c r="G75" s="40"/>
      <c r="H75" s="181"/>
    </row>
    <row r="76" spans="1:9" ht="13.5" thickBot="1" x14ac:dyDescent="0.25">
      <c r="A76" s="12" t="s">
        <v>102</v>
      </c>
      <c r="B76" s="13"/>
      <c r="C76" s="13"/>
      <c r="D76" s="13"/>
      <c r="E76" s="14"/>
      <c r="F76" s="15"/>
      <c r="G76" s="224">
        <f>G55+G68+G73</f>
        <v>237.52100000000002</v>
      </c>
      <c r="H76" s="225">
        <f>G76/G$38</f>
        <v>0.95008400000000004</v>
      </c>
    </row>
    <row r="77" spans="1:9" ht="13.5" thickBot="1" x14ac:dyDescent="0.25">
      <c r="A77" s="12" t="s">
        <v>103</v>
      </c>
      <c r="B77" s="13"/>
      <c r="C77" s="13"/>
      <c r="D77" s="13"/>
      <c r="E77" s="14"/>
      <c r="F77" s="15"/>
      <c r="G77" s="226">
        <f>G61+G68+G73</f>
        <v>194.72050000000002</v>
      </c>
      <c r="H77" s="221">
        <f>G77/G$38</f>
        <v>0.77888200000000007</v>
      </c>
    </row>
    <row r="78" spans="1:9" x14ac:dyDescent="0.2">
      <c r="A78" s="96"/>
      <c r="E78" s="27"/>
      <c r="F78" s="27"/>
      <c r="G78" s="128"/>
      <c r="H78" s="181"/>
    </row>
    <row r="79" spans="1:9" x14ac:dyDescent="0.2">
      <c r="A79" s="97" t="s">
        <v>189</v>
      </c>
      <c r="B79" s="6"/>
      <c r="E79" s="27"/>
      <c r="F79" s="27"/>
      <c r="G79" s="40"/>
      <c r="H79" s="181"/>
    </row>
    <row r="80" spans="1:9" ht="13.5" thickBot="1" x14ac:dyDescent="0.25">
      <c r="A80" s="97" t="s">
        <v>190</v>
      </c>
      <c r="B80" s="6"/>
      <c r="E80" s="27"/>
      <c r="F80" s="27"/>
      <c r="G80" s="40"/>
      <c r="H80" s="181"/>
    </row>
    <row r="81" spans="1:8" ht="13.5" thickBot="1" x14ac:dyDescent="0.25">
      <c r="A81" s="222" t="s">
        <v>26</v>
      </c>
      <c r="B81" s="223"/>
      <c r="C81" s="218" t="s">
        <v>27</v>
      </c>
      <c r="D81" s="218" t="s">
        <v>20</v>
      </c>
      <c r="E81" s="219" t="s">
        <v>90</v>
      </c>
      <c r="F81" s="219" t="s">
        <v>28</v>
      </c>
      <c r="G81" s="220" t="s">
        <v>29</v>
      </c>
      <c r="H81" s="220" t="s">
        <v>141</v>
      </c>
    </row>
    <row r="82" spans="1:8" x14ac:dyDescent="0.2">
      <c r="A82" s="356" t="s">
        <v>124</v>
      </c>
      <c r="B82" s="357"/>
      <c r="C82" s="8" t="s">
        <v>7</v>
      </c>
      <c r="D82" s="8">
        <v>1</v>
      </c>
      <c r="E82" s="175">
        <f>G34</f>
        <v>468912</v>
      </c>
      <c r="F82" s="9">
        <f>D82*E82</f>
        <v>468912</v>
      </c>
      <c r="G82" s="129"/>
      <c r="H82" s="129"/>
    </row>
    <row r="83" spans="1:8" x14ac:dyDescent="0.2">
      <c r="A83" s="351" t="s">
        <v>132</v>
      </c>
      <c r="B83" s="352"/>
      <c r="C83" s="10" t="s">
        <v>43</v>
      </c>
      <c r="D83" s="176">
        <f>C34</f>
        <v>10</v>
      </c>
      <c r="E83" s="31"/>
      <c r="F83" s="11"/>
      <c r="G83" s="130"/>
      <c r="H83" s="181"/>
    </row>
    <row r="84" spans="1:8" x14ac:dyDescent="0.2">
      <c r="A84" s="351" t="s">
        <v>127</v>
      </c>
      <c r="B84" s="352"/>
      <c r="C84" s="10" t="s">
        <v>0</v>
      </c>
      <c r="D84" s="41"/>
      <c r="E84" s="184">
        <f>F82</f>
        <v>468912</v>
      </c>
      <c r="F84" s="184">
        <f>D84*E84/100</f>
        <v>0</v>
      </c>
      <c r="G84" s="130"/>
      <c r="H84" s="181"/>
    </row>
    <row r="85" spans="1:8" x14ac:dyDescent="0.2">
      <c r="A85" s="353" t="s">
        <v>133</v>
      </c>
      <c r="B85" s="352"/>
      <c r="C85" s="34" t="s">
        <v>5</v>
      </c>
      <c r="D85" s="34">
        <f>D83*12</f>
        <v>120</v>
      </c>
      <c r="E85" s="35">
        <f>F84</f>
        <v>0</v>
      </c>
      <c r="F85" s="35">
        <f>IFERROR(E85/D85,0)</f>
        <v>0</v>
      </c>
      <c r="G85" s="130"/>
      <c r="H85" s="181"/>
    </row>
    <row r="86" spans="1:8" ht="13.5" thickBot="1" x14ac:dyDescent="0.25">
      <c r="A86" s="353" t="s">
        <v>94</v>
      </c>
      <c r="B86" s="352"/>
      <c r="C86" s="148" t="s">
        <v>7</v>
      </c>
      <c r="D86" s="183">
        <f>F34</f>
        <v>1</v>
      </c>
      <c r="E86" s="149">
        <f>F85</f>
        <v>0</v>
      </c>
      <c r="F86" s="35">
        <f>D86*E86</f>
        <v>0</v>
      </c>
      <c r="G86" s="221">
        <f>F86</f>
        <v>0</v>
      </c>
      <c r="H86" s="221">
        <f>G86/G$38</f>
        <v>0</v>
      </c>
    </row>
    <row r="87" spans="1:8" x14ac:dyDescent="0.2">
      <c r="A87" s="100"/>
      <c r="B87" s="87"/>
      <c r="C87" s="87"/>
      <c r="D87" s="87"/>
      <c r="E87" s="92"/>
      <c r="F87" s="92"/>
      <c r="G87" s="128"/>
      <c r="H87" s="181"/>
    </row>
    <row r="88" spans="1:8" ht="13.5" thickBot="1" x14ac:dyDescent="0.25">
      <c r="A88" s="97" t="s">
        <v>191</v>
      </c>
      <c r="B88" s="6"/>
      <c r="E88" s="27"/>
      <c r="F88" s="253"/>
      <c r="G88" s="40"/>
      <c r="H88" s="181"/>
    </row>
    <row r="89" spans="1:8" ht="13.5" thickBot="1" x14ac:dyDescent="0.25">
      <c r="A89" s="354" t="s">
        <v>26</v>
      </c>
      <c r="B89" s="355"/>
      <c r="C89" s="218" t="s">
        <v>27</v>
      </c>
      <c r="D89" s="218" t="s">
        <v>20</v>
      </c>
      <c r="E89" s="219" t="s">
        <v>90</v>
      </c>
      <c r="F89" s="219" t="s">
        <v>28</v>
      </c>
      <c r="G89" s="220" t="s">
        <v>29</v>
      </c>
      <c r="H89" s="220" t="s">
        <v>141</v>
      </c>
    </row>
    <row r="90" spans="1:8" x14ac:dyDescent="0.2">
      <c r="A90" s="356" t="s">
        <v>134</v>
      </c>
      <c r="B90" s="357"/>
      <c r="C90" s="8" t="s">
        <v>7</v>
      </c>
      <c r="D90" s="8">
        <v>1</v>
      </c>
      <c r="E90" s="9">
        <f>E82</f>
        <v>468912</v>
      </c>
      <c r="F90" s="9">
        <f>D90*E90</f>
        <v>468912</v>
      </c>
      <c r="G90" s="134"/>
      <c r="H90" s="129"/>
    </row>
    <row r="91" spans="1:8" x14ac:dyDescent="0.2">
      <c r="A91" s="364" t="s">
        <v>86</v>
      </c>
      <c r="B91" s="352"/>
      <c r="C91" s="10" t="s">
        <v>0</v>
      </c>
      <c r="D91" s="244"/>
      <c r="E91" s="11"/>
      <c r="F91" s="11"/>
      <c r="G91" s="133"/>
      <c r="H91" s="181"/>
    </row>
    <row r="92" spans="1:8" x14ac:dyDescent="0.2">
      <c r="A92" s="351" t="s">
        <v>197</v>
      </c>
      <c r="B92" s="352"/>
      <c r="C92" s="10" t="s">
        <v>19</v>
      </c>
      <c r="D92" s="45">
        <f>F90</f>
        <v>468912</v>
      </c>
      <c r="E92" s="11"/>
      <c r="F92" s="11"/>
      <c r="G92" s="133"/>
      <c r="H92" s="181"/>
    </row>
    <row r="93" spans="1:8" x14ac:dyDescent="0.2">
      <c r="A93" s="351" t="s">
        <v>196</v>
      </c>
      <c r="B93" s="352"/>
      <c r="C93" s="10"/>
      <c r="D93" s="45">
        <f>F82-F84</f>
        <v>468912</v>
      </c>
      <c r="E93" s="11"/>
      <c r="F93" s="11"/>
      <c r="G93" s="133"/>
      <c r="H93" s="181"/>
    </row>
    <row r="94" spans="1:8" x14ac:dyDescent="0.2">
      <c r="A94" s="351" t="s">
        <v>188</v>
      </c>
      <c r="B94" s="352"/>
      <c r="C94" s="10" t="s">
        <v>19</v>
      </c>
      <c r="D94" s="31">
        <f>(D92-D93)*((D83+1)/(2*D83))+D93</f>
        <v>468912</v>
      </c>
      <c r="E94" s="11"/>
      <c r="F94" s="11"/>
      <c r="G94" s="133"/>
      <c r="H94" s="181"/>
    </row>
    <row r="95" spans="1:8" x14ac:dyDescent="0.2">
      <c r="A95" s="353" t="s">
        <v>135</v>
      </c>
      <c r="B95" s="352"/>
      <c r="C95" s="34" t="s">
        <v>19</v>
      </c>
      <c r="D95" s="34"/>
      <c r="E95" s="151">
        <f>ROUND(D91*D94/12/100,2)</f>
        <v>0</v>
      </c>
      <c r="F95" s="35">
        <f>E95</f>
        <v>0</v>
      </c>
      <c r="G95" s="133"/>
      <c r="H95" s="181"/>
    </row>
    <row r="96" spans="1:8" x14ac:dyDescent="0.2">
      <c r="A96" s="353" t="s">
        <v>136</v>
      </c>
      <c r="B96" s="361"/>
      <c r="C96" s="91"/>
      <c r="D96" s="91"/>
      <c r="E96" s="19"/>
      <c r="F96" s="150">
        <f>F95</f>
        <v>0</v>
      </c>
      <c r="G96" s="133"/>
      <c r="H96" s="181"/>
    </row>
    <row r="97" spans="1:8" ht="13.5" thickBot="1" x14ac:dyDescent="0.25">
      <c r="A97" s="353" t="s">
        <v>94</v>
      </c>
      <c r="B97" s="352"/>
      <c r="C97" s="34" t="s">
        <v>7</v>
      </c>
      <c r="D97" s="10">
        <f>D86</f>
        <v>1</v>
      </c>
      <c r="E97" s="35">
        <f>F96</f>
        <v>0</v>
      </c>
      <c r="F97" s="36">
        <f>D97*E97</f>
        <v>0</v>
      </c>
      <c r="G97" s="221">
        <f>F97</f>
        <v>0</v>
      </c>
      <c r="H97" s="221">
        <f>G97/G$38</f>
        <v>0</v>
      </c>
    </row>
    <row r="98" spans="1:8" x14ac:dyDescent="0.2">
      <c r="A98" s="96"/>
      <c r="D98" s="94"/>
      <c r="E98" s="92"/>
      <c r="F98" s="92"/>
      <c r="G98" s="128"/>
      <c r="H98" s="181"/>
    </row>
    <row r="99" spans="1:8" ht="13.5" thickBot="1" x14ac:dyDescent="0.25">
      <c r="A99" s="97" t="s">
        <v>192</v>
      </c>
      <c r="B99" s="6"/>
      <c r="E99" s="27"/>
      <c r="F99" s="27"/>
      <c r="G99" s="40"/>
      <c r="H99" s="181"/>
    </row>
    <row r="100" spans="1:8" ht="13.5" thickBot="1" x14ac:dyDescent="0.25">
      <c r="A100" s="354" t="s">
        <v>26</v>
      </c>
      <c r="B100" s="355"/>
      <c r="C100" s="218" t="s">
        <v>27</v>
      </c>
      <c r="D100" s="218" t="s">
        <v>20</v>
      </c>
      <c r="E100" s="219" t="s">
        <v>90</v>
      </c>
      <c r="F100" s="219" t="s">
        <v>28</v>
      </c>
      <c r="G100" s="220" t="s">
        <v>29</v>
      </c>
      <c r="H100" s="220" t="s">
        <v>141</v>
      </c>
    </row>
    <row r="101" spans="1:8" x14ac:dyDescent="0.2">
      <c r="A101" s="365" t="s">
        <v>8</v>
      </c>
      <c r="B101" s="357"/>
      <c r="C101" s="8" t="s">
        <v>7</v>
      </c>
      <c r="D101" s="9">
        <f>D86</f>
        <v>1</v>
      </c>
      <c r="E101" s="9">
        <f>0.01*($F$82)</f>
        <v>4689.12</v>
      </c>
      <c r="F101" s="9">
        <f t="shared" ref="F101:F108" si="5">D101*E101</f>
        <v>4689.12</v>
      </c>
      <c r="G101" s="129"/>
      <c r="H101" s="129"/>
    </row>
    <row r="102" spans="1:8" x14ac:dyDescent="0.2">
      <c r="A102" s="351" t="s">
        <v>232</v>
      </c>
      <c r="B102" s="352"/>
      <c r="C102" s="10" t="s">
        <v>7</v>
      </c>
      <c r="D102" s="9">
        <f>D86</f>
        <v>1</v>
      </c>
      <c r="E102" s="241">
        <v>160.22</v>
      </c>
      <c r="F102" s="11">
        <f t="shared" si="5"/>
        <v>160.22</v>
      </c>
      <c r="G102" s="130"/>
      <c r="H102" s="181"/>
    </row>
    <row r="103" spans="1:8" x14ac:dyDescent="0.2">
      <c r="A103" s="364" t="s">
        <v>9</v>
      </c>
      <c r="B103" s="352"/>
      <c r="C103" s="10" t="s">
        <v>7</v>
      </c>
      <c r="D103" s="9">
        <f>D86</f>
        <v>1</v>
      </c>
      <c r="E103" s="241">
        <v>1310.25</v>
      </c>
      <c r="F103" s="11">
        <f t="shared" si="5"/>
        <v>1310.25</v>
      </c>
      <c r="G103" s="135"/>
      <c r="H103" s="181"/>
    </row>
    <row r="104" spans="1:8" x14ac:dyDescent="0.2">
      <c r="A104" s="351" t="s">
        <v>249</v>
      </c>
      <c r="B104" s="352"/>
      <c r="C104" s="10" t="s">
        <v>7</v>
      </c>
      <c r="D104" s="9">
        <v>1</v>
      </c>
      <c r="E104" s="241">
        <v>1171.9000000000001</v>
      </c>
      <c r="F104" s="11">
        <f t="shared" si="5"/>
        <v>1171.9000000000001</v>
      </c>
      <c r="G104" s="135"/>
      <c r="H104" s="181"/>
    </row>
    <row r="105" spans="1:8" x14ac:dyDescent="0.2">
      <c r="A105" s="351" t="s">
        <v>255</v>
      </c>
      <c r="B105" s="352"/>
      <c r="C105" s="10" t="s">
        <v>7</v>
      </c>
      <c r="D105" s="9">
        <v>1</v>
      </c>
      <c r="E105" s="241">
        <v>540.09</v>
      </c>
      <c r="F105" s="11">
        <f t="shared" si="5"/>
        <v>540.09</v>
      </c>
      <c r="G105" s="135"/>
      <c r="H105" s="181"/>
    </row>
    <row r="106" spans="1:8" x14ac:dyDescent="0.2">
      <c r="A106" s="306" t="s">
        <v>244</v>
      </c>
      <c r="B106" s="307"/>
      <c r="C106" s="10" t="s">
        <v>7</v>
      </c>
      <c r="D106" s="9">
        <v>1</v>
      </c>
      <c r="E106" s="241">
        <v>400</v>
      </c>
      <c r="F106" s="11">
        <f t="shared" si="5"/>
        <v>400</v>
      </c>
      <c r="G106" s="135"/>
      <c r="H106" s="181"/>
    </row>
    <row r="107" spans="1:8" x14ac:dyDescent="0.2">
      <c r="A107" s="306" t="s">
        <v>286</v>
      </c>
      <c r="B107" s="307"/>
      <c r="C107" s="89" t="s">
        <v>7</v>
      </c>
      <c r="D107" s="9">
        <v>1</v>
      </c>
      <c r="E107" s="241">
        <v>370</v>
      </c>
      <c r="F107" s="11">
        <f>E107*12</f>
        <v>4440</v>
      </c>
      <c r="G107" s="135"/>
      <c r="H107" s="181"/>
    </row>
    <row r="108" spans="1:8" x14ac:dyDescent="0.2">
      <c r="A108" s="351" t="s">
        <v>177</v>
      </c>
      <c r="B108" s="352"/>
      <c r="C108" s="10" t="s">
        <v>7</v>
      </c>
      <c r="D108" s="9">
        <v>1</v>
      </c>
      <c r="E108" s="241">
        <v>45</v>
      </c>
      <c r="F108" s="11">
        <f t="shared" si="5"/>
        <v>45</v>
      </c>
      <c r="G108" s="135"/>
      <c r="H108" s="181"/>
    </row>
    <row r="109" spans="1:8" ht="13.5" thickBot="1" x14ac:dyDescent="0.25">
      <c r="A109" s="353" t="s">
        <v>10</v>
      </c>
      <c r="B109" s="352"/>
      <c r="C109" s="34" t="s">
        <v>5</v>
      </c>
      <c r="D109" s="34">
        <v>12</v>
      </c>
      <c r="E109" s="35">
        <f>SUM(F101:F108)</f>
        <v>12756.58</v>
      </c>
      <c r="F109" s="35">
        <f>ROUND(E109/D109,2)</f>
        <v>1063.05</v>
      </c>
      <c r="G109" s="221">
        <f>F109</f>
        <v>1063.05</v>
      </c>
      <c r="H109" s="221">
        <f>G109/G$38</f>
        <v>4.2522000000000002</v>
      </c>
    </row>
    <row r="110" spans="1:8" x14ac:dyDescent="0.2">
      <c r="A110" s="320"/>
      <c r="B110" s="321"/>
      <c r="C110" s="91"/>
      <c r="D110" s="91"/>
      <c r="E110" s="19"/>
      <c r="F110" s="19"/>
      <c r="G110" s="135"/>
      <c r="H110" s="181"/>
    </row>
    <row r="111" spans="1:8" x14ac:dyDescent="0.2">
      <c r="A111" s="97" t="s">
        <v>193</v>
      </c>
      <c r="B111" s="6"/>
      <c r="C111" s="95"/>
      <c r="E111" s="27"/>
      <c r="F111" s="27"/>
      <c r="G111" s="135"/>
      <c r="H111" s="181"/>
    </row>
    <row r="112" spans="1:8" ht="13.5" thickBot="1" x14ac:dyDescent="0.25">
      <c r="A112" s="99" t="s">
        <v>137</v>
      </c>
      <c r="B112" s="197"/>
      <c r="C112" s="178">
        <f>G38</f>
        <v>250</v>
      </c>
      <c r="E112" s="27"/>
      <c r="F112" s="27"/>
      <c r="G112" s="40"/>
      <c r="H112" s="181"/>
    </row>
    <row r="113" spans="1:8" ht="13.5" thickBot="1" x14ac:dyDescent="0.25">
      <c r="A113" s="354" t="s">
        <v>26</v>
      </c>
      <c r="B113" s="355"/>
      <c r="C113" s="218" t="s">
        <v>27</v>
      </c>
      <c r="D113" s="218" t="s">
        <v>93</v>
      </c>
      <c r="E113" s="219" t="s">
        <v>90</v>
      </c>
      <c r="F113" s="219" t="s">
        <v>28</v>
      </c>
      <c r="G113" s="220" t="s">
        <v>29</v>
      </c>
      <c r="H113" s="220" t="s">
        <v>141</v>
      </c>
    </row>
    <row r="114" spans="1:8" x14ac:dyDescent="0.2">
      <c r="A114" s="365" t="s">
        <v>11</v>
      </c>
      <c r="B114" s="357"/>
      <c r="C114" s="8" t="s">
        <v>12</v>
      </c>
      <c r="D114" s="175">
        <f>F35</f>
        <v>7.5</v>
      </c>
      <c r="E114" s="175">
        <f>G35</f>
        <v>5.54</v>
      </c>
      <c r="F114" s="9"/>
      <c r="G114" s="129"/>
      <c r="H114" s="129"/>
    </row>
    <row r="115" spans="1:8" x14ac:dyDescent="0.2">
      <c r="A115" s="351" t="s">
        <v>253</v>
      </c>
      <c r="B115" s="352"/>
      <c r="C115" s="10" t="s">
        <v>13</v>
      </c>
      <c r="D115" s="32">
        <f>C112</f>
        <v>250</v>
      </c>
      <c r="E115" s="86">
        <f>IFERROR(+E114/D114,"-")</f>
        <v>0.73866666666666669</v>
      </c>
      <c r="F115" s="11">
        <f>IFERROR(D115*E115,"-")</f>
        <v>184.66666666666669</v>
      </c>
      <c r="G115" s="130"/>
      <c r="H115" s="181"/>
    </row>
    <row r="116" spans="1:8" x14ac:dyDescent="0.2">
      <c r="A116" s="306" t="s">
        <v>263</v>
      </c>
      <c r="B116" s="307"/>
      <c r="C116" s="10" t="s">
        <v>12</v>
      </c>
      <c r="D116" s="241">
        <v>65</v>
      </c>
      <c r="E116" s="346">
        <v>4</v>
      </c>
      <c r="F116" s="11"/>
      <c r="G116" s="130"/>
      <c r="H116" s="181"/>
    </row>
    <row r="117" spans="1:8" x14ac:dyDescent="0.2">
      <c r="A117" s="306" t="s">
        <v>264</v>
      </c>
      <c r="B117" s="307"/>
      <c r="C117" s="10" t="s">
        <v>13</v>
      </c>
      <c r="D117" s="32">
        <f>C112</f>
        <v>250</v>
      </c>
      <c r="E117" s="86">
        <f>IFERROR(+E116/D116,"-")</f>
        <v>6.1538461538461542E-2</v>
      </c>
      <c r="F117" s="11">
        <f>IFERROR(D117*E117,"-")</f>
        <v>15.384615384615385</v>
      </c>
      <c r="G117" s="130"/>
      <c r="H117" s="181"/>
    </row>
    <row r="118" spans="1:8" x14ac:dyDescent="0.2">
      <c r="A118" s="351" t="s">
        <v>206</v>
      </c>
      <c r="B118" s="352"/>
      <c r="C118" s="89" t="s">
        <v>207</v>
      </c>
      <c r="D118" s="245">
        <v>10.5</v>
      </c>
      <c r="E118" s="241">
        <v>19.3</v>
      </c>
      <c r="F118" s="11"/>
      <c r="G118" s="130"/>
      <c r="H118" s="181"/>
    </row>
    <row r="119" spans="1:8" x14ac:dyDescent="0.2">
      <c r="A119" s="364" t="s">
        <v>14</v>
      </c>
      <c r="B119" s="352"/>
      <c r="C119" s="10" t="s">
        <v>13</v>
      </c>
      <c r="D119" s="32">
        <f>D115</f>
        <v>250</v>
      </c>
      <c r="E119" s="83">
        <f>+D118*E118/10000</f>
        <v>2.0265000000000002E-2</v>
      </c>
      <c r="F119" s="11">
        <f>D119*E119</f>
        <v>5.0662500000000001</v>
      </c>
      <c r="G119" s="130"/>
      <c r="H119" s="181"/>
    </row>
    <row r="120" spans="1:8" x14ac:dyDescent="0.2">
      <c r="A120" s="351" t="s">
        <v>208</v>
      </c>
      <c r="B120" s="352"/>
      <c r="C120" s="89" t="s">
        <v>209</v>
      </c>
      <c r="D120" s="245">
        <v>4.5999999999999996</v>
      </c>
      <c r="E120" s="241">
        <v>22.8</v>
      </c>
      <c r="F120" s="11"/>
      <c r="G120" s="130"/>
      <c r="H120" s="181"/>
    </row>
    <row r="121" spans="1:8" x14ac:dyDescent="0.2">
      <c r="A121" s="364" t="s">
        <v>15</v>
      </c>
      <c r="B121" s="352"/>
      <c r="C121" s="10" t="s">
        <v>13</v>
      </c>
      <c r="D121" s="32">
        <f>D115</f>
        <v>250</v>
      </c>
      <c r="E121" s="214">
        <f>+D120*E120/100000</f>
        <v>1.0487999999999999E-3</v>
      </c>
      <c r="F121" s="11">
        <f>D121*E121</f>
        <v>0.26219999999999999</v>
      </c>
      <c r="G121" s="130"/>
      <c r="H121" s="181"/>
    </row>
    <row r="122" spans="1:8" x14ac:dyDescent="0.2">
      <c r="A122" s="351" t="s">
        <v>211</v>
      </c>
      <c r="B122" s="352"/>
      <c r="C122" s="89" t="s">
        <v>210</v>
      </c>
      <c r="D122" s="245">
        <v>1.7</v>
      </c>
      <c r="E122" s="241">
        <v>21.95</v>
      </c>
      <c r="F122" s="11"/>
      <c r="G122" s="130"/>
      <c r="H122" s="181"/>
    </row>
    <row r="123" spans="1:8" x14ac:dyDescent="0.2">
      <c r="A123" s="364" t="s">
        <v>16</v>
      </c>
      <c r="B123" s="352"/>
      <c r="C123" s="10" t="s">
        <v>13</v>
      </c>
      <c r="D123" s="32">
        <f>D115</f>
        <v>250</v>
      </c>
      <c r="E123" s="214">
        <f>+D122*E122/80000</f>
        <v>4.6643749999999995E-4</v>
      </c>
      <c r="F123" s="11">
        <f>D123*E123</f>
        <v>0.11660937499999999</v>
      </c>
      <c r="G123" s="130"/>
      <c r="H123" s="181"/>
    </row>
    <row r="124" spans="1:8" x14ac:dyDescent="0.2">
      <c r="A124" s="351" t="s">
        <v>213</v>
      </c>
      <c r="B124" s="352"/>
      <c r="C124" s="89" t="s">
        <v>212</v>
      </c>
      <c r="D124" s="245">
        <v>1</v>
      </c>
      <c r="E124" s="241">
        <v>20.9</v>
      </c>
      <c r="F124" s="11"/>
      <c r="G124" s="130"/>
      <c r="H124" s="181"/>
    </row>
    <row r="125" spans="1:8" x14ac:dyDescent="0.2">
      <c r="A125" s="364" t="s">
        <v>17</v>
      </c>
      <c r="B125" s="352"/>
      <c r="C125" s="10" t="s">
        <v>13</v>
      </c>
      <c r="D125" s="32">
        <f>D115</f>
        <v>250</v>
      </c>
      <c r="E125" s="83">
        <f>+D124*E124/10000</f>
        <v>2.0899999999999998E-3</v>
      </c>
      <c r="F125" s="11">
        <f>D125*E125</f>
        <v>0.52249999999999996</v>
      </c>
      <c r="G125" s="130"/>
      <c r="H125" s="181"/>
    </row>
    <row r="126" spans="1:8" ht="13.5" thickBot="1" x14ac:dyDescent="0.25">
      <c r="A126" s="353" t="s">
        <v>92</v>
      </c>
      <c r="B126" s="352"/>
      <c r="C126" s="34" t="s">
        <v>44</v>
      </c>
      <c r="D126" s="84"/>
      <c r="E126" s="85">
        <f>IFERROR(E115+E119+E121+E123+E125,0)</f>
        <v>0.76253690416666664</v>
      </c>
      <c r="F126" s="35">
        <f>ROUND(SUM(F114:F125),2)</f>
        <v>206.02</v>
      </c>
      <c r="G126" s="221">
        <f>F126</f>
        <v>206.02</v>
      </c>
      <c r="H126" s="221">
        <f>G126/G$38</f>
        <v>0.82408000000000003</v>
      </c>
    </row>
    <row r="127" spans="1:8" ht="11.25" customHeight="1" x14ac:dyDescent="0.2">
      <c r="A127" s="96"/>
      <c r="E127" s="27"/>
      <c r="F127" s="27"/>
      <c r="G127" s="128"/>
      <c r="H127" s="181"/>
    </row>
    <row r="128" spans="1:8" ht="13.5" thickBot="1" x14ac:dyDescent="0.25">
      <c r="A128" s="97" t="s">
        <v>194</v>
      </c>
      <c r="B128" s="6"/>
      <c r="E128" s="27"/>
      <c r="F128" s="27"/>
      <c r="G128" s="40"/>
      <c r="H128" s="181"/>
    </row>
    <row r="129" spans="1:10" ht="13.5" thickBot="1" x14ac:dyDescent="0.25">
      <c r="A129" s="354" t="s">
        <v>26</v>
      </c>
      <c r="B129" s="355"/>
      <c r="C129" s="218" t="s">
        <v>27</v>
      </c>
      <c r="D129" s="218" t="s">
        <v>20</v>
      </c>
      <c r="E129" s="219" t="s">
        <v>90</v>
      </c>
      <c r="F129" s="219" t="s">
        <v>28</v>
      </c>
      <c r="G129" s="220" t="s">
        <v>29</v>
      </c>
      <c r="H129" s="220" t="s">
        <v>141</v>
      </c>
    </row>
    <row r="130" spans="1:10" x14ac:dyDescent="0.2">
      <c r="A130" s="356" t="s">
        <v>169</v>
      </c>
      <c r="B130" s="357"/>
      <c r="C130" s="8" t="s">
        <v>44</v>
      </c>
      <c r="D130" s="32">
        <f>D115</f>
        <v>250</v>
      </c>
      <c r="E130" s="246">
        <v>0.35</v>
      </c>
      <c r="F130" s="9">
        <f>D130*E130</f>
        <v>87.5</v>
      </c>
      <c r="G130" s="129"/>
      <c r="H130" s="129"/>
    </row>
    <row r="131" spans="1:10" x14ac:dyDescent="0.2">
      <c r="A131" s="351" t="s">
        <v>128</v>
      </c>
      <c r="B131" s="352"/>
      <c r="C131" s="152" t="s">
        <v>129</v>
      </c>
      <c r="D131" s="248">
        <v>1</v>
      </c>
      <c r="E131" s="247">
        <v>150</v>
      </c>
      <c r="F131" s="153">
        <f>D131*E131</f>
        <v>150</v>
      </c>
      <c r="G131" s="40"/>
      <c r="H131" s="40"/>
    </row>
    <row r="132" spans="1:10" s="155" customFormat="1" x14ac:dyDescent="0.2">
      <c r="A132" s="351" t="s">
        <v>236</v>
      </c>
      <c r="B132" s="352"/>
      <c r="C132" s="152" t="s">
        <v>129</v>
      </c>
      <c r="D132" s="300">
        <f>F39*2</f>
        <v>2</v>
      </c>
      <c r="E132" s="301">
        <f>8.6+8.6+8.6</f>
        <v>25.799999999999997</v>
      </c>
      <c r="F132" s="153">
        <f>D132*E132</f>
        <v>51.599999999999994</v>
      </c>
      <c r="G132" s="154"/>
      <c r="H132" s="182"/>
      <c r="I132" s="4"/>
      <c r="J132" s="155" t="s">
        <v>287</v>
      </c>
    </row>
    <row r="133" spans="1:10" s="155" customFormat="1" ht="13.5" thickBot="1" x14ac:dyDescent="0.25">
      <c r="A133" s="353" t="s">
        <v>130</v>
      </c>
      <c r="B133" s="352"/>
      <c r="C133" s="89" t="s">
        <v>131</v>
      </c>
      <c r="D133" s="156"/>
      <c r="E133" s="23"/>
      <c r="F133" s="149">
        <f>ROUND(SUM(F130:F132),2)</f>
        <v>289.10000000000002</v>
      </c>
      <c r="G133" s="221">
        <f>F133</f>
        <v>289.10000000000002</v>
      </c>
      <c r="H133" s="221">
        <f>G133/G$38</f>
        <v>1.1564000000000001</v>
      </c>
      <c r="I133" s="4"/>
      <c r="J133" s="155" t="s">
        <v>292</v>
      </c>
    </row>
    <row r="134" spans="1:10" ht="11.25" customHeight="1" x14ac:dyDescent="0.2">
      <c r="A134" s="96"/>
      <c r="E134" s="27"/>
      <c r="F134" s="27"/>
      <c r="G134" s="128"/>
      <c r="H134" s="181"/>
      <c r="J134" s="155" t="s">
        <v>289</v>
      </c>
    </row>
    <row r="135" spans="1:10" ht="13.5" thickBot="1" x14ac:dyDescent="0.25">
      <c r="A135" s="97" t="s">
        <v>195</v>
      </c>
      <c r="B135" s="6"/>
      <c r="E135" s="27"/>
      <c r="F135" s="27"/>
      <c r="G135" s="40"/>
      <c r="H135" s="181"/>
    </row>
    <row r="136" spans="1:10" ht="13.5" thickBot="1" x14ac:dyDescent="0.25">
      <c r="A136" s="354" t="s">
        <v>26</v>
      </c>
      <c r="B136" s="355"/>
      <c r="C136" s="218" t="s">
        <v>27</v>
      </c>
      <c r="D136" s="218" t="s">
        <v>20</v>
      </c>
      <c r="E136" s="219" t="s">
        <v>90</v>
      </c>
      <c r="F136" s="219" t="s">
        <v>28</v>
      </c>
      <c r="G136" s="220" t="s">
        <v>29</v>
      </c>
      <c r="H136" s="220" t="s">
        <v>141</v>
      </c>
    </row>
    <row r="137" spans="1:10" x14ac:dyDescent="0.2">
      <c r="A137" s="356" t="s">
        <v>262</v>
      </c>
      <c r="B137" s="357"/>
      <c r="C137" s="8" t="s">
        <v>7</v>
      </c>
      <c r="D137" s="249">
        <v>6</v>
      </c>
      <c r="E137" s="247">
        <v>745</v>
      </c>
      <c r="F137" s="9">
        <f>D137*E137</f>
        <v>4470</v>
      </c>
      <c r="G137" s="129"/>
      <c r="H137" s="129"/>
    </row>
    <row r="138" spans="1:10" x14ac:dyDescent="0.2">
      <c r="A138" s="294" t="s">
        <v>233</v>
      </c>
      <c r="B138" s="295"/>
      <c r="C138" s="152" t="s">
        <v>27</v>
      </c>
      <c r="D138" s="298">
        <v>0</v>
      </c>
      <c r="E138" s="296"/>
      <c r="F138" s="153"/>
      <c r="G138" s="130"/>
      <c r="H138" s="40"/>
    </row>
    <row r="139" spans="1:10" x14ac:dyDescent="0.2">
      <c r="A139" s="294" t="s">
        <v>234</v>
      </c>
      <c r="B139" s="295"/>
      <c r="C139" s="152" t="s">
        <v>27</v>
      </c>
      <c r="D139" s="153">
        <f>D137*D138</f>
        <v>0</v>
      </c>
      <c r="E139" s="247">
        <v>0</v>
      </c>
      <c r="F139" s="153">
        <f>D139*E139</f>
        <v>0</v>
      </c>
      <c r="G139" s="130"/>
      <c r="H139" s="40"/>
    </row>
    <row r="140" spans="1:10" x14ac:dyDescent="0.2">
      <c r="A140" s="351" t="s">
        <v>125</v>
      </c>
      <c r="B140" s="352"/>
      <c r="C140" s="10" t="s">
        <v>18</v>
      </c>
      <c r="D140" s="299">
        <v>45000</v>
      </c>
      <c r="E140" s="184">
        <f>F137+F139</f>
        <v>4470</v>
      </c>
      <c r="F140" s="184">
        <f>IFERROR(E140/D140,"-")</f>
        <v>9.9333333333333329E-2</v>
      </c>
      <c r="G140" s="130"/>
      <c r="H140" s="181"/>
    </row>
    <row r="141" spans="1:10" ht="13.5" thickBot="1" x14ac:dyDescent="0.25">
      <c r="A141" s="353" t="s">
        <v>24</v>
      </c>
      <c r="B141" s="352"/>
      <c r="C141" s="10" t="s">
        <v>13</v>
      </c>
      <c r="D141" s="297">
        <f>C112</f>
        <v>250</v>
      </c>
      <c r="E141" s="184">
        <f>F140</f>
        <v>9.9333333333333329E-2</v>
      </c>
      <c r="F141" s="184">
        <f>ROUND(D141*E141,2)</f>
        <v>24.83</v>
      </c>
      <c r="G141" s="221">
        <f>F141</f>
        <v>24.83</v>
      </c>
      <c r="H141" s="221">
        <f>G141/G$38</f>
        <v>9.9319999999999992E-2</v>
      </c>
    </row>
    <row r="142" spans="1:10" x14ac:dyDescent="0.2">
      <c r="A142" s="96"/>
      <c r="E142" s="235"/>
      <c r="F142" s="235"/>
      <c r="G142" s="128"/>
      <c r="H142" s="181"/>
    </row>
    <row r="143" spans="1:10" ht="13.5" thickBot="1" x14ac:dyDescent="0.25">
      <c r="A143" s="97" t="s">
        <v>245</v>
      </c>
      <c r="B143" s="6"/>
      <c r="E143" s="27"/>
      <c r="F143" s="27"/>
      <c r="G143" s="40"/>
      <c r="H143" s="181"/>
    </row>
    <row r="144" spans="1:10" ht="13.5" thickBot="1" x14ac:dyDescent="0.25">
      <c r="A144" s="354" t="s">
        <v>26</v>
      </c>
      <c r="B144" s="355"/>
      <c r="C144" s="218" t="s">
        <v>27</v>
      </c>
      <c r="D144" s="218" t="s">
        <v>20</v>
      </c>
      <c r="E144" s="219" t="s">
        <v>90</v>
      </c>
      <c r="F144" s="219" t="s">
        <v>28</v>
      </c>
      <c r="G144" s="220" t="s">
        <v>29</v>
      </c>
      <c r="H144" s="220" t="s">
        <v>141</v>
      </c>
    </row>
    <row r="145" spans="1:8" x14ac:dyDescent="0.2">
      <c r="A145" s="356" t="s">
        <v>250</v>
      </c>
      <c r="B145" s="357"/>
      <c r="C145" s="152" t="s">
        <v>142</v>
      </c>
      <c r="D145" s="298">
        <v>1</v>
      </c>
      <c r="E145" s="247">
        <f>149/12</f>
        <v>12.416666666666666</v>
      </c>
      <c r="F145" s="9">
        <f>D145*E145</f>
        <v>12.416666666666666</v>
      </c>
      <c r="G145" s="129"/>
      <c r="H145" s="129"/>
    </row>
    <row r="146" spans="1:8" x14ac:dyDescent="0.2">
      <c r="A146" s="294" t="s">
        <v>246</v>
      </c>
      <c r="B146" s="295"/>
      <c r="C146" s="152" t="s">
        <v>142</v>
      </c>
      <c r="D146" s="298">
        <v>1</v>
      </c>
      <c r="E146" s="247">
        <v>59.99</v>
      </c>
      <c r="F146" s="153">
        <f>D146*E146</f>
        <v>59.99</v>
      </c>
      <c r="G146" s="130"/>
      <c r="H146" s="40"/>
    </row>
    <row r="147" spans="1:8" ht="13.5" thickBot="1" x14ac:dyDescent="0.25">
      <c r="A147" s="353" t="s">
        <v>247</v>
      </c>
      <c r="B147" s="352"/>
      <c r="C147" s="10"/>
      <c r="D147" s="297"/>
      <c r="E147" s="184"/>
      <c r="F147" s="184"/>
      <c r="G147" s="221">
        <f>F145+F146</f>
        <v>72.406666666666666</v>
      </c>
      <c r="H147" s="221">
        <f>G147/G$38</f>
        <v>0.28962666666666664</v>
      </c>
    </row>
    <row r="148" spans="1:8" ht="11.25" customHeight="1" thickBot="1" x14ac:dyDescent="0.25">
      <c r="A148" s="96"/>
      <c r="E148" s="27"/>
      <c r="F148" s="27"/>
      <c r="G148" s="40"/>
      <c r="H148" s="181"/>
    </row>
    <row r="149" spans="1:8" ht="13.5" thickBot="1" x14ac:dyDescent="0.25">
      <c r="A149" s="12" t="s">
        <v>138</v>
      </c>
      <c r="B149" s="13"/>
      <c r="C149" s="13"/>
      <c r="D149" s="13"/>
      <c r="E149" s="14"/>
      <c r="F149" s="15"/>
      <c r="G149" s="227">
        <f>+SUM(G82:G148)</f>
        <v>1655.4066666666668</v>
      </c>
      <c r="H149" s="221">
        <f>G149/G$38</f>
        <v>6.6216266666666668</v>
      </c>
    </row>
    <row r="150" spans="1:8" ht="11.25" customHeight="1" x14ac:dyDescent="0.2">
      <c r="A150" s="96"/>
      <c r="E150" s="27"/>
      <c r="F150" s="27"/>
      <c r="G150" s="128"/>
      <c r="H150" s="181"/>
    </row>
    <row r="151" spans="1:8" ht="13.5" thickBot="1" x14ac:dyDescent="0.25">
      <c r="A151" s="97" t="s">
        <v>149</v>
      </c>
      <c r="B151" s="6"/>
      <c r="C151" s="6"/>
      <c r="D151" s="6"/>
      <c r="E151" s="20"/>
      <c r="F151" s="20"/>
      <c r="G151" s="136"/>
      <c r="H151" s="181"/>
    </row>
    <row r="152" spans="1:8" ht="13.5" thickBot="1" x14ac:dyDescent="0.25">
      <c r="A152" s="354" t="s">
        <v>26</v>
      </c>
      <c r="B152" s="355"/>
      <c r="C152" s="218" t="s">
        <v>27</v>
      </c>
      <c r="D152" s="218" t="s">
        <v>20</v>
      </c>
      <c r="E152" s="219" t="s">
        <v>90</v>
      </c>
      <c r="F152" s="219" t="s">
        <v>28</v>
      </c>
      <c r="G152" s="220" t="s">
        <v>29</v>
      </c>
      <c r="H152" s="220" t="s">
        <v>141</v>
      </c>
    </row>
    <row r="153" spans="1:8" x14ac:dyDescent="0.2">
      <c r="A153" s="356" t="s">
        <v>171</v>
      </c>
      <c r="B153" s="357"/>
      <c r="C153" s="89" t="s">
        <v>170</v>
      </c>
      <c r="D153" s="250">
        <f>1/12</f>
        <v>8.3333333333333329E-2</v>
      </c>
      <c r="E153" s="247">
        <v>28</v>
      </c>
      <c r="F153" s="11">
        <f>D153*E153</f>
        <v>2.333333333333333</v>
      </c>
      <c r="G153" s="137"/>
      <c r="H153" s="129"/>
    </row>
    <row r="154" spans="1:8" x14ac:dyDescent="0.2">
      <c r="A154" s="351" t="s">
        <v>172</v>
      </c>
      <c r="B154" s="352"/>
      <c r="C154" s="89" t="s">
        <v>170</v>
      </c>
      <c r="D154" s="250">
        <f>3/12</f>
        <v>0.25</v>
      </c>
      <c r="E154" s="247">
        <v>19.899999999999999</v>
      </c>
      <c r="F154" s="11">
        <f>D154*E154</f>
        <v>4.9749999999999996</v>
      </c>
      <c r="G154" s="138"/>
      <c r="H154" s="181"/>
    </row>
    <row r="155" spans="1:8" x14ac:dyDescent="0.2">
      <c r="A155" s="351" t="s">
        <v>173</v>
      </c>
      <c r="B155" s="352"/>
      <c r="C155" s="89" t="s">
        <v>170</v>
      </c>
      <c r="D155" s="250">
        <f>2/12</f>
        <v>0.16666666666666666</v>
      </c>
      <c r="E155" s="247">
        <v>14.8</v>
      </c>
      <c r="F155" s="11">
        <f>D155*E155</f>
        <v>2.4666666666666668</v>
      </c>
      <c r="G155" s="138"/>
      <c r="H155" s="181"/>
    </row>
    <row r="156" spans="1:8" ht="13.5" thickBot="1" x14ac:dyDescent="0.25">
      <c r="A156" s="351" t="s">
        <v>174</v>
      </c>
      <c r="B156" s="352"/>
      <c r="C156" s="89" t="s">
        <v>187</v>
      </c>
      <c r="D156" s="250">
        <f>4</f>
        <v>4</v>
      </c>
      <c r="E156" s="247">
        <v>17.98</v>
      </c>
      <c r="F156" s="11">
        <f>D156*E156</f>
        <v>71.92</v>
      </c>
      <c r="G156" s="138"/>
      <c r="H156" s="181"/>
    </row>
    <row r="157" spans="1:8" ht="13.5" thickBot="1" x14ac:dyDescent="0.25">
      <c r="A157" s="351" t="s">
        <v>175</v>
      </c>
      <c r="B157" s="352"/>
      <c r="C157" s="89" t="s">
        <v>170</v>
      </c>
      <c r="D157" s="250">
        <v>4</v>
      </c>
      <c r="E157" s="247">
        <v>4.7</v>
      </c>
      <c r="F157" s="11">
        <f t="shared" ref="F157" si="6">D157*E157</f>
        <v>18.8</v>
      </c>
      <c r="G157" s="225">
        <f>ROUND(SUM(F153:F157),2)</f>
        <v>100.5</v>
      </c>
      <c r="H157" s="225">
        <f>G157/G$38</f>
        <v>0.40200000000000002</v>
      </c>
    </row>
    <row r="158" spans="1:8" ht="13.5" thickBot="1" x14ac:dyDescent="0.25">
      <c r="A158" s="97"/>
      <c r="B158" s="6"/>
      <c r="C158" s="6"/>
      <c r="D158" s="6"/>
      <c r="E158" s="234"/>
      <c r="F158" s="234"/>
      <c r="G158" s="4"/>
      <c r="H158" s="4"/>
    </row>
    <row r="159" spans="1:8" ht="13.5" thickBot="1" x14ac:dyDescent="0.25">
      <c r="A159" s="12" t="s">
        <v>89</v>
      </c>
      <c r="B159" s="13"/>
      <c r="C159" s="13"/>
      <c r="D159" s="13"/>
      <c r="E159" s="14"/>
      <c r="F159" s="15"/>
      <c r="G159" s="227">
        <f>+G157</f>
        <v>100.5</v>
      </c>
      <c r="H159" s="227">
        <f>G159/G$38</f>
        <v>0.40200000000000002</v>
      </c>
    </row>
    <row r="160" spans="1:8" ht="11.25" customHeight="1" thickBot="1" x14ac:dyDescent="0.25">
      <c r="A160" s="96"/>
      <c r="E160" s="27"/>
      <c r="F160" s="27"/>
      <c r="G160" s="128"/>
      <c r="H160" s="128"/>
    </row>
    <row r="161" spans="1:8" ht="17.25" customHeight="1" thickBot="1" x14ac:dyDescent="0.25">
      <c r="A161" s="12" t="s">
        <v>122</v>
      </c>
      <c r="B161" s="13"/>
      <c r="C161" s="16"/>
      <c r="D161" s="16"/>
      <c r="E161" s="17"/>
      <c r="F161" s="18"/>
      <c r="G161" s="224">
        <f>+G76+G149+G159</f>
        <v>1993.4276666666667</v>
      </c>
      <c r="H161" s="224">
        <f>G161/G$38</f>
        <v>7.9737106666666673</v>
      </c>
    </row>
    <row r="162" spans="1:8" ht="17.25" customHeight="1" thickBot="1" x14ac:dyDescent="0.25">
      <c r="A162" s="12" t="s">
        <v>123</v>
      </c>
      <c r="B162" s="13"/>
      <c r="C162" s="16"/>
      <c r="D162" s="16"/>
      <c r="E162" s="17"/>
      <c r="F162" s="18"/>
      <c r="G162" s="226">
        <f>+G77+G149+G159</f>
        <v>1950.6271666666667</v>
      </c>
      <c r="H162" s="226">
        <f>G162/G$38</f>
        <v>7.8025086666666663</v>
      </c>
    </row>
    <row r="163" spans="1:8" ht="11.25" customHeight="1" x14ac:dyDescent="0.2">
      <c r="A163" s="96"/>
      <c r="E163" s="27"/>
      <c r="F163" s="27"/>
      <c r="G163" s="128"/>
      <c r="H163" s="128"/>
    </row>
    <row r="164" spans="1:8" ht="13.5" thickBot="1" x14ac:dyDescent="0.25">
      <c r="A164" s="97" t="s">
        <v>150</v>
      </c>
      <c r="B164" s="6"/>
      <c r="E164" s="27"/>
      <c r="F164" s="27"/>
      <c r="G164" s="40"/>
      <c r="H164" s="40"/>
    </row>
    <row r="165" spans="1:8" ht="13.5" thickBot="1" x14ac:dyDescent="0.25">
      <c r="A165" s="354" t="s">
        <v>26</v>
      </c>
      <c r="B165" s="355"/>
      <c r="C165" s="218" t="s">
        <v>27</v>
      </c>
      <c r="D165" s="218" t="s">
        <v>20</v>
      </c>
      <c r="E165" s="219" t="s">
        <v>90</v>
      </c>
      <c r="F165" s="219" t="s">
        <v>28</v>
      </c>
      <c r="G165" s="220" t="s">
        <v>29</v>
      </c>
      <c r="H165" s="220" t="s">
        <v>141</v>
      </c>
    </row>
    <row r="166" spans="1:8" ht="13.5" thickBot="1" x14ac:dyDescent="0.25">
      <c r="A166" s="356" t="s">
        <v>151</v>
      </c>
      <c r="B166" s="357"/>
      <c r="C166" s="8" t="s">
        <v>0</v>
      </c>
      <c r="D166" s="41">
        <f>BDI!E11*100</f>
        <v>32.35</v>
      </c>
      <c r="E166" s="9">
        <f>+G161</f>
        <v>1993.4276666666667</v>
      </c>
      <c r="F166" s="9">
        <f>ROUND(D166*E166/100,2)</f>
        <v>644.87</v>
      </c>
      <c r="G166" s="227">
        <f>+F166</f>
        <v>644.87</v>
      </c>
      <c r="H166" s="227">
        <f>G166/G$38</f>
        <v>2.5794800000000002</v>
      </c>
    </row>
    <row r="167" spans="1:8" x14ac:dyDescent="0.2">
      <c r="A167" s="96"/>
      <c r="E167" s="27"/>
      <c r="F167" s="27"/>
      <c r="G167" s="128"/>
      <c r="H167" s="128"/>
    </row>
    <row r="168" spans="1:8" ht="11.25" customHeight="1" thickBot="1" x14ac:dyDescent="0.25">
      <c r="A168" s="96"/>
      <c r="E168" s="27"/>
      <c r="F168" s="27"/>
      <c r="G168" s="40"/>
      <c r="H168" s="40"/>
    </row>
    <row r="169" spans="1:8" ht="13.5" thickBot="1" x14ac:dyDescent="0.25">
      <c r="A169" s="12" t="s">
        <v>152</v>
      </c>
      <c r="B169" s="13"/>
      <c r="C169" s="16"/>
      <c r="D169" s="16"/>
      <c r="E169" s="17"/>
      <c r="F169" s="18"/>
      <c r="G169" s="226">
        <f>G166</f>
        <v>644.87</v>
      </c>
      <c r="H169" s="226">
        <f>G169/G$38</f>
        <v>2.5794800000000002</v>
      </c>
    </row>
    <row r="170" spans="1:8" ht="13.5" thickBot="1" x14ac:dyDescent="0.25">
      <c r="A170" s="97"/>
      <c r="B170" s="6"/>
      <c r="C170" s="6"/>
      <c r="D170" s="6"/>
      <c r="E170" s="20"/>
      <c r="F170" s="20"/>
      <c r="G170" s="139"/>
      <c r="H170" s="139"/>
    </row>
    <row r="171" spans="1:8" ht="24.75" customHeight="1" thickBot="1" x14ac:dyDescent="0.25">
      <c r="A171" s="12" t="s">
        <v>153</v>
      </c>
      <c r="B171" s="13"/>
      <c r="C171" s="16"/>
      <c r="D171" s="16"/>
      <c r="E171" s="17"/>
      <c r="F171" s="18"/>
      <c r="G171" s="189">
        <f>G161+G169</f>
        <v>2638.2976666666668</v>
      </c>
      <c r="H171" s="226">
        <f>G171/G$38</f>
        <v>10.553190666666667</v>
      </c>
    </row>
    <row r="172" spans="1:8" ht="12.6" customHeight="1" x14ac:dyDescent="0.2">
      <c r="A172" s="101"/>
      <c r="B172" s="24"/>
      <c r="C172" s="24"/>
      <c r="D172" s="24"/>
      <c r="E172" s="25"/>
      <c r="F172" s="25"/>
      <c r="G172" s="140"/>
      <c r="H172" s="140"/>
    </row>
    <row r="173" spans="1:8" ht="16.149999999999999" customHeight="1" x14ac:dyDescent="0.2">
      <c r="A173" s="351" t="s">
        <v>154</v>
      </c>
      <c r="B173" s="361"/>
      <c r="C173" s="79"/>
      <c r="D173" s="79"/>
      <c r="E173" s="147">
        <f>C112</f>
        <v>250</v>
      </c>
      <c r="F173" s="146" t="s">
        <v>140</v>
      </c>
      <c r="G173" s="40"/>
      <c r="H173" s="40"/>
    </row>
    <row r="174" spans="1:8" ht="13.5" thickBot="1" x14ac:dyDescent="0.25">
      <c r="A174" s="96"/>
      <c r="E174" s="27"/>
      <c r="F174" s="27"/>
      <c r="G174" s="40"/>
      <c r="H174" s="40"/>
    </row>
    <row r="175" spans="1:8" ht="25.5" customHeight="1" thickBot="1" x14ac:dyDescent="0.25">
      <c r="A175" s="12" t="s">
        <v>155</v>
      </c>
      <c r="B175" s="13"/>
      <c r="C175" s="13"/>
      <c r="D175" s="13"/>
      <c r="E175" s="14"/>
      <c r="F175" s="145" t="s">
        <v>141</v>
      </c>
      <c r="G175" s="358">
        <f>IFERROR(G171/E173,"-")</f>
        <v>10.553190666666667</v>
      </c>
      <c r="H175" s="359"/>
    </row>
    <row r="176" spans="1:8" ht="12.6" customHeight="1" x14ac:dyDescent="0.2">
      <c r="A176" s="97"/>
      <c r="B176" s="6"/>
      <c r="C176" s="6"/>
      <c r="D176" s="6"/>
      <c r="E176" s="20"/>
      <c r="F176" s="20"/>
      <c r="G176" s="141"/>
      <c r="H176" s="141"/>
    </row>
    <row r="177" spans="1:8" x14ac:dyDescent="0.2">
      <c r="A177" s="97" t="s">
        <v>156</v>
      </c>
      <c r="B177" s="6"/>
      <c r="E177" s="27"/>
      <c r="F177" s="27"/>
      <c r="G177" s="40"/>
      <c r="H177" s="40"/>
    </row>
    <row r="178" spans="1:8" ht="11.25" customHeight="1" thickBot="1" x14ac:dyDescent="0.25">
      <c r="A178" s="96"/>
      <c r="E178" s="27"/>
      <c r="F178" s="27"/>
      <c r="G178" s="40"/>
      <c r="H178" s="40"/>
    </row>
    <row r="179" spans="1:8" ht="13.5" thickBot="1" x14ac:dyDescent="0.25">
      <c r="A179" s="222" t="s">
        <v>26</v>
      </c>
      <c r="B179" s="223"/>
      <c r="C179" s="218" t="s">
        <v>27</v>
      </c>
      <c r="D179" s="218" t="s">
        <v>20</v>
      </c>
      <c r="E179" s="219" t="s">
        <v>90</v>
      </c>
      <c r="F179" s="219" t="s">
        <v>28</v>
      </c>
      <c r="G179" s="220" t="s">
        <v>29</v>
      </c>
      <c r="H179" s="220" t="s">
        <v>141</v>
      </c>
    </row>
    <row r="180" spans="1:8" ht="13.5" thickBot="1" x14ac:dyDescent="0.25">
      <c r="A180" s="356" t="s">
        <v>139</v>
      </c>
      <c r="B180" s="357"/>
      <c r="C180" s="8" t="s">
        <v>0</v>
      </c>
      <c r="D180" s="41">
        <f>BDI!E$24*100</f>
        <v>24.46</v>
      </c>
      <c r="E180" s="9">
        <f>G161</f>
        <v>1993.4276666666667</v>
      </c>
      <c r="F180" s="9">
        <f>ROUND(D180*E180/100,2)</f>
        <v>487.59</v>
      </c>
      <c r="G180" s="227">
        <f>+F180</f>
        <v>487.59</v>
      </c>
      <c r="H180" s="227">
        <f>G180/G$38</f>
        <v>1.9503599999999999</v>
      </c>
    </row>
    <row r="181" spans="1:8" x14ac:dyDescent="0.2">
      <c r="A181" s="96"/>
      <c r="E181" s="27"/>
      <c r="F181" s="27"/>
      <c r="G181" s="141"/>
      <c r="H181" s="141"/>
    </row>
    <row r="182" spans="1:8" ht="11.25" customHeight="1" thickBot="1" x14ac:dyDescent="0.25">
      <c r="A182" s="96"/>
      <c r="E182" s="27"/>
      <c r="F182" s="27"/>
      <c r="G182" s="40"/>
      <c r="H182" s="40"/>
    </row>
    <row r="183" spans="1:8" ht="13.5" thickBot="1" x14ac:dyDescent="0.25">
      <c r="A183" s="12" t="s">
        <v>157</v>
      </c>
      <c r="B183" s="13"/>
      <c r="C183" s="16"/>
      <c r="D183" s="16"/>
      <c r="E183" s="17"/>
      <c r="F183" s="18"/>
      <c r="G183" s="226">
        <f>G180</f>
        <v>487.59</v>
      </c>
      <c r="H183" s="226">
        <f>G183/G$38</f>
        <v>1.9503599999999999</v>
      </c>
    </row>
    <row r="184" spans="1:8" ht="13.5" thickBot="1" x14ac:dyDescent="0.25">
      <c r="A184" s="97"/>
      <c r="B184" s="6"/>
      <c r="C184" s="6"/>
      <c r="D184" s="6"/>
      <c r="E184" s="20"/>
      <c r="F184" s="20"/>
      <c r="G184" s="139"/>
      <c r="H184" s="139"/>
    </row>
    <row r="185" spans="1:8" ht="24.75" customHeight="1" thickBot="1" x14ac:dyDescent="0.25">
      <c r="A185" s="12" t="s">
        <v>158</v>
      </c>
      <c r="B185" s="13"/>
      <c r="C185" s="16"/>
      <c r="D185" s="16"/>
      <c r="E185" s="17"/>
      <c r="F185" s="18"/>
      <c r="G185" s="189">
        <f>G161+G183</f>
        <v>2481.0176666666666</v>
      </c>
      <c r="H185" s="226">
        <f>G185/G$38</f>
        <v>9.9240706666666672</v>
      </c>
    </row>
    <row r="186" spans="1:8" ht="12.6" customHeight="1" x14ac:dyDescent="0.2">
      <c r="A186" s="101"/>
      <c r="B186" s="24"/>
      <c r="C186" s="24"/>
      <c r="D186" s="24"/>
      <c r="E186" s="25"/>
      <c r="F186" s="25"/>
      <c r="G186" s="140"/>
      <c r="H186" s="140"/>
    </row>
    <row r="187" spans="1:8" ht="16.149999999999999" customHeight="1" x14ac:dyDescent="0.2">
      <c r="A187" s="144" t="s">
        <v>159</v>
      </c>
      <c r="B187" s="198"/>
      <c r="C187" s="79"/>
      <c r="D187" s="79"/>
      <c r="E187" s="147">
        <f>E$173</f>
        <v>250</v>
      </c>
      <c r="F187" s="146" t="s">
        <v>140</v>
      </c>
      <c r="G187" s="40"/>
      <c r="H187" s="40"/>
    </row>
    <row r="188" spans="1:8" ht="13.5" thickBot="1" x14ac:dyDescent="0.25">
      <c r="A188" s="96"/>
      <c r="E188" s="27"/>
      <c r="F188" s="27"/>
      <c r="G188" s="40"/>
      <c r="H188" s="40"/>
    </row>
    <row r="189" spans="1:8" ht="25.5" customHeight="1" thickBot="1" x14ac:dyDescent="0.25">
      <c r="A189" s="12" t="s">
        <v>160</v>
      </c>
      <c r="B189" s="13"/>
      <c r="C189" s="13"/>
      <c r="D189" s="13"/>
      <c r="E189" s="14"/>
      <c r="F189" s="145" t="s">
        <v>141</v>
      </c>
      <c r="G189" s="358">
        <f>IFERROR(G185/E187,"-")</f>
        <v>9.9240706666666672</v>
      </c>
      <c r="H189" s="359"/>
    </row>
    <row r="190" spans="1:8" x14ac:dyDescent="0.2">
      <c r="A190" s="116"/>
      <c r="B190" s="117"/>
      <c r="C190" s="117"/>
      <c r="D190" s="117"/>
      <c r="E190" s="118"/>
      <c r="F190" s="118"/>
      <c r="G190" s="128"/>
      <c r="H190" s="128"/>
    </row>
    <row r="191" spans="1:8" x14ac:dyDescent="0.2">
      <c r="A191" s="127" t="s">
        <v>161</v>
      </c>
      <c r="B191" s="199"/>
      <c r="E191" s="27"/>
      <c r="F191" s="27"/>
      <c r="G191" s="40"/>
      <c r="H191" s="40"/>
    </row>
    <row r="192" spans="1:8" ht="11.25" customHeight="1" thickBot="1" x14ac:dyDescent="0.25">
      <c r="A192" s="96"/>
      <c r="E192" s="27"/>
      <c r="F192" s="27"/>
      <c r="G192" s="40"/>
      <c r="H192" s="40"/>
    </row>
    <row r="193" spans="1:11" ht="13.5" thickBot="1" x14ac:dyDescent="0.25">
      <c r="A193" s="222" t="s">
        <v>26</v>
      </c>
      <c r="B193" s="223"/>
      <c r="C193" s="218" t="s">
        <v>27</v>
      </c>
      <c r="D193" s="218" t="s">
        <v>20</v>
      </c>
      <c r="E193" s="219" t="s">
        <v>90</v>
      </c>
      <c r="F193" s="219" t="s">
        <v>28</v>
      </c>
      <c r="G193" s="220" t="s">
        <v>29</v>
      </c>
      <c r="H193" s="220" t="s">
        <v>141</v>
      </c>
    </row>
    <row r="194" spans="1:11" ht="13.5" thickBot="1" x14ac:dyDescent="0.25">
      <c r="A194" s="98" t="s">
        <v>162</v>
      </c>
      <c r="B194" s="196"/>
      <c r="C194" s="8" t="s">
        <v>0</v>
      </c>
      <c r="D194" s="41">
        <f>BDI!C35*100</f>
        <v>16.93</v>
      </c>
      <c r="E194" s="9">
        <f>G162</f>
        <v>1950.6271666666667</v>
      </c>
      <c r="F194" s="9">
        <f>ROUND(D194*E194/100,2)</f>
        <v>330.24</v>
      </c>
      <c r="G194" s="227">
        <f>+F194</f>
        <v>330.24</v>
      </c>
      <c r="H194" s="227">
        <f>G194/G$38</f>
        <v>1.3209600000000001</v>
      </c>
    </row>
    <row r="195" spans="1:11" x14ac:dyDescent="0.2">
      <c r="A195" s="96"/>
      <c r="E195" s="27"/>
      <c r="F195" s="27"/>
      <c r="G195" s="128"/>
      <c r="H195" s="128"/>
    </row>
    <row r="196" spans="1:11" ht="11.25" customHeight="1" thickBot="1" x14ac:dyDescent="0.25">
      <c r="A196" s="96"/>
      <c r="E196" s="27"/>
      <c r="F196" s="27"/>
      <c r="G196" s="142"/>
      <c r="H196" s="142"/>
    </row>
    <row r="197" spans="1:11" ht="13.5" thickBot="1" x14ac:dyDescent="0.25">
      <c r="A197" s="12" t="s">
        <v>163</v>
      </c>
      <c r="B197" s="13"/>
      <c r="C197" s="16"/>
      <c r="D197" s="16"/>
      <c r="E197" s="17"/>
      <c r="F197" s="18"/>
      <c r="G197" s="226">
        <f>G194</f>
        <v>330.24</v>
      </c>
      <c r="H197" s="226">
        <f>G197/G$38</f>
        <v>1.3209600000000001</v>
      </c>
    </row>
    <row r="198" spans="1:11" ht="13.5" thickBot="1" x14ac:dyDescent="0.25">
      <c r="A198" s="97"/>
      <c r="B198" s="6"/>
      <c r="C198" s="6"/>
      <c r="D198" s="6"/>
      <c r="E198" s="20"/>
      <c r="F198" s="20"/>
      <c r="G198" s="139"/>
      <c r="H198" s="139"/>
    </row>
    <row r="199" spans="1:11" ht="24.75" customHeight="1" thickBot="1" x14ac:dyDescent="0.25">
      <c r="A199" s="12" t="s">
        <v>164</v>
      </c>
      <c r="B199" s="13"/>
      <c r="C199" s="16"/>
      <c r="D199" s="16"/>
      <c r="E199" s="17"/>
      <c r="F199" s="18"/>
      <c r="G199" s="226">
        <f>E194+G197</f>
        <v>2280.8671666666669</v>
      </c>
      <c r="H199" s="226">
        <f>G199/G$38</f>
        <v>9.1234686666666676</v>
      </c>
    </row>
    <row r="200" spans="1:11" ht="12.6" customHeight="1" x14ac:dyDescent="0.2">
      <c r="A200" s="101"/>
      <c r="B200" s="24"/>
      <c r="C200" s="24"/>
      <c r="D200" s="24"/>
      <c r="E200" s="25"/>
      <c r="F200" s="25"/>
      <c r="G200" s="140"/>
      <c r="H200" s="140"/>
    </row>
    <row r="201" spans="1:11" ht="12.6" customHeight="1" x14ac:dyDescent="0.2">
      <c r="A201" s="101" t="s">
        <v>121</v>
      </c>
      <c r="B201" s="24"/>
      <c r="C201" s="24"/>
      <c r="D201" s="24"/>
      <c r="E201" s="25"/>
      <c r="F201" s="25"/>
      <c r="G201" s="142"/>
      <c r="H201" s="142"/>
    </row>
    <row r="202" spans="1:11" x14ac:dyDescent="0.2">
      <c r="A202" s="143" t="s">
        <v>118</v>
      </c>
      <c r="B202" s="6"/>
      <c r="E202" s="27"/>
      <c r="F202" s="27"/>
      <c r="G202" s="40"/>
      <c r="H202" s="40"/>
    </row>
    <row r="203" spans="1:11" x14ac:dyDescent="0.2">
      <c r="A203" s="97" t="s">
        <v>116</v>
      </c>
      <c r="B203" s="6"/>
      <c r="E203" s="27"/>
      <c r="F203" s="27"/>
      <c r="G203" s="40"/>
      <c r="H203" s="40"/>
    </row>
    <row r="204" spans="1:11" x14ac:dyDescent="0.2">
      <c r="A204" s="362" t="s">
        <v>276</v>
      </c>
      <c r="B204" s="363"/>
      <c r="E204" s="27"/>
      <c r="F204" s="27"/>
      <c r="G204" s="40"/>
      <c r="H204" s="40"/>
    </row>
    <row r="205" spans="1:11" ht="11.25" customHeight="1" thickBot="1" x14ac:dyDescent="0.25">
      <c r="A205" s="119"/>
      <c r="E205" s="27"/>
      <c r="F205" s="27"/>
      <c r="G205" s="40"/>
      <c r="H205" s="40"/>
    </row>
    <row r="206" spans="1:11" ht="15.75" thickBot="1" x14ac:dyDescent="0.3">
      <c r="A206" s="222" t="s">
        <v>26</v>
      </c>
      <c r="B206" s="223"/>
      <c r="C206" s="218" t="s">
        <v>27</v>
      </c>
      <c r="D206" s="218" t="s">
        <v>20</v>
      </c>
      <c r="E206" s="219" t="s">
        <v>117</v>
      </c>
      <c r="F206" s="219" t="s">
        <v>28</v>
      </c>
      <c r="G206" s="220" t="s">
        <v>29</v>
      </c>
      <c r="H206" s="220" t="s">
        <v>141</v>
      </c>
      <c r="I206" s="328"/>
    </row>
    <row r="207" spans="1:11" ht="15.75" thickBot="1" x14ac:dyDescent="0.3">
      <c r="A207" s="356" t="s">
        <v>165</v>
      </c>
      <c r="B207" s="357"/>
      <c r="C207" s="120" t="s">
        <v>0</v>
      </c>
      <c r="D207" s="251">
        <v>6</v>
      </c>
      <c r="E207" s="121">
        <f>G199</f>
        <v>2280.8671666666669</v>
      </c>
      <c r="F207" s="9">
        <f>ROUND(G210*(D207/100),2)</f>
        <v>145.59</v>
      </c>
      <c r="G207" s="226">
        <f>F207</f>
        <v>145.59</v>
      </c>
      <c r="H207" s="226">
        <f>G207/G$38</f>
        <v>0.58235999999999999</v>
      </c>
      <c r="I207" s="330"/>
      <c r="J207" s="331">
        <f>G210*12</f>
        <v>29117.453191489367</v>
      </c>
      <c r="K207" s="331"/>
    </row>
    <row r="208" spans="1:11" ht="15.75" x14ac:dyDescent="0.25">
      <c r="A208" s="96"/>
      <c r="E208" s="27"/>
      <c r="F208" s="27"/>
      <c r="G208" s="140"/>
      <c r="H208" s="140"/>
      <c r="I208" s="328"/>
      <c r="J208" s="328"/>
      <c r="K208" s="328"/>
    </row>
    <row r="209" spans="1:11" ht="15.75" thickBot="1" x14ac:dyDescent="0.3">
      <c r="A209" s="122"/>
      <c r="B209" s="123"/>
      <c r="C209" s="123"/>
      <c r="D209" s="123"/>
      <c r="E209" s="124"/>
      <c r="F209" s="124"/>
      <c r="G209" s="40"/>
      <c r="H209" s="40"/>
      <c r="I209" s="332"/>
      <c r="J209" s="332"/>
      <c r="K209" s="333"/>
    </row>
    <row r="210" spans="1:11" ht="24.75" customHeight="1" thickBot="1" x14ac:dyDescent="0.25">
      <c r="A210" s="12" t="s">
        <v>166</v>
      </c>
      <c r="B210" s="13"/>
      <c r="C210" s="16"/>
      <c r="D210" s="16"/>
      <c r="E210" s="17"/>
      <c r="F210" s="18"/>
      <c r="G210" s="189">
        <f>E207/((100-D207)/100)</f>
        <v>2426.4544326241139</v>
      </c>
      <c r="H210" s="226">
        <f>G210/G$38</f>
        <v>9.7058177304964559</v>
      </c>
    </row>
    <row r="211" spans="1:11" ht="12.6" customHeight="1" x14ac:dyDescent="0.2">
      <c r="A211" s="101"/>
      <c r="B211" s="24"/>
      <c r="C211" s="24"/>
      <c r="D211" s="24"/>
      <c r="E211" s="25"/>
      <c r="F211" s="25"/>
      <c r="G211" s="140"/>
      <c r="H211" s="140"/>
    </row>
    <row r="212" spans="1:11" ht="16.149999999999999" customHeight="1" x14ac:dyDescent="0.2">
      <c r="A212" s="144" t="s">
        <v>167</v>
      </c>
      <c r="B212" s="198"/>
      <c r="C212" s="79"/>
      <c r="D212" s="79"/>
      <c r="E212" s="147">
        <f>E$173</f>
        <v>250</v>
      </c>
      <c r="F212" s="146" t="s">
        <v>140</v>
      </c>
      <c r="G212" s="40"/>
      <c r="H212" s="40"/>
    </row>
    <row r="213" spans="1:11" ht="13.5" thickBot="1" x14ac:dyDescent="0.25">
      <c r="A213" s="96"/>
      <c r="E213" s="27"/>
      <c r="F213" s="27"/>
      <c r="G213" s="40"/>
      <c r="H213" s="40"/>
    </row>
    <row r="214" spans="1:11" ht="25.5" customHeight="1" thickBot="1" x14ac:dyDescent="0.25">
      <c r="A214" s="12" t="s">
        <v>168</v>
      </c>
      <c r="B214" s="13"/>
      <c r="C214" s="13"/>
      <c r="D214" s="13"/>
      <c r="E214" s="14"/>
      <c r="F214" s="145" t="s">
        <v>141</v>
      </c>
      <c r="G214" s="358">
        <f>IFERROR(G210/E212,"-")</f>
        <v>9.7058177304964559</v>
      </c>
      <c r="H214" s="359"/>
    </row>
    <row r="215" spans="1:11" ht="9" customHeight="1" x14ac:dyDescent="0.2">
      <c r="E215" s="4"/>
      <c r="F215" s="4"/>
      <c r="G215" s="4"/>
      <c r="H215" s="27"/>
    </row>
    <row r="216" spans="1:11" x14ac:dyDescent="0.2">
      <c r="H216" s="27"/>
    </row>
    <row r="217" spans="1:11" x14ac:dyDescent="0.2">
      <c r="H217" s="27"/>
    </row>
    <row r="218" spans="1:11" x14ac:dyDescent="0.2">
      <c r="A218" s="6"/>
      <c r="B218" s="6"/>
      <c r="C218" s="6"/>
      <c r="D218" s="6"/>
      <c r="E218" s="286"/>
      <c r="F218" s="286"/>
      <c r="G218" s="286"/>
      <c r="H218" s="20"/>
    </row>
    <row r="219" spans="1:11" x14ac:dyDescent="0.2">
      <c r="A219" s="6"/>
      <c r="B219" s="6"/>
      <c r="C219" s="6"/>
      <c r="D219" s="6"/>
      <c r="E219" s="286"/>
      <c r="F219" s="286"/>
      <c r="G219" s="286"/>
      <c r="H219" s="20"/>
    </row>
    <row r="220" spans="1:11" x14ac:dyDescent="0.2">
      <c r="A220" s="6"/>
      <c r="B220" s="6"/>
      <c r="C220" s="6"/>
      <c r="D220" s="6"/>
      <c r="E220" s="286"/>
      <c r="F220" s="286"/>
      <c r="G220" s="286"/>
      <c r="H220" s="20"/>
    </row>
    <row r="221" spans="1:11" x14ac:dyDescent="0.2">
      <c r="A221" s="6"/>
      <c r="B221" s="6"/>
      <c r="C221" s="6"/>
      <c r="D221" s="6"/>
      <c r="E221" s="286"/>
      <c r="F221" s="286"/>
      <c r="G221" s="286"/>
      <c r="H221" s="20"/>
    </row>
    <row r="222" spans="1:11" x14ac:dyDescent="0.2">
      <c r="A222" s="6"/>
      <c r="B222" s="6"/>
      <c r="C222" s="360"/>
      <c r="D222" s="360"/>
      <c r="E222" s="360"/>
      <c r="F222" s="286"/>
      <c r="G222" s="286"/>
      <c r="H222" s="20"/>
    </row>
    <row r="223" spans="1:11" x14ac:dyDescent="0.2">
      <c r="A223" s="6"/>
      <c r="B223" s="6"/>
      <c r="C223" s="360"/>
      <c r="D223" s="360"/>
      <c r="E223" s="360"/>
      <c r="F223" s="286"/>
      <c r="G223" s="286"/>
      <c r="H223" s="20"/>
    </row>
    <row r="224" spans="1:11" x14ac:dyDescent="0.2">
      <c r="A224" s="6"/>
      <c r="B224" s="6"/>
      <c r="C224" s="360"/>
      <c r="D224" s="360"/>
      <c r="E224" s="360"/>
      <c r="F224" s="286"/>
      <c r="G224" s="286"/>
      <c r="H224" s="20"/>
    </row>
    <row r="225" spans="8:8" x14ac:dyDescent="0.2">
      <c r="H225" s="27"/>
    </row>
    <row r="226" spans="8:8" x14ac:dyDescent="0.2">
      <c r="H226" s="27"/>
    </row>
    <row r="227" spans="8:8" x14ac:dyDescent="0.2">
      <c r="H227" s="27"/>
    </row>
  </sheetData>
  <mergeCells count="117">
    <mergeCell ref="C224:E224"/>
    <mergeCell ref="G189:H189"/>
    <mergeCell ref="A204:B204"/>
    <mergeCell ref="A207:B207"/>
    <mergeCell ref="G214:H214"/>
    <mergeCell ref="C222:E222"/>
    <mergeCell ref="C223:E223"/>
    <mergeCell ref="A157:B157"/>
    <mergeCell ref="A165:B165"/>
    <mergeCell ref="A166:B166"/>
    <mergeCell ref="A173:B173"/>
    <mergeCell ref="G175:H175"/>
    <mergeCell ref="A180:B180"/>
    <mergeCell ref="A147:B147"/>
    <mergeCell ref="A152:B152"/>
    <mergeCell ref="A153:B153"/>
    <mergeCell ref="A154:B154"/>
    <mergeCell ref="A155:B155"/>
    <mergeCell ref="A156:B156"/>
    <mergeCell ref="A136:B136"/>
    <mergeCell ref="A137:B137"/>
    <mergeCell ref="A140:B140"/>
    <mergeCell ref="A141:B141"/>
    <mergeCell ref="A144:B144"/>
    <mergeCell ref="A145:B145"/>
    <mergeCell ref="A126:B126"/>
    <mergeCell ref="A129:B129"/>
    <mergeCell ref="A130:B130"/>
    <mergeCell ref="A131:B131"/>
    <mergeCell ref="A132:B132"/>
    <mergeCell ref="A133:B133"/>
    <mergeCell ref="A120:B120"/>
    <mergeCell ref="A121:B121"/>
    <mergeCell ref="A122:B122"/>
    <mergeCell ref="A123:B123"/>
    <mergeCell ref="A124:B124"/>
    <mergeCell ref="A125:B125"/>
    <mergeCell ref="A109:B109"/>
    <mergeCell ref="A113:B113"/>
    <mergeCell ref="A114:B114"/>
    <mergeCell ref="A115:B115"/>
    <mergeCell ref="A118:B118"/>
    <mergeCell ref="A119:B119"/>
    <mergeCell ref="A101:B101"/>
    <mergeCell ref="A102:B102"/>
    <mergeCell ref="A103:B103"/>
    <mergeCell ref="A104:B104"/>
    <mergeCell ref="A105:B105"/>
    <mergeCell ref="A108:B108"/>
    <mergeCell ref="A93:B93"/>
    <mergeCell ref="A94:B94"/>
    <mergeCell ref="A95:B95"/>
    <mergeCell ref="A96:B96"/>
    <mergeCell ref="A97:B97"/>
    <mergeCell ref="A100:B100"/>
    <mergeCell ref="A85:B85"/>
    <mergeCell ref="A86:B86"/>
    <mergeCell ref="A89:B89"/>
    <mergeCell ref="A90:B90"/>
    <mergeCell ref="A91:B91"/>
    <mergeCell ref="A92:B92"/>
    <mergeCell ref="A66:B66"/>
    <mergeCell ref="A67:B67"/>
    <mergeCell ref="A72:B72"/>
    <mergeCell ref="A82:B82"/>
    <mergeCell ref="A83:B83"/>
    <mergeCell ref="A84:B84"/>
    <mergeCell ref="A54:B54"/>
    <mergeCell ref="A58:B58"/>
    <mergeCell ref="A59:B59"/>
    <mergeCell ref="A60:B60"/>
    <mergeCell ref="A64:B64"/>
    <mergeCell ref="A65:B65"/>
    <mergeCell ref="A44:G44"/>
    <mergeCell ref="A47:B47"/>
    <mergeCell ref="A48:B48"/>
    <mergeCell ref="A51:B51"/>
    <mergeCell ref="A52:B52"/>
    <mergeCell ref="A53:B53"/>
    <mergeCell ref="A35:B35"/>
    <mergeCell ref="A37:B37"/>
    <mergeCell ref="A38:B38"/>
    <mergeCell ref="A39:B39"/>
    <mergeCell ref="D41:G41"/>
    <mergeCell ref="A42:B42"/>
    <mergeCell ref="D42:F42"/>
    <mergeCell ref="A28:G28"/>
    <mergeCell ref="A29:B29"/>
    <mergeCell ref="A30:B30"/>
    <mergeCell ref="A31:B31"/>
    <mergeCell ref="A33:B33"/>
    <mergeCell ref="A34:B34"/>
    <mergeCell ref="A21:B21"/>
    <mergeCell ref="A22:B22"/>
    <mergeCell ref="A23:B23"/>
    <mergeCell ref="A24:B24"/>
    <mergeCell ref="A25:B25"/>
    <mergeCell ref="A26:B26"/>
    <mergeCell ref="A16:B16"/>
    <mergeCell ref="A17:B17"/>
    <mergeCell ref="A18:B18"/>
    <mergeCell ref="A19:B19"/>
    <mergeCell ref="A8:B8"/>
    <mergeCell ref="A9:B9"/>
    <mergeCell ref="A10:B10"/>
    <mergeCell ref="A11:B11"/>
    <mergeCell ref="A12:B12"/>
    <mergeCell ref="A13:B13"/>
    <mergeCell ref="A1:H1"/>
    <mergeCell ref="D3:E3"/>
    <mergeCell ref="G3:H3"/>
    <mergeCell ref="B4:C4"/>
    <mergeCell ref="C7:D7"/>
    <mergeCell ref="E7:F7"/>
    <mergeCell ref="G7:H7"/>
    <mergeCell ref="A14:B14"/>
    <mergeCell ref="A15:B15"/>
  </mergeCells>
  <pageMargins left="0.39370078740157483" right="0" top="0.59055118110236227" bottom="0.39370078740157483" header="0" footer="0"/>
  <pageSetup paperSize="9" scale="82" fitToHeight="0" orientation="portrait" r:id="rId1"/>
  <headerFooter alignWithMargins="0">
    <oddFooter>&amp;R&amp;P de &amp;N</oddFooter>
  </headerFooter>
  <rowBreaks count="3" manualBreakCount="3">
    <brk id="61" max="7" man="1"/>
    <brk id="126" max="7" man="1"/>
    <brk id="189" max="7" man="1"/>
  </row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0"/>
  <sheetViews>
    <sheetView topLeftCell="A19" zoomScaleNormal="100" workbookViewId="0">
      <selection activeCell="D42" sqref="D42"/>
    </sheetView>
  </sheetViews>
  <sheetFormatPr defaultColWidth="9.140625"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37.28515625" style="1" customWidth="1"/>
    <col min="5" max="10" width="9.140625" style="1"/>
    <col min="11" max="11" width="11" style="1" bestFit="1" customWidth="1"/>
    <col min="12" max="16384" width="9.140625" style="1"/>
  </cols>
  <sheetData>
    <row r="1" spans="1:6" ht="18" x14ac:dyDescent="0.2">
      <c r="A1" s="408" t="s">
        <v>181</v>
      </c>
      <c r="B1" s="409"/>
      <c r="C1" s="410"/>
      <c r="D1" s="46"/>
      <c r="E1" s="46"/>
      <c r="F1" s="46"/>
    </row>
    <row r="2" spans="1:6" ht="18" x14ac:dyDescent="0.2">
      <c r="A2" s="411" t="s">
        <v>182</v>
      </c>
      <c r="B2" s="412"/>
      <c r="C2" s="413"/>
      <c r="D2" s="46"/>
      <c r="E2" s="46"/>
      <c r="F2" s="46"/>
    </row>
    <row r="3" spans="1:6" ht="15" x14ac:dyDescent="0.2">
      <c r="A3" s="80" t="s">
        <v>45</v>
      </c>
      <c r="B3" s="185" t="s">
        <v>46</v>
      </c>
      <c r="C3" s="186" t="s">
        <v>105</v>
      </c>
      <c r="D3" s="49"/>
    </row>
    <row r="4" spans="1:6" ht="14.25" x14ac:dyDescent="0.2">
      <c r="A4" s="47" t="s">
        <v>47</v>
      </c>
      <c r="B4" s="48" t="s">
        <v>21</v>
      </c>
      <c r="C4" s="254">
        <v>0.2</v>
      </c>
      <c r="D4" s="49"/>
    </row>
    <row r="5" spans="1:6" ht="14.25" x14ac:dyDescent="0.2">
      <c r="A5" s="47" t="s">
        <v>48</v>
      </c>
      <c r="B5" s="48" t="s">
        <v>49</v>
      </c>
      <c r="C5" s="254">
        <v>1.4999999999999999E-2</v>
      </c>
      <c r="D5" s="49"/>
    </row>
    <row r="6" spans="1:6" ht="14.25" x14ac:dyDescent="0.2">
      <c r="A6" s="47" t="s">
        <v>50</v>
      </c>
      <c r="B6" s="48" t="s">
        <v>51</v>
      </c>
      <c r="C6" s="254">
        <v>0.01</v>
      </c>
      <c r="D6" s="49"/>
    </row>
    <row r="7" spans="1:6" ht="14.25" x14ac:dyDescent="0.2">
      <c r="A7" s="47" t="s">
        <v>52</v>
      </c>
      <c r="B7" s="48" t="s">
        <v>53</v>
      </c>
      <c r="C7" s="254">
        <v>2E-3</v>
      </c>
      <c r="D7" s="49"/>
    </row>
    <row r="8" spans="1:6" ht="14.25" x14ac:dyDescent="0.2">
      <c r="A8" s="47" t="s">
        <v>54</v>
      </c>
      <c r="B8" s="48" t="s">
        <v>55</v>
      </c>
      <c r="C8" s="254">
        <v>6.0000000000000001E-3</v>
      </c>
      <c r="D8" s="49"/>
    </row>
    <row r="9" spans="1:6" ht="14.25" x14ac:dyDescent="0.2">
      <c r="A9" s="47" t="s">
        <v>56</v>
      </c>
      <c r="B9" s="48" t="s">
        <v>57</v>
      </c>
      <c r="C9" s="254">
        <v>2.5000000000000001E-2</v>
      </c>
      <c r="D9" s="49"/>
    </row>
    <row r="10" spans="1:6" ht="14.25" x14ac:dyDescent="0.2">
      <c r="A10" s="47" t="s">
        <v>58</v>
      </c>
      <c r="B10" s="48" t="s">
        <v>59</v>
      </c>
      <c r="C10" s="254">
        <v>0.03</v>
      </c>
      <c r="D10" s="49"/>
    </row>
    <row r="11" spans="1:6" ht="14.25" x14ac:dyDescent="0.2">
      <c r="A11" s="47" t="s">
        <v>60</v>
      </c>
      <c r="B11" s="48" t="s">
        <v>22</v>
      </c>
      <c r="C11" s="254">
        <v>0.08</v>
      </c>
      <c r="D11" s="49"/>
    </row>
    <row r="12" spans="1:6" ht="15" x14ac:dyDescent="0.2">
      <c r="A12" s="47" t="s">
        <v>61</v>
      </c>
      <c r="B12" s="50" t="s">
        <v>62</v>
      </c>
      <c r="C12" s="51">
        <f>SUM(C4:C11)</f>
        <v>0.36800000000000005</v>
      </c>
      <c r="D12" s="49"/>
    </row>
    <row r="13" spans="1:6" ht="15" x14ac:dyDescent="0.2">
      <c r="A13" s="52"/>
      <c r="B13" s="53"/>
      <c r="C13" s="54"/>
      <c r="D13" s="49"/>
    </row>
    <row r="14" spans="1:6" ht="14.25" x14ac:dyDescent="0.2">
      <c r="A14" s="47" t="s">
        <v>63</v>
      </c>
      <c r="B14" s="55" t="s">
        <v>64</v>
      </c>
      <c r="C14" s="254">
        <v>0.1111</v>
      </c>
      <c r="D14" s="49"/>
    </row>
    <row r="15" spans="1:6" ht="14.25" x14ac:dyDescent="0.2">
      <c r="A15" s="47" t="s">
        <v>65</v>
      </c>
      <c r="B15" s="55" t="s">
        <v>66</v>
      </c>
      <c r="C15" s="254">
        <v>8.3299999999999999E-2</v>
      </c>
      <c r="D15" s="49"/>
    </row>
    <row r="16" spans="1:6" ht="14.25" x14ac:dyDescent="0.2">
      <c r="A16" s="47" t="s">
        <v>88</v>
      </c>
      <c r="B16" s="55" t="s">
        <v>68</v>
      </c>
      <c r="C16" s="254">
        <v>5.0000000000000001E-4</v>
      </c>
      <c r="D16" s="49"/>
    </row>
    <row r="17" spans="1:7" ht="14.25" x14ac:dyDescent="0.2">
      <c r="A17" s="47" t="s">
        <v>67</v>
      </c>
      <c r="B17" s="55" t="s">
        <v>70</v>
      </c>
      <c r="C17" s="254">
        <v>5.0000000000000001E-3</v>
      </c>
      <c r="D17" s="49"/>
    </row>
    <row r="18" spans="1:7" ht="14.25" x14ac:dyDescent="0.2">
      <c r="A18" s="47" t="s">
        <v>69</v>
      </c>
      <c r="B18" s="55" t="s">
        <v>71</v>
      </c>
      <c r="C18" s="254">
        <v>1E-3</v>
      </c>
      <c r="D18" s="49"/>
    </row>
    <row r="19" spans="1:7" ht="15" x14ac:dyDescent="0.2">
      <c r="A19" s="47" t="s">
        <v>72</v>
      </c>
      <c r="B19" s="50" t="s">
        <v>73</v>
      </c>
      <c r="C19" s="51">
        <f>SUM(C14:C18)</f>
        <v>0.20090000000000002</v>
      </c>
      <c r="D19" s="56"/>
    </row>
    <row r="20" spans="1:7" ht="15" x14ac:dyDescent="0.2">
      <c r="A20" s="52"/>
      <c r="B20" s="53"/>
      <c r="C20" s="54"/>
      <c r="D20" s="56"/>
    </row>
    <row r="21" spans="1:7" ht="14.25" x14ac:dyDescent="0.2">
      <c r="A21" s="47" t="s">
        <v>74</v>
      </c>
      <c r="B21" s="48" t="s">
        <v>75</v>
      </c>
      <c r="C21" s="254">
        <v>2.9000000000000001E-2</v>
      </c>
      <c r="D21" s="49"/>
      <c r="E21" s="57"/>
    </row>
    <row r="22" spans="1:7" ht="14.25" x14ac:dyDescent="0.2">
      <c r="A22" s="47" t="s">
        <v>87</v>
      </c>
      <c r="B22" s="48" t="s">
        <v>76</v>
      </c>
      <c r="C22" s="254">
        <v>3.2000000000000001E-2</v>
      </c>
      <c r="D22" s="49"/>
      <c r="G22" s="57"/>
    </row>
    <row r="23" spans="1:7" ht="15" x14ac:dyDescent="0.2">
      <c r="A23" s="47" t="s">
        <v>77</v>
      </c>
      <c r="B23" s="50" t="s">
        <v>78</v>
      </c>
      <c r="C23" s="51">
        <f>SUM(C21:C22)</f>
        <v>6.0999999999999999E-2</v>
      </c>
      <c r="D23" s="56"/>
    </row>
    <row r="24" spans="1:7" ht="15" x14ac:dyDescent="0.2">
      <c r="A24" s="52"/>
      <c r="B24" s="53"/>
      <c r="C24" s="54"/>
      <c r="D24" s="56"/>
    </row>
    <row r="25" spans="1:7" ht="14.25" x14ac:dyDescent="0.2">
      <c r="A25" s="47" t="s">
        <v>79</v>
      </c>
      <c r="B25" s="48" t="s">
        <v>80</v>
      </c>
      <c r="C25" s="261">
        <f>ROUND(C12*C19,4)</f>
        <v>7.3899999999999993E-2</v>
      </c>
      <c r="D25" s="191"/>
    </row>
    <row r="26" spans="1:7" ht="28.5" x14ac:dyDescent="0.2">
      <c r="A26" s="47" t="s">
        <v>81</v>
      </c>
      <c r="B26" s="58" t="s">
        <v>95</v>
      </c>
      <c r="C26" s="261">
        <f>ROUND((C21*C11),4)</f>
        <v>2.3E-3</v>
      </c>
      <c r="D26" s="49"/>
    </row>
    <row r="27" spans="1:7" ht="15" x14ac:dyDescent="0.2">
      <c r="A27" s="47" t="s">
        <v>82</v>
      </c>
      <c r="B27" s="50" t="s">
        <v>83</v>
      </c>
      <c r="C27" s="51">
        <f>SUM(C25:C26)</f>
        <v>7.619999999999999E-2</v>
      </c>
      <c r="D27" s="56"/>
    </row>
    <row r="28" spans="1:7" ht="15.75" thickBot="1" x14ac:dyDescent="0.25">
      <c r="A28" s="192"/>
      <c r="B28" s="193" t="s">
        <v>84</v>
      </c>
      <c r="C28" s="194">
        <f>C27+C23+C19+C12</f>
        <v>0.70610000000000006</v>
      </c>
      <c r="D28" s="56"/>
    </row>
    <row r="29" spans="1:7" ht="15.75" thickBot="1" x14ac:dyDescent="0.25">
      <c r="A29" s="49"/>
      <c r="B29" s="59"/>
      <c r="C29" s="60"/>
      <c r="D29" s="56"/>
    </row>
    <row r="30" spans="1:7" ht="18.75" thickBot="1" x14ac:dyDescent="0.25">
      <c r="A30" s="414" t="s">
        <v>181</v>
      </c>
      <c r="B30" s="415"/>
      <c r="C30" s="416"/>
      <c r="D30" s="56"/>
      <c r="E30" s="46"/>
    </row>
    <row r="31" spans="1:7" customFormat="1" ht="18.75" thickBot="1" x14ac:dyDescent="0.25">
      <c r="A31" s="414" t="s">
        <v>198</v>
      </c>
      <c r="B31" s="415"/>
      <c r="C31" s="416"/>
      <c r="D31" s="56"/>
    </row>
    <row r="32" spans="1:7" s="88" customFormat="1" ht="15" x14ac:dyDescent="0.2">
      <c r="A32" s="207" t="s">
        <v>205</v>
      </c>
      <c r="B32" s="207" t="s">
        <v>46</v>
      </c>
      <c r="C32" s="208" t="s">
        <v>105</v>
      </c>
      <c r="D32" s="56"/>
    </row>
    <row r="33" spans="1:3" s="88" customFormat="1" ht="14.25" x14ac:dyDescent="0.2">
      <c r="A33" s="213">
        <v>1</v>
      </c>
      <c r="B33" s="187" t="s">
        <v>22</v>
      </c>
      <c r="C33" s="262">
        <v>0.08</v>
      </c>
    </row>
    <row r="34" spans="1:3" s="88" customFormat="1" ht="14.25" x14ac:dyDescent="0.2">
      <c r="A34" s="213">
        <v>2</v>
      </c>
      <c r="B34" s="188" t="s">
        <v>99</v>
      </c>
      <c r="C34" s="255">
        <v>0.1111</v>
      </c>
    </row>
    <row r="35" spans="1:3" s="88" customFormat="1" ht="14.25" x14ac:dyDescent="0.2">
      <c r="A35" s="213">
        <v>3</v>
      </c>
      <c r="B35" s="188" t="s">
        <v>100</v>
      </c>
      <c r="C35" s="255">
        <v>8.3299999999999999E-2</v>
      </c>
    </row>
    <row r="36" spans="1:3" s="88" customFormat="1" ht="14.25" x14ac:dyDescent="0.2">
      <c r="A36" s="213">
        <v>4</v>
      </c>
      <c r="B36" s="188" t="s">
        <v>217</v>
      </c>
      <c r="C36" s="255">
        <v>3.2000000000000001E-2</v>
      </c>
    </row>
    <row r="37" spans="1:3" s="88" customFormat="1" ht="15" thickBot="1" x14ac:dyDescent="0.25">
      <c r="A37" s="213">
        <v>5</v>
      </c>
      <c r="B37" s="209" t="s">
        <v>101</v>
      </c>
      <c r="C37" s="260">
        <f>(C34+C35)*(C33+C36)</f>
        <v>2.1772800000000002E-2</v>
      </c>
    </row>
    <row r="38" spans="1:3" s="88" customFormat="1" ht="15.75" thickBot="1" x14ac:dyDescent="0.3">
      <c r="A38" s="210" t="s">
        <v>106</v>
      </c>
      <c r="B38" s="211"/>
      <c r="C38" s="212">
        <f>SUM(C33:C37)</f>
        <v>0.32817279999999999</v>
      </c>
    </row>
    <row r="39" spans="1:3" customFormat="1" x14ac:dyDescent="0.2"/>
    <row r="40" spans="1:3" ht="14.25" x14ac:dyDescent="0.2">
      <c r="A40" s="49"/>
      <c r="B40" s="61"/>
      <c r="C40" s="63"/>
    </row>
    <row r="41" spans="1:3" ht="14.25" x14ac:dyDescent="0.2">
      <c r="A41" s="49"/>
      <c r="B41" s="64"/>
      <c r="C41" s="49"/>
    </row>
    <row r="42" spans="1:3" ht="14.25" x14ac:dyDescent="0.2">
      <c r="A42" s="49"/>
      <c r="B42" s="61"/>
      <c r="C42" s="63"/>
    </row>
    <row r="43" spans="1:3" ht="14.25" x14ac:dyDescent="0.2">
      <c r="A43" s="49"/>
      <c r="B43" s="64"/>
      <c r="C43" s="49"/>
    </row>
    <row r="44" spans="1:3" ht="14.25" x14ac:dyDescent="0.2">
      <c r="A44" s="49"/>
      <c r="B44" s="61"/>
      <c r="C44" s="63"/>
    </row>
    <row r="45" spans="1:3" ht="14.25" x14ac:dyDescent="0.2">
      <c r="A45" s="49"/>
      <c r="B45" s="64"/>
      <c r="C45" s="49"/>
    </row>
    <row r="46" spans="1:3" ht="14.25" x14ac:dyDescent="0.2">
      <c r="A46" s="49"/>
      <c r="B46" s="61"/>
      <c r="C46" s="63"/>
    </row>
    <row r="47" spans="1:3" ht="16.5" x14ac:dyDescent="0.2">
      <c r="A47" s="62"/>
    </row>
    <row r="50" spans="1:1" x14ac:dyDescent="0.2">
      <c r="A50" s="65"/>
    </row>
  </sheetData>
  <mergeCells count="4">
    <mergeCell ref="A1:C1"/>
    <mergeCell ref="A2:C2"/>
    <mergeCell ref="A30:C30"/>
    <mergeCell ref="A31:C3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35"/>
  <sheetViews>
    <sheetView topLeftCell="A12" zoomScaleNormal="100" workbookViewId="0">
      <selection activeCell="G33" sqref="G33"/>
    </sheetView>
  </sheetViews>
  <sheetFormatPr defaultRowHeight="12.75" x14ac:dyDescent="0.2"/>
  <cols>
    <col min="1" max="1" width="43.85546875" customWidth="1"/>
    <col min="2" max="3" width="12" customWidth="1"/>
    <col min="4" max="4" width="7" customWidth="1"/>
    <col min="5" max="5" width="16.7109375" customWidth="1"/>
    <col min="6" max="6" width="1.5703125" customWidth="1"/>
    <col min="7" max="7" width="45.140625" customWidth="1"/>
  </cols>
  <sheetData>
    <row r="1" spans="1:5" s="2" customFormat="1" ht="15.6" customHeight="1" thickBot="1" x14ac:dyDescent="0.25">
      <c r="A1" s="417" t="s">
        <v>108</v>
      </c>
      <c r="B1" s="418"/>
      <c r="C1" s="418"/>
      <c r="D1" s="418"/>
      <c r="E1" s="419"/>
    </row>
    <row r="2" spans="1:5" ht="16.5" thickBot="1" x14ac:dyDescent="0.25">
      <c r="A2" s="420" t="s">
        <v>120</v>
      </c>
      <c r="B2" s="421"/>
      <c r="C2" s="421"/>
      <c r="D2" s="421"/>
      <c r="E2" s="422"/>
    </row>
    <row r="3" spans="1:5" ht="30" x14ac:dyDescent="0.2">
      <c r="A3" s="279" t="s">
        <v>46</v>
      </c>
      <c r="B3" s="280" t="s">
        <v>218</v>
      </c>
      <c r="C3" s="281" t="s">
        <v>219</v>
      </c>
      <c r="D3" s="44"/>
      <c r="E3" s="282" t="s">
        <v>220</v>
      </c>
    </row>
    <row r="4" spans="1:5" ht="14.25" x14ac:dyDescent="0.2">
      <c r="A4" s="263" t="s">
        <v>30</v>
      </c>
      <c r="B4" s="264" t="s">
        <v>31</v>
      </c>
      <c r="C4" s="265">
        <v>0.05</v>
      </c>
      <c r="E4" s="266">
        <f>C4</f>
        <v>0.05</v>
      </c>
    </row>
    <row r="5" spans="1:5" ht="14.25" x14ac:dyDescent="0.2">
      <c r="A5" s="68" t="s">
        <v>32</v>
      </c>
      <c r="B5" s="231" t="s">
        <v>33</v>
      </c>
      <c r="C5" s="257">
        <v>1.2999999999999999E-2</v>
      </c>
      <c r="E5" s="267">
        <f>C5</f>
        <v>1.2999999999999999E-2</v>
      </c>
    </row>
    <row r="6" spans="1:5" ht="15" x14ac:dyDescent="0.2">
      <c r="A6" s="68" t="s">
        <v>34</v>
      </c>
      <c r="B6" s="231" t="s">
        <v>35</v>
      </c>
      <c r="C6" s="258">
        <v>0.1</v>
      </c>
      <c r="E6" s="268">
        <f>C6</f>
        <v>0.1</v>
      </c>
    </row>
    <row r="7" spans="1:5" ht="14.25" x14ac:dyDescent="0.2">
      <c r="A7" s="68" t="s">
        <v>221</v>
      </c>
      <c r="B7" s="425" t="s">
        <v>36</v>
      </c>
      <c r="C7" s="257">
        <v>0.02</v>
      </c>
      <c r="E7" s="269">
        <v>2.4E-2</v>
      </c>
    </row>
    <row r="8" spans="1:5" ht="15" thickBot="1" x14ac:dyDescent="0.25">
      <c r="A8" s="69" t="s">
        <v>37</v>
      </c>
      <c r="B8" s="426"/>
      <c r="C8" s="259">
        <v>9.2499999999999999E-2</v>
      </c>
      <c r="E8" s="270">
        <f>C8</f>
        <v>9.2499999999999999E-2</v>
      </c>
    </row>
    <row r="9" spans="1:5" ht="14.25" x14ac:dyDescent="0.2">
      <c r="A9" s="70" t="s">
        <v>38</v>
      </c>
      <c r="B9" s="71"/>
      <c r="C9" s="72"/>
      <c r="E9" s="277"/>
    </row>
    <row r="10" spans="1:5" ht="15" thickBot="1" x14ac:dyDescent="0.25">
      <c r="A10" s="271" t="s">
        <v>178</v>
      </c>
      <c r="B10" s="272"/>
      <c r="C10" s="273"/>
      <c r="E10" s="278"/>
    </row>
    <row r="11" spans="1:5" ht="27" customHeight="1" thickBot="1" x14ac:dyDescent="0.25">
      <c r="A11" s="274" t="s">
        <v>39</v>
      </c>
      <c r="B11" s="275"/>
      <c r="C11" s="276">
        <f>ROUND((((1+C4+C5)*(1+C6))/(1-(C7+C8))-1),4)</f>
        <v>0.3175</v>
      </c>
      <c r="D11" s="284"/>
      <c r="E11" s="283">
        <f>ROUND((((1+E4+E5)*(1+E6))/(1-(E7+E8))-1),4)</f>
        <v>0.32350000000000001</v>
      </c>
    </row>
    <row r="12" spans="1:5" ht="14.25" x14ac:dyDescent="0.2">
      <c r="A12" s="44"/>
      <c r="B12" s="44"/>
      <c r="C12" s="44"/>
      <c r="E12" s="44"/>
    </row>
    <row r="13" spans="1:5" ht="15" thickBot="1" x14ac:dyDescent="0.25">
      <c r="A13" s="44"/>
      <c r="B13" s="44"/>
      <c r="C13" s="44"/>
      <c r="E13" s="44"/>
    </row>
    <row r="14" spans="1:5" s="2" customFormat="1" ht="15.6" customHeight="1" thickBot="1" x14ac:dyDescent="0.25">
      <c r="A14" s="417" t="s">
        <v>107</v>
      </c>
      <c r="B14" s="418"/>
      <c r="C14" s="418"/>
      <c r="D14" s="418"/>
      <c r="E14" s="419"/>
    </row>
    <row r="15" spans="1:5" ht="16.5" thickBot="1" x14ac:dyDescent="0.25">
      <c r="A15" s="420" t="s">
        <v>120</v>
      </c>
      <c r="B15" s="421"/>
      <c r="C15" s="421"/>
      <c r="D15" s="421"/>
      <c r="E15" s="422"/>
    </row>
    <row r="16" spans="1:5" ht="30" x14ac:dyDescent="0.2">
      <c r="A16" s="279" t="s">
        <v>46</v>
      </c>
      <c r="B16" s="280" t="s">
        <v>218</v>
      </c>
      <c r="C16" s="281" t="s">
        <v>219</v>
      </c>
      <c r="D16" s="44"/>
      <c r="E16" s="282" t="s">
        <v>220</v>
      </c>
    </row>
    <row r="17" spans="1:5" ht="14.25" x14ac:dyDescent="0.2">
      <c r="A17" s="263" t="s">
        <v>30</v>
      </c>
      <c r="B17" s="264" t="s">
        <v>31</v>
      </c>
      <c r="C17" s="265">
        <v>0.05</v>
      </c>
      <c r="E17" s="266">
        <f>C17</f>
        <v>0.05</v>
      </c>
    </row>
    <row r="18" spans="1:5" ht="14.25" x14ac:dyDescent="0.2">
      <c r="A18" s="68" t="s">
        <v>32</v>
      </c>
      <c r="B18" s="231" t="s">
        <v>33</v>
      </c>
      <c r="C18" s="257">
        <v>1.2999999999999999E-2</v>
      </c>
      <c r="E18" s="267">
        <f>C18</f>
        <v>1.2999999999999999E-2</v>
      </c>
    </row>
    <row r="19" spans="1:5" ht="15" x14ac:dyDescent="0.2">
      <c r="A19" s="68" t="s">
        <v>34</v>
      </c>
      <c r="B19" s="231" t="s">
        <v>35</v>
      </c>
      <c r="C19" s="258">
        <v>0.1</v>
      </c>
      <c r="E19" s="268">
        <f>C19</f>
        <v>0.1</v>
      </c>
    </row>
    <row r="20" spans="1:5" ht="14.25" x14ac:dyDescent="0.2">
      <c r="A20" s="68" t="s">
        <v>221</v>
      </c>
      <c r="B20" s="425" t="s">
        <v>36</v>
      </c>
      <c r="C20" s="257">
        <v>0.02</v>
      </c>
      <c r="E20" s="269">
        <v>2.4E-2</v>
      </c>
    </row>
    <row r="21" spans="1:5" ht="15" thickBot="1" x14ac:dyDescent="0.25">
      <c r="A21" s="69" t="s">
        <v>37</v>
      </c>
      <c r="B21" s="426"/>
      <c r="C21" s="259">
        <v>3.6499999999999998E-2</v>
      </c>
      <c r="E21" s="270">
        <f>C21</f>
        <v>3.6499999999999998E-2</v>
      </c>
    </row>
    <row r="22" spans="1:5" ht="14.25" x14ac:dyDescent="0.2">
      <c r="A22" s="70" t="s">
        <v>38</v>
      </c>
      <c r="B22" s="71"/>
      <c r="C22" s="72"/>
      <c r="E22" s="277"/>
    </row>
    <row r="23" spans="1:5" ht="15" thickBot="1" x14ac:dyDescent="0.25">
      <c r="A23" s="73" t="s">
        <v>178</v>
      </c>
      <c r="B23" s="74"/>
      <c r="C23" s="75"/>
      <c r="E23" s="278"/>
    </row>
    <row r="24" spans="1:5" ht="27" customHeight="1" thickBot="1" x14ac:dyDescent="0.25">
      <c r="A24" s="76" t="s">
        <v>39</v>
      </c>
      <c r="B24" s="77"/>
      <c r="C24" s="78">
        <f>ROUND((((1+C17+C18)*(1+C19))/(1-(C20+C21))-1),4)</f>
        <v>0.23930000000000001</v>
      </c>
      <c r="D24" s="284"/>
      <c r="E24" s="283">
        <f>ROUND((((1+E17+E18)*(1+E19))/(1-(E20+E21))-1),4)</f>
        <v>0.24460000000000001</v>
      </c>
    </row>
    <row r="26" spans="1:5" ht="13.5" thickBot="1" x14ac:dyDescent="0.25"/>
    <row r="27" spans="1:5" s="2" customFormat="1" ht="15.6" customHeight="1" thickBot="1" x14ac:dyDescent="0.25">
      <c r="A27" s="417" t="s">
        <v>104</v>
      </c>
      <c r="B27" s="418"/>
      <c r="C27" s="418"/>
      <c r="D27" s="418"/>
      <c r="E27" s="419"/>
    </row>
    <row r="28" spans="1:5" ht="16.5" thickBot="1" x14ac:dyDescent="0.25">
      <c r="A28" s="420" t="s">
        <v>180</v>
      </c>
      <c r="B28" s="421"/>
      <c r="C28" s="421"/>
      <c r="D28" s="421"/>
      <c r="E28" s="422"/>
    </row>
    <row r="29" spans="1:5" ht="30.75" thickBot="1" x14ac:dyDescent="0.25">
      <c r="A29" s="279" t="s">
        <v>46</v>
      </c>
      <c r="B29" s="280" t="s">
        <v>218</v>
      </c>
      <c r="C29" s="281" t="s">
        <v>219</v>
      </c>
      <c r="D29" s="44"/>
      <c r="E29" s="282" t="s">
        <v>220</v>
      </c>
    </row>
    <row r="30" spans="1:5" ht="14.25" x14ac:dyDescent="0.2">
      <c r="A30" s="66" t="s">
        <v>30</v>
      </c>
      <c r="B30" s="67" t="s">
        <v>31</v>
      </c>
      <c r="C30" s="256">
        <v>0.05</v>
      </c>
      <c r="E30" s="285">
        <f>C30</f>
        <v>0.05</v>
      </c>
    </row>
    <row r="31" spans="1:5" ht="14.25" x14ac:dyDescent="0.2">
      <c r="A31" s="68" t="s">
        <v>32</v>
      </c>
      <c r="B31" s="231" t="s">
        <v>33</v>
      </c>
      <c r="C31" s="257">
        <v>1.2999999999999999E-2</v>
      </c>
      <c r="E31" s="267">
        <f>C31</f>
        <v>1.2999999999999999E-2</v>
      </c>
    </row>
    <row r="32" spans="1:5" ht="15.75" thickBot="1" x14ac:dyDescent="0.25">
      <c r="A32" s="68" t="s">
        <v>34</v>
      </c>
      <c r="B32" s="231" t="s">
        <v>35</v>
      </c>
      <c r="C32" s="258">
        <v>0.1</v>
      </c>
      <c r="E32" s="268">
        <f>C32</f>
        <v>0.1</v>
      </c>
    </row>
    <row r="33" spans="1:5" ht="14.25" x14ac:dyDescent="0.2">
      <c r="A33" s="70" t="s">
        <v>114</v>
      </c>
      <c r="B33" s="71"/>
      <c r="C33" s="72"/>
      <c r="E33" s="277"/>
    </row>
    <row r="34" spans="1:5" ht="15" thickBot="1" x14ac:dyDescent="0.25">
      <c r="A34" s="73" t="s">
        <v>179</v>
      </c>
      <c r="B34" s="74"/>
      <c r="C34" s="75"/>
      <c r="E34" s="278"/>
    </row>
    <row r="35" spans="1:5" ht="27" customHeight="1" thickBot="1" x14ac:dyDescent="0.25">
      <c r="A35" s="423" t="s">
        <v>115</v>
      </c>
      <c r="B35" s="424"/>
      <c r="C35" s="78">
        <f>ROUND((((1+C30+C31)*(1+C32))-1),4)</f>
        <v>0.16930000000000001</v>
      </c>
      <c r="D35" s="284"/>
      <c r="E35" s="283">
        <f>ROUND((((1+E30+E31)*(1+E32))-1),4)</f>
        <v>0.16930000000000001</v>
      </c>
    </row>
  </sheetData>
  <mergeCells count="9">
    <mergeCell ref="A1:E1"/>
    <mergeCell ref="A2:E2"/>
    <mergeCell ref="A14:E14"/>
    <mergeCell ref="A15:E15"/>
    <mergeCell ref="A35:B35"/>
    <mergeCell ref="B20:B21"/>
    <mergeCell ref="B7:B8"/>
    <mergeCell ref="A27:E27"/>
    <mergeCell ref="A28:E28"/>
  </mergeCells>
  <pageMargins left="0.39370078740157483" right="0.19685039370078741" top="0.74803149606299213" bottom="0.74803149606299213" header="0.31496062992125984" footer="0.31496062992125984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12"/>
  <sheetViews>
    <sheetView workbookViewId="0">
      <selection activeCell="B21" sqref="B21"/>
    </sheetView>
  </sheetViews>
  <sheetFormatPr defaultColWidth="9.140625" defaultRowHeight="12.75" x14ac:dyDescent="0.2"/>
  <cols>
    <col min="1" max="1" width="23.42578125" style="309" customWidth="1"/>
    <col min="2" max="2" width="20.7109375" style="309" bestFit="1" customWidth="1"/>
    <col min="3" max="3" width="18" style="309" customWidth="1"/>
    <col min="4" max="16384" width="9.140625" style="309"/>
  </cols>
  <sheetData>
    <row r="1" spans="1:3" ht="19.149999999999999" customHeight="1" x14ac:dyDescent="0.2">
      <c r="A1" s="427" t="s">
        <v>239</v>
      </c>
      <c r="B1" s="427"/>
      <c r="C1" s="427"/>
    </row>
    <row r="2" spans="1:3" ht="19.149999999999999" customHeight="1" x14ac:dyDescent="0.2">
      <c r="A2" s="310" t="s">
        <v>240</v>
      </c>
      <c r="B2" s="311" t="s">
        <v>241</v>
      </c>
      <c r="C2" s="311" t="s">
        <v>242</v>
      </c>
    </row>
    <row r="3" spans="1:3" ht="19.149999999999999" customHeight="1" x14ac:dyDescent="0.2">
      <c r="A3" s="312">
        <v>1</v>
      </c>
      <c r="B3" s="313">
        <v>33.629999999999995</v>
      </c>
      <c r="C3" s="313">
        <f>100-B3</f>
        <v>66.37</v>
      </c>
    </row>
    <row r="4" spans="1:3" ht="19.149999999999999" customHeight="1" x14ac:dyDescent="0.2">
      <c r="A4" s="314">
        <v>2</v>
      </c>
      <c r="B4" s="315">
        <v>43.13</v>
      </c>
      <c r="C4" s="315">
        <f t="shared" ref="C4:C12" si="0">100-B4</f>
        <v>56.87</v>
      </c>
    </row>
    <row r="5" spans="1:3" ht="19.149999999999999" customHeight="1" x14ac:dyDescent="0.2">
      <c r="A5" s="314">
        <v>3</v>
      </c>
      <c r="B5" s="315">
        <v>48.68</v>
      </c>
      <c r="C5" s="315">
        <f t="shared" si="0"/>
        <v>51.32</v>
      </c>
    </row>
    <row r="6" spans="1:3" ht="19.149999999999999" customHeight="1" x14ac:dyDescent="0.2">
      <c r="A6" s="314">
        <v>4</v>
      </c>
      <c r="B6" s="315">
        <v>52.62</v>
      </c>
      <c r="C6" s="315">
        <f t="shared" si="0"/>
        <v>47.38</v>
      </c>
    </row>
    <row r="7" spans="1:3" ht="19.149999999999999" customHeight="1" x14ac:dyDescent="0.2">
      <c r="A7" s="314">
        <v>5</v>
      </c>
      <c r="B7" s="315">
        <v>55.68</v>
      </c>
      <c r="C7" s="315">
        <f t="shared" si="0"/>
        <v>44.32</v>
      </c>
    </row>
    <row r="8" spans="1:3" ht="19.149999999999999" customHeight="1" x14ac:dyDescent="0.2">
      <c r="A8" s="314">
        <v>6</v>
      </c>
      <c r="B8" s="315">
        <v>58.18</v>
      </c>
      <c r="C8" s="315">
        <f t="shared" si="0"/>
        <v>41.82</v>
      </c>
    </row>
    <row r="9" spans="1:3" ht="19.149999999999999" customHeight="1" x14ac:dyDescent="0.2">
      <c r="A9" s="314">
        <v>7</v>
      </c>
      <c r="B9" s="315">
        <v>60.29</v>
      </c>
      <c r="C9" s="315">
        <f t="shared" si="0"/>
        <v>39.71</v>
      </c>
    </row>
    <row r="10" spans="1:3" ht="19.149999999999999" customHeight="1" x14ac:dyDescent="0.2">
      <c r="A10" s="314">
        <v>8</v>
      </c>
      <c r="B10" s="315">
        <v>62.12</v>
      </c>
      <c r="C10" s="315">
        <f t="shared" si="0"/>
        <v>37.880000000000003</v>
      </c>
    </row>
    <row r="11" spans="1:3" ht="19.149999999999999" customHeight="1" x14ac:dyDescent="0.2">
      <c r="A11" s="314">
        <v>9</v>
      </c>
      <c r="B11" s="315">
        <v>63.73</v>
      </c>
      <c r="C11" s="315">
        <f t="shared" si="0"/>
        <v>36.270000000000003</v>
      </c>
    </row>
    <row r="12" spans="1:3" ht="19.149999999999999" customHeight="1" x14ac:dyDescent="0.2">
      <c r="A12" s="323">
        <v>10</v>
      </c>
      <c r="B12" s="324">
        <v>65.180000000000007</v>
      </c>
      <c r="C12" s="324">
        <f t="shared" si="0"/>
        <v>34.819999999999993</v>
      </c>
    </row>
  </sheetData>
  <mergeCells count="1">
    <mergeCell ref="A1:C1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15</vt:i4>
      </vt:variant>
    </vt:vector>
  </HeadingPairs>
  <TitlesOfParts>
    <vt:vector size="25" baseType="lpstr">
      <vt:lpstr>SANTA MARIA 28 LUG</vt:lpstr>
      <vt:lpstr>Candelária - 52 lugares</vt:lpstr>
      <vt:lpstr>Candelária - 21 lugares</vt:lpstr>
      <vt:lpstr>Candelária - 33 lugares</vt:lpstr>
      <vt:lpstr>SANTA CRUZ 28 LUGARES</vt:lpstr>
      <vt:lpstr>SANTA CRUZ DO SUL 21 LUG</vt:lpstr>
      <vt:lpstr>CACHOEIRA 28 LUGARES</vt:lpstr>
      <vt:lpstr>Enc. Soc. - LR-LP e SN</vt:lpstr>
      <vt:lpstr>BDI</vt:lpstr>
      <vt:lpstr>Depr.</vt:lpstr>
      <vt:lpstr>'CACHOEIRA 28 LUGARES'!Area_de_impressao</vt:lpstr>
      <vt:lpstr>'Candelária - 21 lugares'!Area_de_impressao</vt:lpstr>
      <vt:lpstr>'Candelária - 33 lugares'!Area_de_impressao</vt:lpstr>
      <vt:lpstr>'Candelária - 52 lugares'!Area_de_impressao</vt:lpstr>
      <vt:lpstr>'Enc. Soc. - LR-LP e SN'!Area_de_impressao</vt:lpstr>
      <vt:lpstr>'SANTA CRUZ 28 LUGARES'!Area_de_impressao</vt:lpstr>
      <vt:lpstr>'SANTA CRUZ DO SUL 21 LUG'!Area_de_impressao</vt:lpstr>
      <vt:lpstr>'SANTA MARIA 28 LUG'!Area_de_impressao</vt:lpstr>
      <vt:lpstr>'CACHOEIRA 28 LUGARES'!Titulos_de_impressao</vt:lpstr>
      <vt:lpstr>'Candelária - 21 lugares'!Titulos_de_impressao</vt:lpstr>
      <vt:lpstr>'Candelária - 33 lugares'!Titulos_de_impressao</vt:lpstr>
      <vt:lpstr>'Candelária - 52 lugares'!Titulos_de_impressao</vt:lpstr>
      <vt:lpstr>'SANTA CRUZ 28 LUGARES'!Titulos_de_impressao</vt:lpstr>
      <vt:lpstr>'SANTA CRUZ DO SUL 21 LUG'!Titulos_de_impressao</vt:lpstr>
      <vt:lpstr>'SANTA MARIA 28 LUG'!Titulos_de_impressao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Beatris Regina Vogel</cp:lastModifiedBy>
  <cp:lastPrinted>2024-08-15T13:55:04Z</cp:lastPrinted>
  <dcterms:created xsi:type="dcterms:W3CDTF">2000-12-13T10:02:50Z</dcterms:created>
  <dcterms:modified xsi:type="dcterms:W3CDTF">2024-08-20T14:59:00Z</dcterms:modified>
</cp:coreProperties>
</file>