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02 - LICITAÇÕES (EDITAIS)\Editais 2025\Projetos Básicos\PE 063-2025\"/>
    </mc:Choice>
  </mc:AlternateContent>
  <xr:revisionPtr revIDLastSave="0" documentId="8_{881F6B24-D030-49E3-A237-99BF5616E213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Van 18 lugares- Centro Dia" sheetId="56" r:id="rId1"/>
    <sheet name="Enc. Soc. - LR-LP e SN" sheetId="8" r:id="rId2"/>
    <sheet name="BDI" sheetId="4" r:id="rId3"/>
    <sheet name="Depr." sheetId="48" r:id="rId4"/>
  </sheets>
  <definedNames>
    <definedName name="AbaDeprec" localSheetId="3">#REF!</definedName>
    <definedName name="AbaDeprec" localSheetId="0">#REF!</definedName>
    <definedName name="AbaDeprec">#REF!</definedName>
    <definedName name="AbaRemun" localSheetId="3">#REF!</definedName>
    <definedName name="AbaRemun" localSheetId="0">#REF!</definedName>
    <definedName name="AbaRemun">#REF!</definedName>
    <definedName name="_xlnm.Print_Area" localSheetId="1">'Enc. Soc. - LR-LP e SN'!$A$1:$C$29</definedName>
    <definedName name="_xlnm.Print_Area" localSheetId="0">'Van 18 lugares- Centro Dia'!$A$1:$H$220</definedName>
    <definedName name="Escavadeira" localSheetId="0">#REF!</definedName>
    <definedName name="Escavadeira">#REF!</definedName>
    <definedName name="número" localSheetId="3">#REF!</definedName>
    <definedName name="número" localSheetId="0">#REF!</definedName>
    <definedName name="número">#REF!</definedName>
    <definedName name="_xlnm.Print_Titles" localSheetId="0">'Van 18 lugares- Centro Dia'!$4:$4</definedName>
    <definedName name="x" localSheetId="3">#REF!</definedName>
    <definedName name="x" localSheetId="0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F153" i="56" l="1"/>
  <c r="D152" i="56"/>
  <c r="F152" i="56" s="1"/>
  <c r="D151" i="56"/>
  <c r="F151" i="56" s="1"/>
  <c r="D150" i="56"/>
  <c r="F150" i="56" s="1"/>
  <c r="D149" i="56"/>
  <c r="F149" i="56" s="1"/>
  <c r="F142" i="56"/>
  <c r="E141" i="56"/>
  <c r="F141" i="56" s="1"/>
  <c r="G143" i="56" s="1"/>
  <c r="D135" i="56"/>
  <c r="F135" i="56" s="1"/>
  <c r="E136" i="56" s="1"/>
  <c r="F136" i="56" s="1"/>
  <c r="E137" i="56" s="1"/>
  <c r="F133" i="56"/>
  <c r="F128" i="56"/>
  <c r="E122" i="56"/>
  <c r="E120" i="56"/>
  <c r="E118" i="56"/>
  <c r="E116" i="56"/>
  <c r="E114" i="56"/>
  <c r="E111" i="56"/>
  <c r="E112" i="56" s="1"/>
  <c r="E123" i="56" s="1"/>
  <c r="D111" i="56"/>
  <c r="F105" i="56"/>
  <c r="F104" i="56"/>
  <c r="F103" i="56"/>
  <c r="D85" i="56"/>
  <c r="D100" i="56" s="1"/>
  <c r="D83" i="56"/>
  <c r="D82" i="56"/>
  <c r="D84" i="56" s="1"/>
  <c r="E81" i="56"/>
  <c r="E71" i="56"/>
  <c r="D65" i="56"/>
  <c r="D71" i="56" s="1"/>
  <c r="F71" i="56" s="1"/>
  <c r="F60" i="56"/>
  <c r="F67" i="56" s="1"/>
  <c r="F97" i="56" s="1"/>
  <c r="D53" i="56"/>
  <c r="D59" i="56" s="1"/>
  <c r="F49" i="56"/>
  <c r="F50" i="56" s="1"/>
  <c r="E49" i="56"/>
  <c r="G40" i="56"/>
  <c r="C43" i="56" s="1"/>
  <c r="G38" i="56"/>
  <c r="I38" i="56" s="1"/>
  <c r="D34" i="56"/>
  <c r="G31" i="56"/>
  <c r="F31" i="56"/>
  <c r="A24" i="56"/>
  <c r="A23" i="56"/>
  <c r="A22" i="56"/>
  <c r="A21" i="56"/>
  <c r="A20" i="56"/>
  <c r="A19" i="56"/>
  <c r="A18" i="56"/>
  <c r="A17" i="56"/>
  <c r="A16" i="56"/>
  <c r="A15" i="56"/>
  <c r="A14" i="56"/>
  <c r="A13" i="56"/>
  <c r="A12" i="56"/>
  <c r="A11" i="56"/>
  <c r="A9" i="56"/>
  <c r="G153" i="56" l="1"/>
  <c r="G155" i="56" s="1"/>
  <c r="C21" i="56" s="1"/>
  <c r="E21" i="56" s="1"/>
  <c r="D66" i="56"/>
  <c r="D101" i="56"/>
  <c r="F101" i="56" s="1"/>
  <c r="D102" i="56"/>
  <c r="F102" i="56" s="1"/>
  <c r="C109" i="56"/>
  <c r="D112" i="56" s="1"/>
  <c r="D127" i="56" s="1"/>
  <c r="F127" i="56" s="1"/>
  <c r="F129" i="56" s="1"/>
  <c r="G129" i="56" s="1"/>
  <c r="G71" i="56"/>
  <c r="H71" i="56" s="1"/>
  <c r="H143" i="56"/>
  <c r="C20" i="56"/>
  <c r="F112" i="56"/>
  <c r="D137" i="56"/>
  <c r="F137" i="56" s="1"/>
  <c r="G137" i="56" s="1"/>
  <c r="E51" i="56"/>
  <c r="E57" i="56"/>
  <c r="F107" i="56"/>
  <c r="F72" i="56"/>
  <c r="G72" i="56" s="1"/>
  <c r="E66" i="56"/>
  <c r="F66" i="56" s="1"/>
  <c r="E89" i="56"/>
  <c r="F89" i="56" s="1"/>
  <c r="D91" i="56" s="1"/>
  <c r="F81" i="56"/>
  <c r="F86" i="56"/>
  <c r="D96" i="56"/>
  <c r="D122" i="56" l="1"/>
  <c r="F122" i="56" s="1"/>
  <c r="D116" i="56"/>
  <c r="F116" i="56" s="1"/>
  <c r="E169" i="56"/>
  <c r="D118" i="56"/>
  <c r="F118" i="56" s="1"/>
  <c r="D120" i="56"/>
  <c r="F120" i="56" s="1"/>
  <c r="H153" i="56"/>
  <c r="H155" i="56"/>
  <c r="D114" i="56"/>
  <c r="F114" i="56" s="1"/>
  <c r="H72" i="56"/>
  <c r="C12" i="56"/>
  <c r="G66" i="56"/>
  <c r="H66" i="56" s="1"/>
  <c r="G67" i="56"/>
  <c r="E183" i="56"/>
  <c r="E208" i="56"/>
  <c r="C19" i="56"/>
  <c r="H137" i="56"/>
  <c r="F123" i="56"/>
  <c r="G123" i="56" s="1"/>
  <c r="E20" i="56"/>
  <c r="E100" i="56"/>
  <c r="F100" i="56" s="1"/>
  <c r="E106" i="56" s="1"/>
  <c r="F106" i="56" s="1"/>
  <c r="G107" i="56" s="1"/>
  <c r="E83" i="56"/>
  <c r="F83" i="56" s="1"/>
  <c r="E84" i="56" s="1"/>
  <c r="F84" i="56" s="1"/>
  <c r="E85" i="56" s="1"/>
  <c r="F85" i="56" s="1"/>
  <c r="G86" i="56" s="1"/>
  <c r="H129" i="56"/>
  <c r="C18" i="56"/>
  <c r="G21" i="56"/>
  <c r="E18" i="56" l="1"/>
  <c r="H86" i="56"/>
  <c r="C14" i="56"/>
  <c r="H107" i="56"/>
  <c r="C16" i="56"/>
  <c r="G20" i="56"/>
  <c r="C17" i="56"/>
  <c r="H123" i="56"/>
  <c r="E19" i="56"/>
  <c r="H67" i="56"/>
  <c r="C11" i="56"/>
  <c r="E12" i="56"/>
  <c r="D92" i="56"/>
  <c r="D93" i="56" s="1"/>
  <c r="E94" i="56" s="1"/>
  <c r="F94" i="56" s="1"/>
  <c r="F95" i="56" s="1"/>
  <c r="E96" i="56" s="1"/>
  <c r="F96" i="56" s="1"/>
  <c r="G97" i="56" s="1"/>
  <c r="G19" i="56" l="1"/>
  <c r="E17" i="56"/>
  <c r="G18" i="56"/>
  <c r="H97" i="56"/>
  <c r="C15" i="56"/>
  <c r="G12" i="56"/>
  <c r="E11" i="56"/>
  <c r="E16" i="56"/>
  <c r="E14" i="56"/>
  <c r="G145" i="56"/>
  <c r="H145" i="56" l="1"/>
  <c r="C13" i="56"/>
  <c r="E13" i="56" s="1"/>
  <c r="G13" i="56" s="1"/>
  <c r="E15" i="56"/>
  <c r="G14" i="56"/>
  <c r="G16" i="56"/>
  <c r="G11" i="56"/>
  <c r="G17" i="56"/>
  <c r="G15" i="56" l="1"/>
  <c r="C12" i="48" l="1"/>
  <c r="C11" i="48"/>
  <c r="C10" i="48"/>
  <c r="C9" i="48"/>
  <c r="C8" i="48"/>
  <c r="C7" i="48"/>
  <c r="C6" i="48"/>
  <c r="C5" i="48"/>
  <c r="C4" i="48"/>
  <c r="C3" i="48"/>
  <c r="C37" i="8" l="1"/>
  <c r="C38" i="8"/>
  <c r="D57" i="56" s="1"/>
  <c r="F57" i="56" s="1"/>
  <c r="F58" i="56" s="1"/>
  <c r="E59" i="56" s="1"/>
  <c r="F59" i="56" s="1"/>
  <c r="G60" i="56" l="1"/>
  <c r="G59" i="56"/>
  <c r="H59" i="56" s="1"/>
  <c r="G10" i="56" l="1"/>
  <c r="G76" i="56"/>
  <c r="H60" i="56"/>
  <c r="H76" i="56" l="1"/>
  <c r="G9" i="56"/>
  <c r="G158" i="56"/>
  <c r="E190" i="56" l="1"/>
  <c r="H158" i="56"/>
  <c r="E32" i="4" l="1"/>
  <c r="E31" i="4"/>
  <c r="E30" i="4"/>
  <c r="E21" i="4"/>
  <c r="E19" i="4"/>
  <c r="E18" i="4"/>
  <c r="E17" i="4"/>
  <c r="E8" i="4"/>
  <c r="E6" i="4"/>
  <c r="E5" i="4"/>
  <c r="E4" i="4"/>
  <c r="E24" i="4" l="1"/>
  <c r="E35" i="4"/>
  <c r="E11" i="4"/>
  <c r="C35" i="4" l="1"/>
  <c r="D190" i="56" s="1"/>
  <c r="F190" i="56" s="1"/>
  <c r="G190" i="56" s="1"/>
  <c r="C24" i="4"/>
  <c r="D176" i="56" s="1"/>
  <c r="C11" i="4"/>
  <c r="D162" i="56" s="1"/>
  <c r="H190" i="56" l="1"/>
  <c r="G193" i="56"/>
  <c r="C26" i="8"/>
  <c r="H193" i="56" l="1"/>
  <c r="G195" i="56"/>
  <c r="C12" i="8"/>
  <c r="H195" i="56" l="1"/>
  <c r="E203" i="56"/>
  <c r="G206" i="56" s="1"/>
  <c r="C19" i="8"/>
  <c r="C25" i="8" s="1"/>
  <c r="I203" i="56" l="1"/>
  <c r="J204" i="56" s="1"/>
  <c r="J205" i="56" s="1"/>
  <c r="J206" i="56" s="1"/>
  <c r="G210" i="56"/>
  <c r="G26" i="56" s="1"/>
  <c r="F203" i="56"/>
  <c r="G203" i="56" s="1"/>
  <c r="H206" i="56"/>
  <c r="C23" i="8"/>
  <c r="C27" i="8"/>
  <c r="H203" i="56" l="1"/>
  <c r="G24" i="56"/>
  <c r="G25" i="56" s="1"/>
  <c r="C28" i="8"/>
  <c r="D51" i="56" s="1"/>
  <c r="F51" i="56" s="1"/>
  <c r="F52" i="56" s="1"/>
  <c r="E53" i="56" s="1"/>
  <c r="F53" i="56" s="1"/>
  <c r="G54" i="56" l="1"/>
  <c r="G53" i="56"/>
  <c r="H53" i="56" s="1"/>
  <c r="H24" i="56"/>
  <c r="H20" i="56"/>
  <c r="H18" i="56"/>
  <c r="H11" i="56"/>
  <c r="H12" i="56"/>
  <c r="H16" i="56"/>
  <c r="H15" i="56"/>
  <c r="H14" i="56"/>
  <c r="H10" i="56"/>
  <c r="H9" i="56" s="1"/>
  <c r="H17" i="56"/>
  <c r="H21" i="56"/>
  <c r="H19" i="56"/>
  <c r="H13" i="56" l="1"/>
  <c r="H25" i="56" s="1"/>
  <c r="C10" i="56"/>
  <c r="G75" i="56"/>
  <c r="H54" i="56"/>
  <c r="E10" i="56" l="1"/>
  <c r="E9" i="56"/>
  <c r="H75" i="56"/>
  <c r="C9" i="56"/>
  <c r="G157" i="56"/>
  <c r="H157" i="56" l="1"/>
  <c r="E162" i="56"/>
  <c r="F162" i="56" s="1"/>
  <c r="G162" i="56" s="1"/>
  <c r="E176" i="56"/>
  <c r="F176" i="56" s="1"/>
  <c r="G176" i="56" s="1"/>
  <c r="G165" i="56" l="1"/>
  <c r="H162" i="56"/>
  <c r="H176" i="56"/>
  <c r="G179" i="56"/>
  <c r="E23" i="56" l="1"/>
  <c r="H179" i="56"/>
  <c r="G181" i="56"/>
  <c r="C22" i="56"/>
  <c r="H165" i="56"/>
  <c r="G167" i="56"/>
  <c r="H181" i="56" l="1"/>
  <c r="G185" i="56"/>
  <c r="E26" i="56" s="1"/>
  <c r="C25" i="56"/>
  <c r="G171" i="56"/>
  <c r="C26" i="56" s="1"/>
  <c r="H167" i="56"/>
  <c r="E25" i="56"/>
  <c r="F23" i="56" s="1"/>
  <c r="D20" i="56" l="1"/>
  <c r="D14" i="56"/>
  <c r="D11" i="56"/>
  <c r="D16" i="56"/>
  <c r="D18" i="56"/>
  <c r="D17" i="56"/>
  <c r="D15" i="56"/>
  <c r="D21" i="56"/>
  <c r="D19" i="56"/>
  <c r="D12" i="56"/>
  <c r="D10" i="56"/>
  <c r="D9" i="56" s="1"/>
  <c r="D22" i="56"/>
  <c r="F21" i="56"/>
  <c r="F19" i="56"/>
  <c r="F11" i="56"/>
  <c r="F12" i="56"/>
  <c r="F20" i="56"/>
  <c r="F14" i="56"/>
  <c r="F17" i="56"/>
  <c r="F18" i="56"/>
  <c r="F16" i="56"/>
  <c r="F15" i="56"/>
  <c r="F10" i="56"/>
  <c r="D13" i="56" l="1"/>
  <c r="D25" i="56" s="1"/>
  <c r="F9" i="56"/>
  <c r="F13" i="56"/>
  <c r="F25" i="5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  <author>Win 11</author>
  </authors>
  <commentList>
    <comment ref="B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Informar a quantidade de motoristas.</t>
        </r>
      </text>
    </comment>
    <comment ref="G30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4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4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Informar a quantidade de lugares do veículo, conforme consta no projeto.</t>
        </r>
      </text>
    </comment>
    <comment ref="F34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Informar a quantidade de veículos.</t>
        </r>
      </text>
    </comment>
    <comment ref="G34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 xml:space="preserve">Informar o valor do veículo.
</t>
        </r>
      </text>
    </comment>
    <comment ref="F35" authorId="0" shapeId="0" xr:uid="{00000000-0006-0000-0000-00000A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veículo.</t>
        </r>
      </text>
    </comment>
    <comment ref="G35" authorId="0" shapeId="0" xr:uid="{00000000-0006-0000-0000-00000B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8" authorId="0" shapeId="0" xr:uid="{00000000-0006-0000-0000-00000C000000}">
      <text>
        <r>
          <rPr>
            <b/>
            <sz val="9"/>
            <color indexed="81"/>
            <rFont val="Segoe UI"/>
            <family val="2"/>
          </rPr>
          <t>Informar a quantidade de Km percorridos por dia, conforme consta no projeto.</t>
        </r>
      </text>
    </comment>
    <comment ref="F39" authorId="0" shapeId="0" xr:uid="{00000000-0006-0000-0000-00000D000000}">
      <text>
        <r>
          <rPr>
            <b/>
            <sz val="9"/>
            <color indexed="81"/>
            <rFont val="Segoe UI"/>
            <family val="2"/>
          </rPr>
          <t>Informar o número de dias rodados por mês, conforme consta no projeto.</t>
        </r>
      </text>
    </comment>
    <comment ref="C4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D51" authorId="1" shapeId="0" xr:uid="{00000000-0006-0000-00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7" authorId="1" shapeId="0" xr:uid="{00000000-0006-0000-00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64" authorId="1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66" authorId="1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71" authorId="1" shapeId="0" xr:uid="{00000000-0006-0000-0000-000013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83" authorId="1" shapeId="0" xr:uid="{00000000-0006-0000-0000-000014000000}">
      <text>
        <r>
          <rPr>
            <sz val="9"/>
            <color indexed="81"/>
            <rFont val="Tahoma"/>
            <family val="2"/>
          </rPr>
          <t>Percentual buscado automaticamente no plano "Depr.", no qual cada empresa poderá, caso haja interesse ou necessidade, adequar os percentuais à sua realidade.</t>
        </r>
      </text>
    </comment>
    <comment ref="D90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0" authorId="0" shapeId="0" xr:uid="{00000000-0006-0000-0000-000016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01" authorId="1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valor do licenciamento anual do veículo
</t>
        </r>
      </text>
    </comment>
    <comment ref="E102" authorId="1" shapeId="0" xr:uid="{00000000-0006-0000-0000-000018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03" authorId="1" shapeId="0" xr:uid="{00000000-0006-0000-0000-000019000000}">
      <text>
        <r>
          <rPr>
            <sz val="9"/>
            <color indexed="81"/>
            <rFont val="Tahoma"/>
            <family val="2"/>
          </rPr>
          <t xml:space="preserve">Informar o valor do seguro contra acidentes em favor dos pacientes.
</t>
        </r>
      </text>
    </comment>
    <comment ref="E104" authorId="1" shapeId="0" xr:uid="{00000000-0006-0000-0000-00001A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05" authorId="0" shapeId="0" xr:uid="{00000000-0006-0000-0000-00001B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E113" authorId="2" shapeId="0" xr:uid="{00000000-0006-0000-0000-00001C000000}">
      <text>
        <r>
          <rPr>
            <sz val="9"/>
            <color indexed="81"/>
            <rFont val="Segoe UI"/>
            <family val="2"/>
          </rPr>
          <t>Informar o preço unitario</t>
        </r>
      </text>
    </comment>
    <comment ref="D115" authorId="1" shapeId="0" xr:uid="{00000000-0006-0000-0000-00001D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15" authorId="1" shapeId="0" xr:uid="{00000000-0006-0000-0000-00001E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17" authorId="1" shapeId="0" xr:uid="{00000000-0006-0000-0000-00001F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17" authorId="1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19" authorId="1" shapeId="0" xr:uid="{00000000-0006-0000-0000-000021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19" authorId="1" shapeId="0" xr:uid="{00000000-0006-0000-0000-000022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21" authorId="1" shapeId="0" xr:uid="{00000000-0006-0000-0000-000023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21" authorId="1" shapeId="0" xr:uid="{00000000-0006-0000-0000-000024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27" authorId="1" shapeId="0" xr:uid="{00000000-0006-0000-0000-000025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rodado.</t>
        </r>
      </text>
    </comment>
    <comment ref="D128" authorId="0" shapeId="0" xr:uid="{00000000-0006-0000-0000-000026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28" authorId="1" shapeId="0" xr:uid="{00000000-0006-0000-0000-000027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33" authorId="1" shapeId="0" xr:uid="{00000000-0006-0000-0000-000028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33" authorId="1" shapeId="0" xr:uid="{00000000-0006-0000-0000-000029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34" authorId="1" shapeId="0" xr:uid="{00000000-0006-0000-0000-00002A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E135" authorId="1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D136" authorId="1" shapeId="0" xr:uid="{00000000-0006-0000-0000-00002C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 primeira vida mais as recapagens, em km.
</t>
        </r>
      </text>
    </comment>
    <comment ref="E141" authorId="2" shapeId="0" xr:uid="{00000000-0006-0000-0000-00002D000000}">
      <text>
        <r>
          <rPr>
            <sz val="9"/>
            <color indexed="81"/>
            <rFont val="Segoe UI"/>
            <family val="2"/>
          </rPr>
          <t xml:space="preserve">Informar o valor
</t>
        </r>
      </text>
    </comment>
    <comment ref="E142" authorId="2" shapeId="0" xr:uid="{00000000-0006-0000-0000-00002E000000}">
      <text>
        <r>
          <rPr>
            <sz val="9"/>
            <color indexed="81"/>
            <rFont val="Segoe UI"/>
            <family val="2"/>
          </rPr>
          <t>Informar o valor</t>
        </r>
      </text>
    </comment>
    <comment ref="D149" authorId="1" shapeId="0" xr:uid="{00000000-0006-0000-0000-00002F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49" authorId="1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0" authorId="1" shapeId="0" xr:uid="{00000000-0006-0000-0000-000031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0" authorId="1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1" authorId="1" shapeId="0" xr:uid="{00000000-0006-0000-0000-000033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1" authorId="1" shapeId="0" xr:uid="{00000000-0006-0000-0000-000034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2" authorId="0" shapeId="0" xr:uid="{00000000-0006-0000-0000-000035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52" authorId="1" shapeId="0" xr:uid="{00000000-0006-0000-0000-000036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53" authorId="1" shapeId="0" xr:uid="{00000000-0006-0000-0000-000037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53" authorId="1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2" authorId="1" shapeId="0" xr:uid="{00000000-0006-0000-0000-000039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6" authorId="1" shapeId="0" xr:uid="{00000000-0006-0000-0000-00003A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0" authorId="1" shapeId="0" xr:uid="{00000000-0006-0000-0000-00003B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00" authorId="0" shapeId="0" xr:uid="{00000000-0006-0000-0000-00003C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203" authorId="1" shapeId="0" xr:uid="{00000000-0006-0000-0000-00003D000000}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3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8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17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Informar o percentual de ICMS, de acordo com a legislação tributária para transporte intermunicipal.
Base reduzida para 20%,aplica alíquota de 12,00% = 2,40%.</t>
        </r>
      </text>
    </comment>
    <comment ref="C21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E30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200-000019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00000000-0006-0000-0200-00001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<sst xmlns="http://schemas.openxmlformats.org/spreadsheetml/2006/main" count="454" uniqueCount="262">
  <si>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</si>
  <si>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</si>
  <si>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</si>
  <si>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</si>
  <si>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</si>
  <si>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</si>
  <si>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</si>
  <si>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</si>
  <si>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</si>
  <si>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</si>
  <si>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</si>
  <si>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</si>
  <si>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</si>
  <si>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</si>
  <si>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</si>
  <si>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</si>
  <si>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</si>
  <si>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</si>
  <si>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</si>
  <si>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</si>
  <si>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</si>
  <si>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</si>
  <si>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</si>
  <si>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</si>
  <si>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</si>
  <si>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</si>
  <si>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</si>
  <si>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</si>
  <si>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</si>
  <si>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</si>
  <si>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</si>
  <si>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</si>
  <si>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</si>
  <si>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</si>
  <si>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</si>
  <si>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</si>
  <si>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</si>
  <si>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</si>
  <si>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</si>
  <si>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</si>
  <si>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</si>
  <si>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</si>
  <si>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</si>
  <si>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</si>
  <si>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</si>
  <si>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</si>
  <si>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</si>
  <si>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</si>
  <si>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</si>
  <si>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</si>
  <si>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</si>
  <si>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</si>
  <si>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</si>
  <si>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</si>
  <si>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</si>
  <si>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</si>
  <si>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</si>
  <si>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</si>
  <si>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</si>
  <si>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</si>
  <si>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</si>
  <si>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</si>
  <si>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</si>
  <si>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</si>
  <si>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</si>
  <si>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</si>
  <si>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</si>
  <si>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</si>
  <si>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</si>
  <si>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</si>
  <si>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</si>
  <si>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</si>
  <si>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</si>
  <si>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</si>
  <si>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</si>
  <si>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Aviso prévio indenizado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</si>
  <si>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</si>
  <si>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</si>
  <si>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</si>
  <si>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</si>
  <si>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</si>
  <si>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</si>
  <si>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</si>
  <si>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</si>
  <si>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</si>
  <si>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</si>
  <si>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</si>
  <si>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</si>
  <si>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</si>
  <si>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</si>
  <si>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</si>
  <si>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</si>
  <si>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</si>
  <si>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</si>
  <si>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</si>
  <si>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Reincidência de FGTS sobre aviso prévio indenizado</t>
  </si>
  <si>
    <t>Nº do processo:</t>
  </si>
  <si>
    <t>Motorista (Vlr líq. desc. 6,% s/piso sal.)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</si>
  <si>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</si>
  <si>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</si>
  <si>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</si>
  <si>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</si>
  <si>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</si>
  <si>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</si>
  <si>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</si>
  <si>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</si>
  <si>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</si>
  <si>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</si>
  <si>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</si>
  <si>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</si>
  <si>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</si>
  <si>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</si>
  <si>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</si>
  <si>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</si>
  <si>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</si>
  <si>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</si>
  <si>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</si>
  <si>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</si>
  <si>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</si>
  <si>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</si>
  <si>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</si>
  <si>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</si>
  <si>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</si>
  <si>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</si>
  <si>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</si>
  <si>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</si>
  <si>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Depreciação do veículo</t>
  </si>
  <si>
    <t>Custo com lavagens</t>
  </si>
  <si>
    <t>Mês</t>
  </si>
  <si>
    <t>Custo com manutenção e lavagens</t>
  </si>
  <si>
    <t>R$/Mês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</si>
  <si>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</si>
  <si>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</si>
  <si>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</si>
  <si>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</si>
  <si>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</si>
  <si>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</si>
  <si>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</si>
  <si>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</si>
  <si>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</si>
  <si>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</si>
  <si>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R$ / mês</t>
  </si>
  <si>
    <t>Capacidade
(Lugares)</t>
  </si>
  <si>
    <t>Valor
(R$)</t>
  </si>
  <si>
    <t>Distância percorrida</t>
  </si>
  <si>
    <t>Dias</t>
  </si>
  <si>
    <t>Km por dia</t>
  </si>
  <si>
    <t>Km por mês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</si>
  <si>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</si>
  <si>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</si>
  <si>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</si>
  <si>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</si>
  <si>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</si>
  <si>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</si>
  <si>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</si>
  <si>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</si>
  <si>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</si>
  <si>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</si>
  <si>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</si>
  <si>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</si>
  <si>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</si>
  <si>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</si>
  <si>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</si>
  <si>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</si>
  <si>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</si>
  <si>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</si>
  <si>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</si>
  <si>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</si>
  <si>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</si>
  <si>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</si>
  <si>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</si>
  <si>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</si>
  <si>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</si>
  <si>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</si>
  <si>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</si>
  <si>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Consumo médio (Km / litro) e Valor do litro (R$)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</si>
  <si>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</si>
  <si>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</si>
  <si>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</si>
  <si>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</si>
  <si>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</si>
  <si>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</si>
  <si>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</si>
  <si>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</si>
  <si>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</si>
  <si>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</si>
  <si>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</si>
  <si>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</si>
  <si>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</si>
  <si>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</si>
  <si>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</si>
  <si>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</si>
  <si>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</si>
  <si>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</si>
  <si>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</si>
  <si>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</si>
  <si>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</si>
  <si>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Empresas do Simples Nacional</t>
  </si>
  <si>
    <t>GRUPO A - Identificação</t>
  </si>
  <si>
    <t>GRUPO B - Orçamento Sintético</t>
  </si>
  <si>
    <t>C1- Mão-de-obra</t>
  </si>
  <si>
    <t>C2- Veículos</t>
  </si>
  <si>
    <t>C3- Distâncias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</si>
  <si>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</si>
  <si>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</si>
  <si>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</si>
  <si>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</si>
  <si>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</si>
  <si>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</si>
  <si>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</si>
  <si>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</si>
  <si>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</si>
  <si>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</si>
  <si>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</si>
  <si>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</si>
  <si>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/>
  </si>
  <si>
    <t>Provisão Multas FGTS (40% s/FGTS)</t>
  </si>
  <si>
    <t>Sigla</t>
  </si>
  <si>
    <t>Municipal
(%)</t>
  </si>
  <si>
    <t>Intermunicipal
(%)</t>
  </si>
  <si>
    <t>Tributos - (ISS p/Municipal) e (ICMS p/Interm.)</t>
  </si>
  <si>
    <t>Nº Licitação:</t>
  </si>
  <si>
    <t>1.1. Motorista</t>
  </si>
  <si>
    <t>1.1. Motorista - EMPRESA LUCRO REAL E PRESUMIDO</t>
  </si>
  <si>
    <t>1.1.1- Motorista - EMPRESA SIMPLES NACIONAL</t>
  </si>
  <si>
    <t>1.2. Vale Transporte</t>
  </si>
  <si>
    <t>1.3. Vale-refeição (diário)</t>
  </si>
  <si>
    <t>Veículo:</t>
  </si>
  <si>
    <t>Serviço:</t>
  </si>
  <si>
    <t>Motorista (Café e Almoço)</t>
  </si>
  <si>
    <t>Licenciamento</t>
  </si>
  <si>
    <t>Número de recapagens por pneu</t>
  </si>
  <si>
    <t>Custo de recapagem</t>
  </si>
  <si>
    <t>Dias rodados por mês</t>
  </si>
  <si>
    <t>Depreciação Referencial TCE/RS (%)</t>
  </si>
  <si>
    <t>Idade do veículo (ano)</t>
  </si>
  <si>
    <t>Depreciação Média</t>
  </si>
  <si>
    <t>Residual</t>
  </si>
  <si>
    <t>2.7. Rastreador GPS</t>
  </si>
  <si>
    <t>Mensalidade</t>
  </si>
  <si>
    <t>Custo mensal com GPS</t>
  </si>
  <si>
    <t>Taxa depre- ciação Anual</t>
  </si>
  <si>
    <t>Taxa de habilitação (Anual = R$ 149,00)</t>
  </si>
  <si>
    <t>Custo mensal com óleo diesel S-10</t>
  </si>
  <si>
    <t>Aferição do tacógrafo</t>
  </si>
  <si>
    <t>C4- Fatores</t>
  </si>
  <si>
    <t>Aplicação</t>
  </si>
  <si>
    <t xml:space="preserve">Fator de utilização (FU) </t>
  </si>
  <si>
    <t>Motoristas</t>
  </si>
  <si>
    <t>Equipe, Vale transporte e vale alimentação</t>
  </si>
  <si>
    <t>Fator de utilização</t>
  </si>
  <si>
    <t>Custo do jogo de pneus 215 / 75 R17,5"</t>
  </si>
  <si>
    <t>Custo de ARLA / km rodado</t>
  </si>
  <si>
    <t>Custo mensal com ARLA</t>
  </si>
  <si>
    <t xml:space="preserve">Van com 18 lugares </t>
  </si>
  <si>
    <t>Veículo Sprinter 517 Van E.L.T.A 18 lugares Mercedez Benz ano 2025 - Diesel</t>
  </si>
  <si>
    <t xml:space="preserve">Velocidade média </t>
  </si>
  <si>
    <t>até R$180.000,00</t>
  </si>
  <si>
    <t>Horas do Dia</t>
  </si>
  <si>
    <t>Transporte CENTRO DIA</t>
  </si>
  <si>
    <t>Seguro contra acidentes (usuários)</t>
  </si>
  <si>
    <t>PAE 2025-8366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</si>
</sst>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05">
    <xf numFmtId="0" fontId="0" fillId="0" borderId="0" xfId="0"/>
    <xf numFmtId="0" fontId="10" fillId="0" borderId="0" xfId="0" applyFont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5" fontId="10" fillId="0" borderId="0" xfId="3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165" fontId="10" fillId="0" borderId="2" xfId="3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10" fillId="0" borderId="1" xfId="3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7" fillId="0" borderId="6" xfId="3" applyFont="1" applyBorder="1" applyAlignment="1">
      <alignment vertical="center"/>
    </xf>
    <xf numFmtId="165" fontId="7" fillId="0" borderId="7" xfId="3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65" fontId="10" fillId="0" borderId="6" xfId="3" applyFont="1" applyBorder="1" applyAlignment="1">
      <alignment vertical="center"/>
    </xf>
    <xf numFmtId="165" fontId="10" fillId="0" borderId="7" xfId="3" applyFont="1" applyBorder="1" applyAlignment="1">
      <alignment vertical="center"/>
    </xf>
    <xf numFmtId="165" fontId="7" fillId="0" borderId="0" xfId="3" applyFont="1" applyBorder="1" applyAlignment="1">
      <alignment horizontal="center" vertical="center"/>
    </xf>
    <xf numFmtId="165" fontId="7" fillId="0" borderId="0" xfId="3" applyFont="1" applyBorder="1" applyAlignment="1">
      <alignment vertical="center"/>
    </xf>
    <xf numFmtId="166" fontId="10" fillId="0" borderId="1" xfId="3" applyNumberFormat="1" applyFont="1" applyBorder="1" applyAlignment="1">
      <alignment vertical="center"/>
    </xf>
    <xf numFmtId="165" fontId="7" fillId="0" borderId="10" xfId="3" applyFont="1" applyBorder="1" applyAlignment="1">
      <alignment horizontal="center" vertical="center"/>
    </xf>
    <xf numFmtId="165" fontId="10" fillId="0" borderId="1" xfId="3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10" fillId="0" borderId="0" xfId="3" applyFont="1" applyBorder="1" applyAlignment="1">
      <alignment vertical="center"/>
    </xf>
    <xf numFmtId="4" fontId="7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7" fillId="0" borderId="29" xfId="3" applyNumberFormat="1" applyFont="1" applyBorder="1" applyAlignment="1">
      <alignment horizontal="center" vertical="center"/>
    </xf>
    <xf numFmtId="165" fontId="10" fillId="0" borderId="1" xfId="3" applyFont="1" applyFill="1" applyBorder="1" applyAlignment="1">
      <alignment horizontal="center" vertical="center"/>
    </xf>
    <xf numFmtId="166" fontId="10" fillId="0" borderId="1" xfId="3" applyNumberFormat="1" applyFont="1" applyBorder="1" applyAlignment="1">
      <alignment horizontal="center" vertical="center"/>
    </xf>
    <xf numFmtId="166" fontId="10" fillId="0" borderId="1" xfId="3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5" fontId="7" fillId="0" borderId="1" xfId="3" applyFont="1" applyBorder="1" applyAlignment="1">
      <alignment horizontal="center" vertical="center"/>
    </xf>
    <xf numFmtId="165" fontId="7" fillId="0" borderId="3" xfId="3" applyFont="1" applyBorder="1" applyAlignment="1">
      <alignment horizontal="center" vertical="center"/>
    </xf>
    <xf numFmtId="10" fontId="7" fillId="0" borderId="13" xfId="2" applyNumberFormat="1" applyFont="1" applyBorder="1" applyAlignment="1">
      <alignment vertical="center"/>
    </xf>
    <xf numFmtId="165" fontId="7" fillId="0" borderId="33" xfId="3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165" fontId="10" fillId="0" borderId="34" xfId="3" applyFont="1" applyBorder="1" applyAlignment="1">
      <alignment vertical="center"/>
    </xf>
    <xf numFmtId="165" fontId="10" fillId="3" borderId="1" xfId="3" applyFont="1" applyFill="1" applyBorder="1" applyAlignment="1">
      <alignment horizontal="center" vertical="center"/>
    </xf>
    <xf numFmtId="9" fontId="7" fillId="0" borderId="16" xfId="2" applyFont="1" applyBorder="1" applyAlignment="1">
      <alignment vertical="center"/>
    </xf>
    <xf numFmtId="10" fontId="10" fillId="0" borderId="13" xfId="2" applyNumberFormat="1" applyFont="1" applyBorder="1" applyAlignment="1">
      <alignment vertical="center"/>
    </xf>
    <xf numFmtId="0" fontId="9" fillId="0" borderId="0" xfId="0" applyFont="1"/>
    <xf numFmtId="165" fontId="10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18" xfId="0" applyNumberFormat="1" applyFont="1" applyBorder="1" applyAlignment="1">
      <alignment horizontal="right" vertical="center"/>
    </xf>
    <xf numFmtId="0" fontId="19" fillId="2" borderId="2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10" fontId="20" fillId="2" borderId="18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10" fontId="10" fillId="0" borderId="0" xfId="0" applyNumberFormat="1" applyFont="1"/>
    <xf numFmtId="0" fontId="1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10" fontId="19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justify" vertical="center"/>
    </xf>
    <xf numFmtId="0" fontId="24" fillId="0" borderId="0" xfId="0" applyFont="1"/>
    <xf numFmtId="0" fontId="19" fillId="0" borderId="0" xfId="0" applyFont="1" applyAlignment="1">
      <alignment horizontal="right" vertical="center"/>
    </xf>
    <xf numFmtId="0" fontId="12" fillId="0" borderId="0" xfId="1" applyBorder="1" applyAlignment="1" applyProtection="1">
      <alignment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10" fontId="9" fillId="0" borderId="25" xfId="0" applyNumberFormat="1" applyFont="1" applyBorder="1" applyAlignment="1">
      <alignment vertical="center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8" xfId="0" applyFont="1" applyBorder="1" applyAlignment="1">
      <alignment vertical="center"/>
    </xf>
    <xf numFmtId="0" fontId="11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/>
    </xf>
    <xf numFmtId="10" fontId="11" fillId="2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20" fillId="0" borderId="2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8" xfId="3" applyFont="1" applyBorder="1" applyAlignment="1">
      <alignment horizontal="center" vertical="center"/>
    </xf>
    <xf numFmtId="167" fontId="10" fillId="0" borderId="1" xfId="3" applyNumberFormat="1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/>
    </xf>
    <xf numFmtId="167" fontId="7" fillId="0" borderId="1" xfId="3" applyNumberFormat="1" applyFont="1" applyBorder="1" applyAlignment="1">
      <alignment horizontal="center" vertical="center"/>
    </xf>
    <xf numFmtId="167" fontId="10" fillId="0" borderId="2" xfId="3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0" borderId="0" xfId="4" applyFont="1"/>
    <xf numFmtId="0" fontId="5" fillId="0" borderId="1" xfId="0" applyFont="1" applyBorder="1" applyAlignment="1">
      <alignment horizontal="center" vertical="center"/>
    </xf>
    <xf numFmtId="165" fontId="10" fillId="0" borderId="27" xfId="3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5" fontId="10" fillId="0" borderId="0" xfId="3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3" fontId="10" fillId="0" borderId="0" xfId="0" applyNumberFormat="1" applyFont="1" applyAlignment="1">
      <alignment vertical="center"/>
    </xf>
    <xf numFmtId="0" fontId="10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6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vertical="center"/>
    </xf>
    <xf numFmtId="168" fontId="7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7" fillId="0" borderId="34" xfId="2" applyNumberFormat="1" applyFont="1" applyBorder="1" applyAlignment="1">
      <alignment vertical="center"/>
    </xf>
    <xf numFmtId="0" fontId="7" fillId="6" borderId="34" xfId="0" applyFont="1" applyFill="1" applyBorder="1" applyAlignment="1">
      <alignment vertical="center"/>
    </xf>
    <xf numFmtId="165" fontId="7" fillId="0" borderId="17" xfId="3" applyFont="1" applyBorder="1" applyAlignment="1">
      <alignment horizontal="center" vertical="center" wrapText="1"/>
    </xf>
    <xf numFmtId="10" fontId="7" fillId="6" borderId="13" xfId="2" applyNumberFormat="1" applyFont="1" applyFill="1" applyBorder="1" applyAlignment="1">
      <alignment vertical="center"/>
    </xf>
    <xf numFmtId="0" fontId="7" fillId="6" borderId="13" xfId="0" applyFont="1" applyFill="1" applyBorder="1" applyAlignment="1">
      <alignment vertical="center"/>
    </xf>
    <xf numFmtId="0" fontId="7" fillId="6" borderId="18" xfId="0" applyFont="1" applyFill="1" applyBorder="1" applyAlignment="1">
      <alignment vertical="center"/>
    </xf>
    <xf numFmtId="168" fontId="7" fillId="6" borderId="21" xfId="0" applyNumberFormat="1" applyFont="1" applyFill="1" applyBorder="1" applyAlignment="1">
      <alignment vertical="center"/>
    </xf>
    <xf numFmtId="168" fontId="7" fillId="6" borderId="37" xfId="0" applyNumberFormat="1" applyFont="1" applyFill="1" applyBorder="1" applyAlignment="1">
      <alignment vertical="center"/>
    </xf>
    <xf numFmtId="10" fontId="7" fillId="6" borderId="34" xfId="2" applyNumberFormat="1" applyFont="1" applyFill="1" applyBorder="1" applyAlignment="1">
      <alignment vertical="center"/>
    </xf>
    <xf numFmtId="168" fontId="7" fillId="0" borderId="43" xfId="0" applyNumberFormat="1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10" fillId="0" borderId="24" xfId="3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165" fontId="10" fillId="0" borderId="20" xfId="3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165" fontId="7" fillId="0" borderId="27" xfId="3" applyFont="1" applyBorder="1" applyAlignment="1">
      <alignment vertical="center"/>
    </xf>
    <xf numFmtId="164" fontId="7" fillId="5" borderId="5" xfId="0" applyNumberFormat="1" applyFont="1" applyFill="1" applyBorder="1" applyAlignment="1">
      <alignment vertical="center"/>
    </xf>
    <xf numFmtId="165" fontId="8" fillId="0" borderId="23" xfId="3" applyFont="1" applyFill="1" applyBorder="1" applyAlignment="1">
      <alignment horizontal="left" vertical="center"/>
    </xf>
    <xf numFmtId="165" fontId="7" fillId="0" borderId="33" xfId="3" applyFont="1" applyBorder="1" applyAlignment="1">
      <alignment horizontal="left" vertical="center"/>
    </xf>
    <xf numFmtId="165" fontId="10" fillId="0" borderId="25" xfId="3" applyFont="1" applyBorder="1" applyAlignment="1">
      <alignment vertical="center"/>
    </xf>
    <xf numFmtId="165" fontId="10" fillId="0" borderId="11" xfId="3" applyFont="1" applyBorder="1" applyAlignment="1">
      <alignment vertical="center"/>
    </xf>
    <xf numFmtId="165" fontId="10" fillId="0" borderId="46" xfId="3" applyFont="1" applyBorder="1" applyAlignment="1">
      <alignment vertical="center"/>
    </xf>
    <xf numFmtId="165" fontId="7" fillId="0" borderId="46" xfId="3" applyFont="1" applyBorder="1" applyAlignment="1">
      <alignment vertical="center"/>
    </xf>
    <xf numFmtId="165" fontId="7" fillId="0" borderId="34" xfId="3" applyFont="1" applyFill="1" applyBorder="1" applyAlignment="1">
      <alignment vertical="center"/>
    </xf>
    <xf numFmtId="165" fontId="10" fillId="0" borderId="46" xfId="3" applyFont="1" applyBorder="1" applyAlignment="1">
      <alignment horizontal="center" vertical="center"/>
    </xf>
    <xf numFmtId="165" fontId="10" fillId="0" borderId="11" xfId="3" applyFont="1" applyBorder="1" applyAlignment="1">
      <alignment horizontal="center" vertical="center"/>
    </xf>
    <xf numFmtId="165" fontId="7" fillId="0" borderId="46" xfId="3" applyFont="1" applyBorder="1" applyAlignment="1">
      <alignment horizontal="center" vertical="center"/>
    </xf>
    <xf numFmtId="165" fontId="7" fillId="0" borderId="34" xfId="3" applyFont="1" applyFill="1" applyBorder="1" applyAlignment="1">
      <alignment horizontal="center" vertical="center"/>
    </xf>
    <xf numFmtId="165" fontId="10" fillId="0" borderId="11" xfId="3" applyFont="1" applyFill="1" applyBorder="1" applyAlignment="1">
      <alignment horizontal="center" vertical="center"/>
    </xf>
    <xf numFmtId="165" fontId="10" fillId="0" borderId="46" xfId="3" applyFont="1" applyFill="1" applyBorder="1" applyAlignment="1">
      <alignment horizontal="center" vertical="center"/>
    </xf>
    <xf numFmtId="165" fontId="7" fillId="0" borderId="25" xfId="3" applyFont="1" applyFill="1" applyBorder="1" applyAlignment="1">
      <alignment horizontal="center" vertical="center"/>
    </xf>
    <xf numFmtId="165" fontId="8" fillId="0" borderId="25" xfId="3" applyFont="1" applyBorder="1" applyAlignment="1">
      <alignment vertical="center"/>
    </xf>
    <xf numFmtId="165" fontId="7" fillId="0" borderId="25" xfId="3" applyFont="1" applyBorder="1" applyAlignment="1">
      <alignment vertical="center"/>
    </xf>
    <xf numFmtId="165" fontId="8" fillId="0" borderId="34" xfId="3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65" fontId="7" fillId="0" borderId="7" xfId="3" applyFont="1" applyFill="1" applyBorder="1" applyAlignment="1">
      <alignment horizontal="right" vertical="center"/>
    </xf>
    <xf numFmtId="165" fontId="5" fillId="0" borderId="9" xfId="3" applyFont="1" applyFill="1" applyBorder="1" applyAlignment="1">
      <alignment vertical="center"/>
    </xf>
    <xf numFmtId="165" fontId="7" fillId="0" borderId="8" xfId="3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65" fontId="7" fillId="0" borderId="2" xfId="3" applyFont="1" applyBorder="1" applyAlignment="1">
      <alignment horizontal="center" vertical="center"/>
    </xf>
    <xf numFmtId="165" fontId="7" fillId="0" borderId="47" xfId="3" applyFont="1" applyBorder="1" applyAlignment="1">
      <alignment horizontal="center" vertical="center"/>
    </xf>
    <xf numFmtId="165" fontId="7" fillId="0" borderId="1" xfId="3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65" fontId="7" fillId="0" borderId="29" xfId="3" applyFont="1" applyBorder="1" applyAlignment="1">
      <alignment horizontal="center" vertical="center"/>
    </xf>
    <xf numFmtId="165" fontId="10" fillId="0" borderId="48" xfId="3" applyFont="1" applyBorder="1" applyAlignment="1">
      <alignment vertical="center"/>
    </xf>
    <xf numFmtId="0" fontId="0" fillId="0" borderId="48" xfId="0" applyBorder="1" applyAlignment="1">
      <alignment vertical="center"/>
    </xf>
    <xf numFmtId="165" fontId="7" fillId="0" borderId="16" xfId="3" applyFont="1" applyBorder="1" applyAlignment="1">
      <alignment horizontal="center" vertical="center"/>
    </xf>
    <xf numFmtId="165" fontId="5" fillId="0" borderId="26" xfId="3" applyFont="1" applyBorder="1" applyAlignment="1">
      <alignment vertical="center"/>
    </xf>
    <xf numFmtId="165" fontId="7" fillId="0" borderId="11" xfId="3" applyFont="1" applyBorder="1" applyAlignment="1">
      <alignment horizontal="center" vertical="center"/>
    </xf>
    <xf numFmtId="165" fontId="7" fillId="0" borderId="11" xfId="3" applyFont="1" applyBorder="1" applyAlignment="1">
      <alignment horizontal="center" vertical="center" wrapText="1"/>
    </xf>
    <xf numFmtId="1" fontId="10" fillId="0" borderId="6" xfId="3" applyNumberFormat="1" applyFont="1" applyBorder="1" applyAlignment="1">
      <alignment horizontal="center" vertical="center"/>
    </xf>
    <xf numFmtId="1" fontId="10" fillId="0" borderId="7" xfId="3" applyNumberFormat="1" applyFont="1" applyBorder="1" applyAlignment="1">
      <alignment horizontal="center" vertical="center"/>
    </xf>
    <xf numFmtId="165" fontId="7" fillId="0" borderId="35" xfId="3" applyFont="1" applyBorder="1" applyAlignment="1">
      <alignment vertical="center"/>
    </xf>
    <xf numFmtId="165" fontId="7" fillId="0" borderId="30" xfId="3" applyFont="1" applyBorder="1" applyAlignment="1">
      <alignment horizontal="center" vertical="center" wrapText="1"/>
    </xf>
    <xf numFmtId="1" fontId="5" fillId="0" borderId="31" xfId="3" applyNumberFormat="1" applyFont="1" applyFill="1" applyBorder="1" applyAlignment="1">
      <alignment horizontal="center" vertical="center"/>
    </xf>
    <xf numFmtId="1" fontId="10" fillId="0" borderId="31" xfId="3" applyNumberFormat="1" applyFont="1" applyFill="1" applyBorder="1" applyAlignment="1">
      <alignment horizontal="center" vertical="center"/>
    </xf>
    <xf numFmtId="1" fontId="5" fillId="0" borderId="1" xfId="3" applyNumberFormat="1" applyFont="1" applyFill="1" applyBorder="1" applyAlignment="1">
      <alignment horizontal="center" vertical="center"/>
    </xf>
    <xf numFmtId="10" fontId="10" fillId="0" borderId="1" xfId="2" applyNumberFormat="1" applyFont="1" applyFill="1" applyBorder="1" applyAlignment="1">
      <alignment horizontal="center" vertical="center"/>
    </xf>
    <xf numFmtId="165" fontId="10" fillId="0" borderId="31" xfId="3" applyFont="1" applyFill="1" applyBorder="1" applyAlignment="1">
      <alignment horizontal="center" vertical="center"/>
    </xf>
    <xf numFmtId="165" fontId="7" fillId="0" borderId="18" xfId="3" applyFont="1" applyFill="1" applyBorder="1" applyAlignment="1">
      <alignment horizontal="center" vertical="center"/>
    </xf>
    <xf numFmtId="165" fontId="10" fillId="0" borderId="2" xfId="3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165" fontId="7" fillId="0" borderId="30" xfId="3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165" fontId="0" fillId="0" borderId="40" xfId="3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10" fillId="0" borderId="41" xfId="3" applyFont="1" applyBorder="1" applyAlignment="1">
      <alignment vertical="center"/>
    </xf>
    <xf numFmtId="165" fontId="10" fillId="0" borderId="2" xfId="0" applyNumberFormat="1" applyFont="1" applyBorder="1" applyAlignment="1">
      <alignment horizontal="center" vertical="center"/>
    </xf>
    <xf numFmtId="165" fontId="5" fillId="0" borderId="1" xfId="3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9" fillId="0" borderId="52" xfId="4" applyFont="1" applyBorder="1"/>
    <xf numFmtId="0" fontId="9" fillId="0" borderId="54" xfId="4" applyFont="1" applyBorder="1"/>
    <xf numFmtId="165" fontId="7" fillId="5" borderId="40" xfId="3" applyFont="1" applyFill="1" applyBorder="1" applyAlignment="1">
      <alignment vertical="center"/>
    </xf>
    <xf numFmtId="165" fontId="5" fillId="0" borderId="41" xfId="3" applyFont="1" applyBorder="1" applyAlignment="1">
      <alignment vertical="center"/>
    </xf>
    <xf numFmtId="10" fontId="19" fillId="0" borderId="0" xfId="0" applyNumberFormat="1" applyFont="1" applyAlignment="1">
      <alignment horizontal="left" vertical="center"/>
    </xf>
    <xf numFmtId="0" fontId="19" fillId="6" borderId="22" xfId="0" applyFont="1" applyFill="1" applyBorder="1" applyAlignment="1">
      <alignment horizontal="left" vertical="center"/>
    </xf>
    <xf numFmtId="0" fontId="20" fillId="6" borderId="31" xfId="0" applyFont="1" applyFill="1" applyBorder="1" applyAlignment="1">
      <alignment horizontal="left" vertical="center"/>
    </xf>
    <xf numFmtId="10" fontId="20" fillId="6" borderId="32" xfId="0" applyNumberFormat="1" applyFont="1" applyFill="1" applyBorder="1" applyAlignment="1">
      <alignment horizontal="right" vertical="center"/>
    </xf>
    <xf numFmtId="165" fontId="5" fillId="0" borderId="27" xfId="3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65" fontId="7" fillId="0" borderId="0" xfId="3" applyFont="1" applyBorder="1" applyAlignment="1">
      <alignment horizontal="left" vertical="center"/>
    </xf>
    <xf numFmtId="0" fontId="18" fillId="0" borderId="6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1" fillId="0" borderId="38" xfId="4" applyFont="1" applyBorder="1" applyAlignment="1">
      <alignment horizontal="left" vertical="center"/>
    </xf>
    <xf numFmtId="0" fontId="11" fillId="0" borderId="39" xfId="4" applyFont="1" applyBorder="1" applyAlignment="1">
      <alignment horizontal="center" vertical="center" wrapText="1"/>
    </xf>
    <xf numFmtId="0" fontId="9" fillId="0" borderId="62" xfId="4" applyFont="1" applyBorder="1"/>
    <xf numFmtId="0" fontId="11" fillId="6" borderId="5" xfId="4" applyFont="1" applyFill="1" applyBorder="1"/>
    <xf numFmtId="0" fontId="13" fillId="0" borderId="6" xfId="4" applyFont="1" applyBorder="1"/>
    <xf numFmtId="10" fontId="11" fillId="6" borderId="16" xfId="4" applyNumberFormat="1" applyFont="1" applyFill="1" applyBorder="1" applyAlignment="1">
      <alignment horizontal="right"/>
    </xf>
    <xf numFmtId="0" fontId="9" fillId="0" borderId="0" xfId="4" applyFont="1" applyAlignment="1">
      <alignment horizontal="left"/>
    </xf>
    <xf numFmtId="169" fontId="10" fillId="0" borderId="1" xfId="3" applyNumberFormat="1" applyFont="1" applyBorder="1" applyAlignment="1">
      <alignment horizontal="center" vertical="center"/>
    </xf>
    <xf numFmtId="165" fontId="8" fillId="6" borderId="5" xfId="3" applyFont="1" applyFill="1" applyBorder="1" applyAlignment="1">
      <alignment vertical="center"/>
    </xf>
    <xf numFmtId="165" fontId="8" fillId="6" borderId="6" xfId="3" applyFont="1" applyFill="1" applyBorder="1" applyAlignment="1">
      <alignment vertical="center"/>
    </xf>
    <xf numFmtId="165" fontId="8" fillId="6" borderId="7" xfId="3" applyFont="1" applyFill="1" applyBorder="1" applyAlignment="1">
      <alignment vertical="center"/>
    </xf>
    <xf numFmtId="0" fontId="14" fillId="6" borderId="15" xfId="0" applyFont="1" applyFill="1" applyBorder="1" applyAlignment="1">
      <alignment horizontal="center" vertical="center"/>
    </xf>
    <xf numFmtId="165" fontId="14" fillId="6" borderId="15" xfId="3" applyFont="1" applyFill="1" applyBorder="1" applyAlignment="1">
      <alignment horizontal="center" vertical="center"/>
    </xf>
    <xf numFmtId="165" fontId="14" fillId="6" borderId="11" xfId="3" applyFont="1" applyFill="1" applyBorder="1" applyAlignment="1">
      <alignment horizontal="center" vertical="center"/>
    </xf>
    <xf numFmtId="165" fontId="7" fillId="6" borderId="50" xfId="3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35" xfId="0" applyFont="1" applyFill="1" applyBorder="1" applyAlignment="1">
      <alignment horizontal="center" vertical="center"/>
    </xf>
    <xf numFmtId="165" fontId="7" fillId="6" borderId="4" xfId="3" applyFont="1" applyFill="1" applyBorder="1" applyAlignment="1">
      <alignment vertical="center"/>
    </xf>
    <xf numFmtId="165" fontId="7" fillId="6" borderId="4" xfId="3" applyFont="1" applyFill="1" applyBorder="1" applyAlignment="1">
      <alignment horizontal="center" vertical="center"/>
    </xf>
    <xf numFmtId="165" fontId="7" fillId="6" borderId="40" xfId="3" applyFont="1" applyFill="1" applyBorder="1" applyAlignment="1">
      <alignment vertical="center"/>
    </xf>
    <xf numFmtId="165" fontId="7" fillId="6" borderId="40" xfId="3" applyFont="1" applyFill="1" applyBorder="1" applyAlignment="1">
      <alignment horizontal="center" vertical="center"/>
    </xf>
    <xf numFmtId="0" fontId="7" fillId="0" borderId="45" xfId="4" applyFont="1" applyBorder="1" applyAlignment="1">
      <alignment horizontal="right"/>
    </xf>
    <xf numFmtId="0" fontId="7" fillId="0" borderId="23" xfId="4" applyFont="1" applyBorder="1" applyAlignment="1">
      <alignment horizontal="right"/>
    </xf>
    <xf numFmtId="0" fontId="18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8" fillId="0" borderId="6" xfId="3" applyFont="1" applyFill="1" applyBorder="1" applyAlignment="1">
      <alignment vertical="center"/>
    </xf>
    <xf numFmtId="165" fontId="8" fillId="0" borderId="7" xfId="3" applyFont="1" applyFill="1" applyBorder="1" applyAlignment="1">
      <alignment vertical="center"/>
    </xf>
    <xf numFmtId="0" fontId="7" fillId="7" borderId="24" xfId="4" applyFont="1" applyFill="1" applyBorder="1" applyAlignment="1">
      <alignment horizontal="left"/>
    </xf>
    <xf numFmtId="1" fontId="10" fillId="7" borderId="10" xfId="3" applyNumberFormat="1" applyFont="1" applyFill="1" applyBorder="1" applyAlignment="1">
      <alignment horizontal="center" vertical="center"/>
    </xf>
    <xf numFmtId="165" fontId="10" fillId="7" borderId="39" xfId="3" applyFont="1" applyFill="1" applyBorder="1" applyAlignment="1">
      <alignment horizontal="center" vertical="center"/>
    </xf>
    <xf numFmtId="165" fontId="10" fillId="7" borderId="18" xfId="3" applyFont="1" applyFill="1" applyBorder="1" applyAlignment="1">
      <alignment horizontal="center" vertical="center"/>
    </xf>
    <xf numFmtId="1" fontId="10" fillId="7" borderId="1" xfId="3" applyNumberFormat="1" applyFont="1" applyFill="1" applyBorder="1" applyAlignment="1">
      <alignment horizontal="center" vertical="center"/>
    </xf>
    <xf numFmtId="165" fontId="10" fillId="7" borderId="1" xfId="3" applyFont="1" applyFill="1" applyBorder="1" applyAlignment="1">
      <alignment horizontal="center" vertical="center"/>
    </xf>
    <xf numFmtId="165" fontId="10" fillId="7" borderId="31" xfId="3" applyFont="1" applyFill="1" applyBorder="1" applyAlignment="1">
      <alignment horizontal="center" vertical="center"/>
    </xf>
    <xf numFmtId="165" fontId="10" fillId="7" borderId="0" xfId="3" applyFont="1" applyFill="1" applyBorder="1" applyAlignment="1">
      <alignment vertical="center"/>
    </xf>
    <xf numFmtId="2" fontId="10" fillId="7" borderId="1" xfId="0" applyNumberFormat="1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center" vertical="center"/>
    </xf>
    <xf numFmtId="165" fontId="10" fillId="7" borderId="2" xfId="3" applyFont="1" applyFill="1" applyBorder="1" applyAlignment="1">
      <alignment horizontal="center" vertical="center"/>
    </xf>
    <xf numFmtId="165" fontId="5" fillId="7" borderId="2" xfId="3" applyFont="1" applyFill="1" applyBorder="1" applyAlignment="1">
      <alignment horizontal="center" vertical="center"/>
    </xf>
    <xf numFmtId="166" fontId="5" fillId="7" borderId="1" xfId="3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4" fontId="10" fillId="7" borderId="1" xfId="3" applyNumberFormat="1" applyFont="1" applyFill="1" applyBorder="1" applyAlignment="1">
      <alignment horizontal="center" vertical="center"/>
    </xf>
    <xf numFmtId="165" fontId="8" fillId="0" borderId="6" xfId="3" quotePrefix="1" applyFont="1" applyFill="1" applyBorder="1" applyAlignment="1">
      <alignment vertical="center"/>
    </xf>
    <xf numFmtId="165" fontId="10" fillId="0" borderId="0" xfId="3" applyFont="1" applyFill="1" applyBorder="1" applyAlignment="1">
      <alignment vertical="center"/>
    </xf>
    <xf numFmtId="10" fontId="19" fillId="7" borderId="18" xfId="0" applyNumberFormat="1" applyFont="1" applyFill="1" applyBorder="1" applyAlignment="1">
      <alignment horizontal="right" vertical="center"/>
    </xf>
    <xf numFmtId="10" fontId="9" fillId="7" borderId="55" xfId="4" applyNumberFormat="1" applyFont="1" applyFill="1" applyBorder="1" applyAlignment="1">
      <alignment horizontal="right"/>
    </xf>
    <xf numFmtId="10" fontId="9" fillId="7" borderId="10" xfId="0" applyNumberFormat="1" applyFont="1" applyFill="1" applyBorder="1" applyAlignment="1">
      <alignment horizontal="center" vertical="center"/>
    </xf>
    <xf numFmtId="10" fontId="9" fillId="7" borderId="18" xfId="0" applyNumberFormat="1" applyFont="1" applyFill="1" applyBorder="1" applyAlignment="1">
      <alignment horizontal="center" vertical="center"/>
    </xf>
    <xf numFmtId="10" fontId="11" fillId="7" borderId="18" xfId="0" applyNumberFormat="1" applyFont="1" applyFill="1" applyBorder="1" applyAlignment="1">
      <alignment horizontal="center" vertical="center"/>
    </xf>
    <xf numFmtId="10" fontId="9" fillId="7" borderId="32" xfId="0" applyNumberFormat="1" applyFont="1" applyFill="1" applyBorder="1" applyAlignment="1">
      <alignment horizontal="center" vertical="center"/>
    </xf>
    <xf numFmtId="10" fontId="9" fillId="0" borderId="63" xfId="8" applyNumberFormat="1" applyFont="1" applyFill="1" applyBorder="1"/>
    <xf numFmtId="10" fontId="19" fillId="0" borderId="18" xfId="0" applyNumberFormat="1" applyFont="1" applyBorder="1" applyAlignment="1">
      <alignment horizontal="right" vertical="center"/>
    </xf>
    <xf numFmtId="10" fontId="19" fillId="7" borderId="53" xfId="0" applyNumberFormat="1" applyFont="1" applyFill="1" applyBorder="1" applyAlignment="1">
      <alignment horizontal="right" vertical="center"/>
    </xf>
    <xf numFmtId="0" fontId="9" fillId="0" borderId="38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0" fontId="9" fillId="7" borderId="39" xfId="0" applyNumberFormat="1" applyFont="1" applyFill="1" applyBorder="1" applyAlignment="1">
      <alignment horizontal="center" vertical="center"/>
    </xf>
    <xf numFmtId="10" fontId="9" fillId="0" borderId="65" xfId="0" applyNumberFormat="1" applyFont="1" applyBorder="1" applyAlignment="1">
      <alignment horizontal="center" vertical="center"/>
    </xf>
    <xf numFmtId="10" fontId="9" fillId="0" borderId="64" xfId="0" applyNumberFormat="1" applyFont="1" applyBorder="1" applyAlignment="1">
      <alignment horizontal="center" vertical="center"/>
    </xf>
    <xf numFmtId="10" fontId="11" fillId="0" borderId="64" xfId="0" applyNumberFormat="1" applyFont="1" applyBorder="1" applyAlignment="1">
      <alignment horizontal="center" vertical="center"/>
    </xf>
    <xf numFmtId="10" fontId="9" fillId="7" borderId="64" xfId="0" applyNumberFormat="1" applyFont="1" applyFill="1" applyBorder="1" applyAlignment="1">
      <alignment horizontal="center" vertical="center"/>
    </xf>
    <xf numFmtId="10" fontId="9" fillId="0" borderId="50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34" xfId="0" applyFont="1" applyBorder="1" applyAlignment="1">
      <alignment vertical="center"/>
    </xf>
    <xf numFmtId="0" fontId="11" fillId="2" borderId="14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/>
    </xf>
    <xf numFmtId="10" fontId="11" fillId="2" borderId="16" xfId="0" applyNumberFormat="1" applyFont="1" applyFill="1" applyBorder="1" applyAlignment="1">
      <alignment horizontal="center" vertical="center" wrapText="1"/>
    </xf>
    <xf numFmtId="10" fontId="9" fillId="0" borderId="40" xfId="0" applyNumberFormat="1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10" fontId="11" fillId="2" borderId="4" xfId="0" applyNumberFormat="1" applyFont="1" applyFill="1" applyBorder="1" applyAlignment="1">
      <alignment horizontal="center" vertical="center" wrapText="1"/>
    </xf>
    <xf numFmtId="0" fontId="0" fillId="0" borderId="42" xfId="0" applyBorder="1"/>
    <xf numFmtId="10" fontId="9" fillId="0" borderId="66" xfId="0" applyNumberFormat="1" applyFont="1" applyBorder="1" applyAlignment="1">
      <alignment horizontal="center" vertical="center"/>
    </xf>
    <xf numFmtId="165" fontId="7" fillId="0" borderId="0" xfId="3" applyFont="1" applyAlignment="1">
      <alignment vertical="center"/>
    </xf>
    <xf numFmtId="1" fontId="10" fillId="0" borderId="27" xfId="3" applyNumberFormat="1" applyFont="1" applyBorder="1" applyAlignment="1">
      <alignment horizontal="center" vertical="center"/>
    </xf>
    <xf numFmtId="1" fontId="10" fillId="0" borderId="28" xfId="3" applyNumberFormat="1" applyFont="1" applyBorder="1" applyAlignment="1">
      <alignment horizontal="center" vertical="center"/>
    </xf>
    <xf numFmtId="165" fontId="10" fillId="7" borderId="32" xfId="3" applyFont="1" applyFill="1" applyBorder="1" applyAlignment="1">
      <alignment horizontal="center" vertical="center"/>
    </xf>
    <xf numFmtId="169" fontId="7" fillId="6" borderId="50" xfId="3" applyNumberFormat="1" applyFont="1" applyFill="1" applyBorder="1" applyAlignment="1">
      <alignment horizontal="center" vertical="center"/>
    </xf>
    <xf numFmtId="165" fontId="5" fillId="7" borderId="20" xfId="3" applyFont="1" applyFill="1" applyBorder="1" applyAlignment="1">
      <alignment horizontal="center" vertical="center"/>
    </xf>
    <xf numFmtId="168" fontId="7" fillId="5" borderId="5" xfId="0" applyNumberFormat="1" applyFont="1" applyFill="1" applyBorder="1" applyAlignment="1">
      <alignment vertical="center"/>
    </xf>
    <xf numFmtId="0" fontId="18" fillId="0" borderId="67" xfId="0" applyFont="1" applyBorder="1" applyAlignment="1">
      <alignment vertical="center"/>
    </xf>
    <xf numFmtId="0" fontId="5" fillId="0" borderId="44" xfId="0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165" fontId="5" fillId="0" borderId="2" xfId="3" applyFont="1" applyFill="1" applyBorder="1" applyAlignment="1">
      <alignment horizontal="center" vertical="center"/>
    </xf>
    <xf numFmtId="166" fontId="5" fillId="0" borderId="1" xfId="3" applyNumberFormat="1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10" fontId="7" fillId="0" borderId="16" xfId="2" applyNumberFormat="1" applyFont="1" applyBorder="1" applyAlignment="1">
      <alignment vertical="center"/>
    </xf>
    <xf numFmtId="43" fontId="0" fillId="0" borderId="0" xfId="0" applyNumberFormat="1" applyAlignment="1">
      <alignment vertical="center"/>
    </xf>
    <xf numFmtId="0" fontId="5" fillId="0" borderId="0" xfId="4"/>
    <xf numFmtId="0" fontId="20" fillId="0" borderId="21" xfId="4" applyFont="1" applyBorder="1" applyAlignment="1">
      <alignment horizontal="center" vertical="center"/>
    </xf>
    <xf numFmtId="0" fontId="20" fillId="0" borderId="1" xfId="4" applyFont="1" applyBorder="1" applyAlignment="1">
      <alignment horizontal="center" vertical="center"/>
    </xf>
    <xf numFmtId="0" fontId="19" fillId="0" borderId="68" xfId="4" applyFont="1" applyBorder="1" applyAlignment="1">
      <alignment horizontal="center" vertical="center"/>
    </xf>
    <xf numFmtId="2" fontId="19" fillId="0" borderId="69" xfId="4" applyNumberFormat="1" applyFont="1" applyBorder="1" applyAlignment="1">
      <alignment horizontal="center" vertical="center"/>
    </xf>
    <xf numFmtId="0" fontId="19" fillId="0" borderId="70" xfId="4" applyFont="1" applyBorder="1" applyAlignment="1">
      <alignment horizontal="center" vertical="center"/>
    </xf>
    <xf numFmtId="2" fontId="19" fillId="0" borderId="71" xfId="4" applyNumberFormat="1" applyFont="1" applyBorder="1" applyAlignment="1">
      <alignment horizontal="center" vertical="center"/>
    </xf>
    <xf numFmtId="0" fontId="10" fillId="0" borderId="75" xfId="0" applyFont="1" applyBorder="1" applyAlignment="1">
      <alignment vertical="center"/>
    </xf>
    <xf numFmtId="0" fontId="10" fillId="0" borderId="74" xfId="0" applyFont="1" applyBorder="1" applyAlignment="1">
      <alignment vertical="center"/>
    </xf>
    <xf numFmtId="165" fontId="7" fillId="0" borderId="18" xfId="3" applyFont="1" applyBorder="1" applyAlignment="1">
      <alignment horizontal="center" vertical="center"/>
    </xf>
    <xf numFmtId="0" fontId="20" fillId="0" borderId="72" xfId="4" applyFont="1" applyBorder="1" applyAlignment="1">
      <alignment horizontal="center" vertical="center"/>
    </xf>
    <xf numFmtId="2" fontId="20" fillId="0" borderId="73" xfId="4" applyNumberFormat="1" applyFont="1" applyBorder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43" fontId="4" fillId="0" borderId="0" xfId="7" applyNumberFormat="1"/>
    <xf numFmtId="10" fontId="5" fillId="0" borderId="0" xfId="2" applyNumberFormat="1" applyFont="1"/>
    <xf numFmtId="43" fontId="5" fillId="0" borderId="0" xfId="0" applyNumberFormat="1" applyFont="1" applyAlignment="1">
      <alignment vertical="center"/>
    </xf>
    <xf numFmtId="165" fontId="1" fillId="0" borderId="0" xfId="3" applyFont="1" applyFill="1"/>
    <xf numFmtId="0" fontId="4" fillId="0" borderId="0" xfId="7"/>
    <xf numFmtId="165" fontId="30" fillId="0" borderId="0" xfId="3" applyFont="1" applyFill="1" applyAlignment="1">
      <alignment vertical="center"/>
    </xf>
    <xf numFmtId="10" fontId="0" fillId="0" borderId="0" xfId="2" applyNumberFormat="1" applyFont="1" applyAlignment="1">
      <alignment vertical="center"/>
    </xf>
    <xf numFmtId="165" fontId="7" fillId="0" borderId="26" xfId="3" applyFont="1" applyBorder="1" applyAlignment="1">
      <alignment vertical="center"/>
    </xf>
    <xf numFmtId="10" fontId="7" fillId="0" borderId="7" xfId="2" applyNumberFormat="1" applyFont="1" applyFill="1" applyBorder="1" applyAlignment="1">
      <alignment vertical="center"/>
    </xf>
    <xf numFmtId="0" fontId="7" fillId="0" borderId="7" xfId="0" applyFont="1" applyBorder="1" applyAlignment="1">
      <alignment vertical="center"/>
    </xf>
    <xf numFmtId="169" fontId="5" fillId="0" borderId="49" xfId="3" applyNumberFormat="1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65" fontId="5" fillId="0" borderId="9" xfId="3" applyFont="1" applyFill="1" applyBorder="1" applyAlignment="1">
      <alignment horizontal="right" vertical="center"/>
    </xf>
    <xf numFmtId="165" fontId="0" fillId="0" borderId="0" xfId="3" applyFont="1" applyAlignment="1">
      <alignment vertical="center"/>
    </xf>
    <xf numFmtId="167" fontId="10" fillId="7" borderId="2" xfId="3" applyNumberFormat="1" applyFont="1" applyFill="1" applyBorder="1" applyAlignment="1">
      <alignment horizontal="center" vertical="center"/>
    </xf>
    <xf numFmtId="10" fontId="10" fillId="0" borderId="0" xfId="0" applyNumberFormat="1" applyFont="1" applyAlignment="1">
      <alignment vertical="center"/>
    </xf>
    <xf numFmtId="0" fontId="0" fillId="0" borderId="13" xfId="0" applyBorder="1" applyAlignment="1">
      <alignment horizontal="left" vertical="center"/>
    </xf>
    <xf numFmtId="165" fontId="5" fillId="0" borderId="12" xfId="3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165" fontId="7" fillId="0" borderId="32" xfId="3" applyFont="1" applyFill="1" applyBorder="1" applyAlignment="1">
      <alignment horizontal="center" vertical="center"/>
    </xf>
    <xf numFmtId="0" fontId="26" fillId="0" borderId="5" xfId="4" applyFont="1" applyBorder="1" applyAlignment="1">
      <alignment horizontal="center" vertical="center" wrapText="1"/>
    </xf>
    <xf numFmtId="0" fontId="26" fillId="0" borderId="6" xfId="4" applyFont="1" applyBorder="1" applyAlignment="1">
      <alignment horizontal="center" vertical="center" wrapText="1"/>
    </xf>
    <xf numFmtId="0" fontId="26" fillId="0" borderId="7" xfId="4" applyFont="1" applyBorder="1" applyAlignment="1">
      <alignment horizontal="center" vertical="center" wrapText="1"/>
    </xf>
    <xf numFmtId="0" fontId="27" fillId="7" borderId="6" xfId="4" applyFont="1" applyFill="1" applyBorder="1" applyAlignment="1">
      <alignment horizontal="left" vertical="center"/>
    </xf>
    <xf numFmtId="0" fontId="27" fillId="7" borderId="35" xfId="4" applyFont="1" applyFill="1" applyBorder="1" applyAlignment="1">
      <alignment horizontal="left" vertical="center"/>
    </xf>
    <xf numFmtId="14" fontId="27" fillId="7" borderId="6" xfId="4" applyNumberFormat="1" applyFont="1" applyFill="1" applyBorder="1" applyAlignment="1">
      <alignment horizontal="left" vertical="center"/>
    </xf>
    <xf numFmtId="0" fontId="27" fillId="7" borderId="7" xfId="4" applyFont="1" applyFill="1" applyBorder="1" applyAlignment="1">
      <alignment horizontal="left" vertical="center"/>
    </xf>
    <xf numFmtId="170" fontId="18" fillId="0" borderId="6" xfId="0" applyNumberFormat="1" applyFont="1" applyBorder="1" applyAlignment="1">
      <alignment horizontal="left" vertical="center"/>
    </xf>
    <xf numFmtId="165" fontId="7" fillId="0" borderId="5" xfId="3" applyFont="1" applyFill="1" applyBorder="1" applyAlignment="1">
      <alignment horizontal="center" vertical="center" wrapText="1"/>
    </xf>
    <xf numFmtId="165" fontId="7" fillId="0" borderId="7" xfId="3" applyFont="1" applyFill="1" applyBorder="1" applyAlignment="1">
      <alignment horizontal="center" vertical="center" wrapText="1"/>
    </xf>
    <xf numFmtId="165" fontId="5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7" fillId="0" borderId="17" xfId="3" applyFont="1" applyBorder="1" applyAlignment="1">
      <alignment horizontal="left" vertical="center"/>
    </xf>
    <xf numFmtId="165" fontId="7" fillId="0" borderId="36" xfId="3" applyFont="1" applyBorder="1" applyAlignment="1">
      <alignment horizontal="left" vertical="center"/>
    </xf>
    <xf numFmtId="165" fontId="7" fillId="0" borderId="12" xfId="3" applyFont="1" applyBorder="1" applyAlignment="1">
      <alignment horizontal="left" vertical="center"/>
    </xf>
    <xf numFmtId="165" fontId="13" fillId="0" borderId="12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165" fontId="8" fillId="6" borderId="5" xfId="3" applyFont="1" applyFill="1" applyBorder="1" applyAlignment="1">
      <alignment horizontal="left" vertical="center"/>
    </xf>
    <xf numFmtId="165" fontId="8" fillId="6" borderId="6" xfId="3" applyFont="1" applyFill="1" applyBorder="1" applyAlignment="1">
      <alignment horizontal="left" vertical="center"/>
    </xf>
    <xf numFmtId="165" fontId="8" fillId="6" borderId="7" xfId="3" applyFont="1" applyFill="1" applyBorder="1" applyAlignment="1">
      <alignment horizontal="left" vertical="center"/>
    </xf>
    <xf numFmtId="165" fontId="7" fillId="0" borderId="5" xfId="3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5" fillId="0" borderId="17" xfId="3" applyFont="1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165" fontId="7" fillId="0" borderId="51" xfId="3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165" fontId="5" fillId="0" borderId="12" xfId="3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165" fontId="14" fillId="0" borderId="12" xfId="3" applyFont="1" applyBorder="1" applyAlignment="1">
      <alignment horizontal="left" vertical="center"/>
    </xf>
    <xf numFmtId="165" fontId="14" fillId="0" borderId="51" xfId="3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7" fillId="0" borderId="5" xfId="3" applyFont="1" applyFill="1" applyBorder="1" applyAlignment="1">
      <alignment horizontal="left" vertical="center"/>
    </xf>
    <xf numFmtId="165" fontId="7" fillId="0" borderId="6" xfId="3" applyFont="1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5" fontId="5" fillId="0" borderId="51" xfId="3" applyFont="1" applyFill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165" fontId="5" fillId="0" borderId="12" xfId="3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65" fontId="7" fillId="0" borderId="67" xfId="3" applyFont="1" applyBorder="1" applyAlignment="1">
      <alignment horizontal="center" vertical="center"/>
    </xf>
    <xf numFmtId="165" fontId="7" fillId="0" borderId="6" xfId="3" applyFont="1" applyBorder="1" applyAlignment="1">
      <alignment horizontal="center" vertical="center"/>
    </xf>
    <xf numFmtId="165" fontId="7" fillId="0" borderId="7" xfId="3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65" fontId="7" fillId="5" borderId="5" xfId="3" applyFont="1" applyFill="1" applyBorder="1" applyAlignment="1">
      <alignment horizontal="center" vertical="center"/>
    </xf>
    <xf numFmtId="165" fontId="7" fillId="5" borderId="7" xfId="3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38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6" borderId="39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4" fontId="25" fillId="0" borderId="5" xfId="0" applyNumberFormat="1" applyFont="1" applyBorder="1" applyAlignment="1">
      <alignment horizontal="center" vertical="center"/>
    </xf>
    <xf numFmtId="4" fontId="25" fillId="0" borderId="6" xfId="0" applyNumberFormat="1" applyFont="1" applyBorder="1" applyAlignment="1">
      <alignment horizontal="center" vertical="center"/>
    </xf>
    <xf numFmtId="4" fontId="25" fillId="0" borderId="7" xfId="0" applyNumberFormat="1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FFFF99"/>
      <color rgb="FF66FFFF"/>
      <color rgb="FF00FF00"/>
      <color rgb="FFFF66FF"/>
      <color rgb="FFFF3399"/>
      <color rgb="FFCCFFCC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3"/>
  <sheetViews>
    <sheetView tabSelected="1" zoomScale="110" zoomScaleNormal="110" zoomScaleSheetLayoutView="110" workbookViewId="0">
      <selection activeCell="N13" sqref="N13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4.140625" style="4" bestFit="1" customWidth="1"/>
    <col min="4" max="4" width="12.85546875" style="4" bestFit="1" customWidth="1"/>
    <col min="5" max="5" width="14.7109375" style="5" customWidth="1"/>
    <col min="6" max="6" width="13.42578125" style="5" bestFit="1" customWidth="1"/>
    <col min="7" max="7" width="14.140625" style="5" bestFit="1" customWidth="1"/>
    <col min="8" max="8" width="8.28515625" style="5" customWidth="1"/>
    <col min="9" max="9" width="14.42578125" style="4" customWidth="1"/>
    <col min="10" max="11" width="10.5703125" style="4" bestFit="1" customWidth="1"/>
    <col min="12" max="16384" width="9.140625" style="4"/>
  </cols>
  <sheetData>
    <row r="1" spans="1:8" s="88" customFormat="1" ht="23.25" customHeight="1" thickBot="1" x14ac:dyDescent="0.25">
      <c r="A1" s="327" t="s">
        <v>183</v>
      </c>
      <c r="B1" s="328"/>
      <c r="C1" s="328"/>
      <c r="D1" s="328"/>
      <c r="E1" s="328"/>
      <c r="F1" s="328"/>
      <c r="G1" s="328"/>
      <c r="H1" s="329"/>
    </row>
    <row r="2" spans="1:8" s="2" customFormat="1" ht="15.75" customHeight="1" thickBot="1" x14ac:dyDescent="0.25">
      <c r="A2" s="209" t="s">
        <v>198</v>
      </c>
      <c r="B2" s="210"/>
      <c r="C2" s="243" t="s">
        <v>215</v>
      </c>
      <c r="D2" s="226"/>
      <c r="E2" s="226"/>
      <c r="F2" s="226"/>
      <c r="G2" s="226"/>
      <c r="H2" s="227"/>
    </row>
    <row r="3" spans="1:8" s="88" customFormat="1" ht="23.25" customHeight="1" thickBot="1" x14ac:dyDescent="0.25">
      <c r="A3" s="223" t="s">
        <v>96</v>
      </c>
      <c r="B3" s="228" t="s">
        <v>261</v>
      </c>
      <c r="C3" s="222" t="s">
        <v>221</v>
      </c>
      <c r="D3" s="330"/>
      <c r="E3" s="331"/>
      <c r="F3" s="222" t="s">
        <v>213</v>
      </c>
      <c r="G3" s="332">
        <v>45930</v>
      </c>
      <c r="H3" s="333"/>
    </row>
    <row r="4" spans="1:8" s="3" customFormat="1" ht="18.75" thickBot="1" x14ac:dyDescent="0.3">
      <c r="A4" s="224" t="s">
        <v>227</v>
      </c>
      <c r="B4" s="334" t="s">
        <v>254</v>
      </c>
      <c r="C4" s="334"/>
      <c r="D4" s="284" t="s">
        <v>228</v>
      </c>
      <c r="E4" s="194" t="s">
        <v>259</v>
      </c>
      <c r="F4" s="194"/>
      <c r="G4" s="194"/>
      <c r="H4" s="195"/>
    </row>
    <row r="5" spans="1:8" s="2" customFormat="1" ht="10.9" customHeight="1" thickBot="1" x14ac:dyDescent="0.25">
      <c r="A5" s="196"/>
      <c r="B5" s="197"/>
      <c r="C5" s="198"/>
      <c r="D5" s="198"/>
      <c r="E5" s="199"/>
      <c r="F5" s="199"/>
      <c r="G5" s="199"/>
      <c r="H5" s="200"/>
    </row>
    <row r="6" spans="1:8" s="2" customFormat="1" ht="15.75" customHeight="1" thickBot="1" x14ac:dyDescent="0.25">
      <c r="A6" s="209" t="s">
        <v>199</v>
      </c>
      <c r="B6" s="210"/>
      <c r="C6" s="210"/>
      <c r="D6" s="210"/>
      <c r="E6" s="210"/>
      <c r="F6" s="210"/>
      <c r="G6" s="210"/>
      <c r="H6" s="211"/>
    </row>
    <row r="7" spans="1:8" s="2" customFormat="1" ht="16.5" thickBot="1" x14ac:dyDescent="0.25">
      <c r="A7" s="123" t="s">
        <v>118</v>
      </c>
      <c r="B7" s="123"/>
      <c r="C7" s="335" t="s">
        <v>108</v>
      </c>
      <c r="D7" s="336"/>
      <c r="E7" s="335" t="s">
        <v>109</v>
      </c>
      <c r="F7" s="336"/>
      <c r="G7" s="335" t="s">
        <v>112</v>
      </c>
      <c r="H7" s="336"/>
    </row>
    <row r="8" spans="1:8" s="2" customFormat="1" ht="28.5" customHeight="1" x14ac:dyDescent="0.2">
      <c r="A8" s="339" t="s">
        <v>85</v>
      </c>
      <c r="B8" s="340"/>
      <c r="C8" s="105" t="s">
        <v>110</v>
      </c>
      <c r="D8" s="22" t="s">
        <v>111</v>
      </c>
      <c r="E8" s="105" t="s">
        <v>110</v>
      </c>
      <c r="F8" s="22" t="s">
        <v>111</v>
      </c>
      <c r="G8" s="105" t="s">
        <v>110</v>
      </c>
      <c r="H8" s="22" t="s">
        <v>111</v>
      </c>
    </row>
    <row r="9" spans="1:8" s="6" customFormat="1" ht="15.75" customHeight="1" x14ac:dyDescent="0.2">
      <c r="A9" s="341" t="str">
        <f>A46</f>
        <v>1. Mão-de-obra</v>
      </c>
      <c r="B9" s="338"/>
      <c r="C9" s="101">
        <f>+G75</f>
        <v>855.96456000000012</v>
      </c>
      <c r="D9" s="37">
        <f>SUM(D10:D12)</f>
        <v>0.1706</v>
      </c>
      <c r="E9" s="101">
        <f>G75</f>
        <v>855.96456000000012</v>
      </c>
      <c r="F9" s="37">
        <f>SUM(F10:F12)</f>
        <v>0.1814500271810609</v>
      </c>
      <c r="G9" s="101">
        <f>G76</f>
        <v>703.44378500000005</v>
      </c>
      <c r="H9" s="37">
        <f>SUM(H10:H12)</f>
        <v>0.15479999999999999</v>
      </c>
    </row>
    <row r="10" spans="1:8" s="2" customFormat="1" ht="15.75" customHeight="1" x14ac:dyDescent="0.2">
      <c r="A10" s="342" t="s">
        <v>222</v>
      </c>
      <c r="B10" s="338"/>
      <c r="C10" s="102">
        <f>G54</f>
        <v>688.53697000000011</v>
      </c>
      <c r="D10" s="26">
        <f>ROUND(IFERROR(C10/$C$25,0),4)</f>
        <v>0.13730000000000001</v>
      </c>
      <c r="E10" s="102">
        <f t="shared" ref="E10:E21" si="0">C10</f>
        <v>688.53697000000011</v>
      </c>
      <c r="F10" s="26">
        <f>(IFERROR(E10/$E$25,0))</f>
        <v>0.14595820640245352</v>
      </c>
      <c r="G10" s="102">
        <f>G60</f>
        <v>536.01619500000004</v>
      </c>
      <c r="H10" s="26">
        <f t="shared" ref="H10:H20" si="1">ROUND(IFERROR(G10/$G$25,0),4)</f>
        <v>0.1179</v>
      </c>
    </row>
    <row r="11" spans="1:8" s="2" customFormat="1" ht="15.75" customHeight="1" x14ac:dyDescent="0.2">
      <c r="A11" s="343" t="str">
        <f>A62</f>
        <v>1.2. Vale Transporte</v>
      </c>
      <c r="B11" s="338"/>
      <c r="C11" s="102">
        <f>G67</f>
        <v>20.797590000000003</v>
      </c>
      <c r="D11" s="26">
        <f>ROUND(IFERROR(C11/$C$25,0),4)</f>
        <v>4.1000000000000003E-3</v>
      </c>
      <c r="E11" s="102">
        <f t="shared" si="0"/>
        <v>20.797590000000003</v>
      </c>
      <c r="F11" s="26">
        <f>(IFERROR(E11/$E$25,0))</f>
        <v>4.4087377528814519E-3</v>
      </c>
      <c r="G11" s="102">
        <f t="shared" ref="G11:G20" si="2">E11</f>
        <v>20.797590000000003</v>
      </c>
      <c r="H11" s="26">
        <f t="shared" si="1"/>
        <v>4.5999999999999999E-3</v>
      </c>
    </row>
    <row r="12" spans="1:8" s="2" customFormat="1" ht="15.75" customHeight="1" x14ac:dyDescent="0.2">
      <c r="A12" s="343" t="str">
        <f>A69</f>
        <v>1.3. Vale-refeição (diário)</v>
      </c>
      <c r="B12" s="338"/>
      <c r="C12" s="102">
        <f>G72</f>
        <v>146.63000000000002</v>
      </c>
      <c r="D12" s="26">
        <f>ROUND(IFERROR(C12/$C$25,0),4)</f>
        <v>2.92E-2</v>
      </c>
      <c r="E12" s="102">
        <f t="shared" si="0"/>
        <v>146.63000000000002</v>
      </c>
      <c r="F12" s="26">
        <f>(IFERROR(E12/$E$25,0))</f>
        <v>3.1083083025725926E-2</v>
      </c>
      <c r="G12" s="102">
        <f t="shared" si="2"/>
        <v>146.63000000000002</v>
      </c>
      <c r="H12" s="26">
        <f t="shared" si="1"/>
        <v>3.2300000000000002E-2</v>
      </c>
    </row>
    <row r="13" spans="1:8" s="6" customFormat="1" ht="15.75" customHeight="1" x14ac:dyDescent="0.2">
      <c r="A13" s="341" t="str">
        <f>A78</f>
        <v>2. Veículos</v>
      </c>
      <c r="B13" s="338"/>
      <c r="C13" s="101">
        <f>+G145</f>
        <v>2850.0024627458333</v>
      </c>
      <c r="D13" s="37">
        <f>SUM(D14:D20)</f>
        <v>0.56809999999999994</v>
      </c>
      <c r="E13" s="101">
        <f t="shared" si="0"/>
        <v>2850.0024627458333</v>
      </c>
      <c r="F13" s="37">
        <f>SUM(F14:F20)</f>
        <v>0.60415237791074183</v>
      </c>
      <c r="G13" s="101">
        <f t="shared" si="2"/>
        <v>2850.0024627458333</v>
      </c>
      <c r="H13" s="37">
        <f>SUM(H14:H20)</f>
        <v>0.627</v>
      </c>
    </row>
    <row r="14" spans="1:8" s="2" customFormat="1" ht="15.75" customHeight="1" x14ac:dyDescent="0.2">
      <c r="A14" s="337" t="str">
        <f>A79</f>
        <v>2.1 Depreciação</v>
      </c>
      <c r="B14" s="338"/>
      <c r="C14" s="102">
        <f>G86</f>
        <v>327.19546607916675</v>
      </c>
      <c r="D14" s="43">
        <f t="shared" ref="D14:D22" si="3">ROUND(IFERROR(C14/$C$25,0),4)</f>
        <v>6.5199999999999994E-2</v>
      </c>
      <c r="E14" s="102">
        <f t="shared" si="0"/>
        <v>327.19546607916675</v>
      </c>
      <c r="F14" s="26">
        <f t="shared" ref="F14:F21" si="4">(IFERROR(E14/$E$25,0))</f>
        <v>6.9359911599125884E-2</v>
      </c>
      <c r="G14" s="102">
        <f t="shared" si="2"/>
        <v>327.19546607916675</v>
      </c>
      <c r="H14" s="43">
        <f t="shared" si="1"/>
        <v>7.1999999999999995E-2</v>
      </c>
    </row>
    <row r="15" spans="1:8" s="2" customFormat="1" ht="15.75" customHeight="1" x14ac:dyDescent="0.2">
      <c r="A15" s="337" t="str">
        <f>A87</f>
        <v>2.2 Remuneração do Capital</v>
      </c>
      <c r="B15" s="338"/>
      <c r="C15" s="102">
        <f>G97</f>
        <v>532.12368000000004</v>
      </c>
      <c r="D15" s="43">
        <f t="shared" si="3"/>
        <v>0.1061</v>
      </c>
      <c r="E15" s="102">
        <f t="shared" si="0"/>
        <v>532.12368000000004</v>
      </c>
      <c r="F15" s="26">
        <f t="shared" si="4"/>
        <v>0.11280123116275532</v>
      </c>
      <c r="G15" s="102">
        <f t="shared" si="2"/>
        <v>532.12368000000004</v>
      </c>
      <c r="H15" s="43">
        <f t="shared" si="1"/>
        <v>0.1171</v>
      </c>
    </row>
    <row r="16" spans="1:8" s="2" customFormat="1" ht="15.75" customHeight="1" x14ac:dyDescent="0.2">
      <c r="A16" s="337" t="str">
        <f>A98</f>
        <v>2.3. Impostos e Seguros</v>
      </c>
      <c r="B16" s="338"/>
      <c r="C16" s="102">
        <f>G107</f>
        <v>97.406649999999999</v>
      </c>
      <c r="D16" s="43">
        <f t="shared" si="3"/>
        <v>1.9400000000000001E-2</v>
      </c>
      <c r="E16" s="102">
        <f t="shared" si="0"/>
        <v>97.406649999999999</v>
      </c>
      <c r="F16" s="26">
        <f t="shared" si="4"/>
        <v>2.0648564340229325E-2</v>
      </c>
      <c r="G16" s="102">
        <f t="shared" si="2"/>
        <v>97.406649999999999</v>
      </c>
      <c r="H16" s="43">
        <f t="shared" si="1"/>
        <v>2.1399999999999999E-2</v>
      </c>
    </row>
    <row r="17" spans="1:10" s="2" customFormat="1" ht="15.75" customHeight="1" x14ac:dyDescent="0.2">
      <c r="A17" s="337" t="str">
        <f>A108</f>
        <v>2.4. Consumos</v>
      </c>
      <c r="B17" s="338"/>
      <c r="C17" s="102">
        <f>G123</f>
        <v>940.87</v>
      </c>
      <c r="D17" s="43">
        <f t="shared" si="3"/>
        <v>0.18759999999999999</v>
      </c>
      <c r="E17" s="102">
        <f t="shared" si="0"/>
        <v>940.87</v>
      </c>
      <c r="F17" s="26">
        <f t="shared" si="4"/>
        <v>0.19944854618028199</v>
      </c>
      <c r="G17" s="102">
        <f t="shared" si="2"/>
        <v>940.87</v>
      </c>
      <c r="H17" s="43">
        <f t="shared" si="1"/>
        <v>0.20699999999999999</v>
      </c>
    </row>
    <row r="18" spans="1:10" s="2" customFormat="1" ht="15.75" customHeight="1" x14ac:dyDescent="0.2">
      <c r="A18" s="337" t="str">
        <f>A125</f>
        <v>2.5. Manutenção</v>
      </c>
      <c r="B18" s="338"/>
      <c r="C18" s="102">
        <f>G129</f>
        <v>760</v>
      </c>
      <c r="D18" s="43">
        <f t="shared" si="3"/>
        <v>0.1515</v>
      </c>
      <c r="E18" s="102">
        <f t="shared" si="0"/>
        <v>760</v>
      </c>
      <c r="F18" s="26">
        <f t="shared" si="4"/>
        <v>0.16110716156006069</v>
      </c>
      <c r="G18" s="102">
        <f t="shared" si="2"/>
        <v>760</v>
      </c>
      <c r="H18" s="43">
        <f t="shared" si="1"/>
        <v>0.16719999999999999</v>
      </c>
    </row>
    <row r="19" spans="1:10" s="2" customFormat="1" ht="15.75" customHeight="1" x14ac:dyDescent="0.2">
      <c r="A19" s="337" t="str">
        <f>A131</f>
        <v>2.6. Pneus</v>
      </c>
      <c r="B19" s="338"/>
      <c r="C19" s="102">
        <f>G137</f>
        <v>120</v>
      </c>
      <c r="D19" s="43">
        <f t="shared" si="3"/>
        <v>2.3900000000000001E-2</v>
      </c>
      <c r="E19" s="102">
        <f t="shared" si="0"/>
        <v>120</v>
      </c>
      <c r="F19" s="26">
        <f t="shared" si="4"/>
        <v>2.5437972877904322E-2</v>
      </c>
      <c r="G19" s="102">
        <f t="shared" si="2"/>
        <v>120</v>
      </c>
      <c r="H19" s="43">
        <f t="shared" si="1"/>
        <v>2.64E-2</v>
      </c>
    </row>
    <row r="20" spans="1:10" s="2" customFormat="1" ht="15.75" customHeight="1" x14ac:dyDescent="0.2">
      <c r="A20" s="323" t="str">
        <f>A139</f>
        <v>2.7. Rastreador GPS</v>
      </c>
      <c r="B20" s="322"/>
      <c r="C20" s="102">
        <f>G143</f>
        <v>72.406666666666666</v>
      </c>
      <c r="D20" s="43">
        <f t="shared" si="3"/>
        <v>1.44E-2</v>
      </c>
      <c r="E20" s="102">
        <f t="shared" si="0"/>
        <v>72.406666666666666</v>
      </c>
      <c r="F20" s="26">
        <f t="shared" si="4"/>
        <v>1.5348990190384378E-2</v>
      </c>
      <c r="G20" s="102">
        <f t="shared" si="2"/>
        <v>72.406666666666666</v>
      </c>
      <c r="H20" s="43">
        <f t="shared" si="1"/>
        <v>1.5900000000000001E-2</v>
      </c>
    </row>
    <row r="21" spans="1:10" s="6" customFormat="1" ht="15.75" customHeight="1" x14ac:dyDescent="0.2">
      <c r="A21" s="341" t="str">
        <f>A147</f>
        <v>3. Ferramentas e Materiais de Consumo</v>
      </c>
      <c r="B21" s="338"/>
      <c r="C21" s="101">
        <f>+G155</f>
        <v>100.5</v>
      </c>
      <c r="D21" s="37">
        <f t="shared" si="3"/>
        <v>0.02</v>
      </c>
      <c r="E21" s="101">
        <f t="shared" si="0"/>
        <v>100.5</v>
      </c>
      <c r="F21" s="37">
        <f t="shared" si="4"/>
        <v>2.130430228524487E-2</v>
      </c>
      <c r="G21" s="101">
        <f>E21</f>
        <v>100.5</v>
      </c>
      <c r="H21" s="37">
        <f>ROUND(IFERROR(G21/$G$25,0),4)</f>
        <v>2.2100000000000002E-2</v>
      </c>
    </row>
    <row r="22" spans="1:10" s="6" customFormat="1" ht="15.75" customHeight="1" x14ac:dyDescent="0.2">
      <c r="A22" s="357" t="str">
        <f>A160</f>
        <v>4. Benefícios e Desp. Ind. - BDI - LUCRO REAL</v>
      </c>
      <c r="B22" s="338"/>
      <c r="C22" s="101">
        <f>+G165</f>
        <v>1208.55</v>
      </c>
      <c r="D22" s="37">
        <f t="shared" si="3"/>
        <v>0.24099999999999999</v>
      </c>
      <c r="E22" s="109"/>
      <c r="F22" s="104"/>
      <c r="G22" s="109"/>
      <c r="H22" s="107"/>
    </row>
    <row r="23" spans="1:10" s="6" customFormat="1" ht="15.75" customHeight="1" x14ac:dyDescent="0.2">
      <c r="A23" s="357" t="str">
        <f>A173</f>
        <v>5. Benefícios e Desp. Ind. - BDI - LUCRO PRESUMIDO</v>
      </c>
      <c r="B23" s="338"/>
      <c r="C23" s="109"/>
      <c r="D23" s="106"/>
      <c r="E23" s="101">
        <f>G179</f>
        <v>910.89</v>
      </c>
      <c r="F23" s="37">
        <f>(IFERROR(E23/$E$25,0))</f>
        <v>0.19309329262295222</v>
      </c>
      <c r="G23" s="109"/>
      <c r="H23" s="108"/>
    </row>
    <row r="24" spans="1:10" s="6" customFormat="1" ht="15.75" customHeight="1" thickBot="1" x14ac:dyDescent="0.25">
      <c r="A24" s="358" t="str">
        <f>A187</f>
        <v>6. Benef. Desp. Ind. + Impostos - SIMPLES NACIONAL</v>
      </c>
      <c r="B24" s="359"/>
      <c r="C24" s="110"/>
      <c r="D24" s="111"/>
      <c r="E24" s="110"/>
      <c r="F24" s="104"/>
      <c r="G24" s="112">
        <f>G190+G203</f>
        <v>891.33</v>
      </c>
      <c r="H24" s="103">
        <f>ROUND(IFERROR(G24/$G$25,0),4)</f>
        <v>0.1961</v>
      </c>
    </row>
    <row r="25" spans="1:10" s="2" customFormat="1" ht="15.75" customHeight="1" thickBot="1" x14ac:dyDescent="0.25">
      <c r="A25" s="347" t="s">
        <v>184</v>
      </c>
      <c r="B25" s="360"/>
      <c r="C25" s="283">
        <f>C9+C13+C21+C22</f>
        <v>5015.0170227458339</v>
      </c>
      <c r="D25" s="291">
        <f>D9+D13+D21+D22</f>
        <v>0.99969999999999992</v>
      </c>
      <c r="E25" s="283">
        <f>E9+E13+E21+E23</f>
        <v>4717.357022745834</v>
      </c>
      <c r="F25" s="291">
        <f>F9+F13+F21+F23</f>
        <v>0.99999999999999978</v>
      </c>
      <c r="G25" s="283">
        <f>G9+G13+G21+G24</f>
        <v>4545.2762477458336</v>
      </c>
      <c r="H25" s="291">
        <f>H9+H13+H21+H24</f>
        <v>1</v>
      </c>
      <c r="I25" s="319"/>
      <c r="J25" s="312"/>
    </row>
    <row r="26" spans="1:10" s="2" customFormat="1" ht="15.75" customHeight="1" thickBot="1" x14ac:dyDescent="0.25">
      <c r="A26" s="347" t="s">
        <v>185</v>
      </c>
      <c r="B26" s="360"/>
      <c r="C26" s="122">
        <f>G171</f>
        <v>4.18</v>
      </c>
      <c r="D26" s="42"/>
      <c r="E26" s="122">
        <f>G185</f>
        <v>3.93</v>
      </c>
      <c r="F26" s="42"/>
      <c r="G26" s="283">
        <f>G210</f>
        <v>3.79</v>
      </c>
      <c r="H26" s="42"/>
      <c r="J26" s="312"/>
    </row>
    <row r="27" spans="1:10" ht="13.5" thickBot="1" x14ac:dyDescent="0.25">
      <c r="A27" s="113"/>
      <c r="B27" s="114"/>
      <c r="C27" s="114"/>
      <c r="D27" s="114"/>
      <c r="E27" s="115"/>
      <c r="F27" s="115"/>
      <c r="G27" s="125"/>
      <c r="H27" s="174"/>
    </row>
    <row r="28" spans="1:10" s="2" customFormat="1" ht="15" customHeight="1" thickBot="1" x14ac:dyDescent="0.25">
      <c r="A28" s="344" t="s">
        <v>214</v>
      </c>
      <c r="B28" s="345"/>
      <c r="C28" s="345"/>
      <c r="D28" s="345"/>
      <c r="E28" s="345"/>
      <c r="F28" s="345"/>
      <c r="G28" s="346"/>
      <c r="H28" s="175"/>
    </row>
    <row r="29" spans="1:10" s="2" customFormat="1" ht="15" customHeight="1" thickBot="1" x14ac:dyDescent="0.25">
      <c r="A29" s="347" t="s">
        <v>200</v>
      </c>
      <c r="B29" s="348"/>
      <c r="C29" s="14"/>
      <c r="D29" s="14"/>
      <c r="E29" s="162"/>
      <c r="F29" s="156" t="s">
        <v>20</v>
      </c>
      <c r="G29" s="156" t="s">
        <v>141</v>
      </c>
      <c r="H29" s="175"/>
    </row>
    <row r="30" spans="1:10" s="2" customFormat="1" ht="15" customHeight="1" x14ac:dyDescent="0.2">
      <c r="A30" s="349" t="s">
        <v>248</v>
      </c>
      <c r="B30" s="350"/>
      <c r="C30" s="154"/>
      <c r="D30" s="154"/>
      <c r="E30" s="155"/>
      <c r="F30" s="229">
        <v>1</v>
      </c>
      <c r="G30" s="230">
        <v>2367</v>
      </c>
      <c r="H30" s="176"/>
      <c r="I30" s="292"/>
    </row>
    <row r="31" spans="1:10" s="2" customFormat="1" ht="15" customHeight="1" thickBot="1" x14ac:dyDescent="0.25">
      <c r="A31" s="351" t="s">
        <v>25</v>
      </c>
      <c r="B31" s="352"/>
      <c r="C31" s="28"/>
      <c r="D31" s="28"/>
      <c r="E31" s="29"/>
      <c r="F31" s="30">
        <f>SUM(F30:F30)</f>
        <v>1</v>
      </c>
      <c r="G31" s="153">
        <f>SUM(G30:G30)</f>
        <v>2367</v>
      </c>
      <c r="H31" s="176"/>
    </row>
    <row r="32" spans="1:10" s="2" customFormat="1" ht="15" customHeight="1" thickBot="1" x14ac:dyDescent="0.25">
      <c r="A32" s="38"/>
      <c r="B32" s="20"/>
      <c r="C32" s="39"/>
      <c r="D32" s="27"/>
      <c r="E32" s="17"/>
      <c r="F32" s="17"/>
      <c r="G32" s="18"/>
      <c r="H32" s="176"/>
    </row>
    <row r="33" spans="1:9" s="2" customFormat="1" ht="33" customHeight="1" x14ac:dyDescent="0.2">
      <c r="A33" s="353" t="s">
        <v>201</v>
      </c>
      <c r="B33" s="354"/>
      <c r="C33" s="163" t="s">
        <v>182</v>
      </c>
      <c r="D33" s="163" t="s">
        <v>241</v>
      </c>
      <c r="E33" s="163" t="s">
        <v>142</v>
      </c>
      <c r="F33" s="172" t="s">
        <v>20</v>
      </c>
      <c r="G33" s="159" t="s">
        <v>143</v>
      </c>
      <c r="H33" s="176"/>
    </row>
    <row r="34" spans="1:9" s="2" customFormat="1" ht="31.5" customHeight="1" x14ac:dyDescent="0.2">
      <c r="A34" s="355" t="s">
        <v>255</v>
      </c>
      <c r="B34" s="356"/>
      <c r="C34" s="232">
        <v>10</v>
      </c>
      <c r="D34" s="167">
        <f>1/C34</f>
        <v>0.1</v>
      </c>
      <c r="E34" s="232">
        <v>18</v>
      </c>
      <c r="F34" s="233">
        <v>1</v>
      </c>
      <c r="G34" s="231">
        <v>353305</v>
      </c>
      <c r="H34" s="176"/>
    </row>
    <row r="35" spans="1:9" s="2" customFormat="1" ht="15" customHeight="1" thickBot="1" x14ac:dyDescent="0.25">
      <c r="A35" s="369" t="s">
        <v>175</v>
      </c>
      <c r="B35" s="370"/>
      <c r="C35" s="165"/>
      <c r="D35" s="168"/>
      <c r="E35" s="165"/>
      <c r="F35" s="234">
        <v>8</v>
      </c>
      <c r="G35" s="280">
        <v>5.58</v>
      </c>
      <c r="H35" s="176"/>
    </row>
    <row r="36" spans="1:9" s="2" customFormat="1" ht="15" customHeight="1" thickBot="1" x14ac:dyDescent="0.25">
      <c r="A36" s="157"/>
      <c r="B36" s="189"/>
      <c r="C36" s="90"/>
      <c r="D36" s="90"/>
      <c r="E36" s="90"/>
      <c r="F36" s="278"/>
      <c r="G36" s="279"/>
      <c r="H36" s="176"/>
    </row>
    <row r="37" spans="1:9" s="2" customFormat="1" x14ac:dyDescent="0.2">
      <c r="A37" s="353" t="s">
        <v>202</v>
      </c>
      <c r="B37" s="366"/>
      <c r="C37" s="172" t="s">
        <v>27</v>
      </c>
      <c r="D37" s="163"/>
      <c r="E37" s="163"/>
      <c r="F37" s="172" t="s">
        <v>146</v>
      </c>
      <c r="G37" s="158" t="s">
        <v>147</v>
      </c>
      <c r="H37" s="184"/>
    </row>
    <row r="38" spans="1:9" s="2" customFormat="1" ht="15" customHeight="1" x14ac:dyDescent="0.2">
      <c r="A38" s="371" t="s">
        <v>144</v>
      </c>
      <c r="B38" s="372"/>
      <c r="C38" s="166" t="s">
        <v>139</v>
      </c>
      <c r="D38" s="167"/>
      <c r="E38" s="167"/>
      <c r="F38" s="233">
        <v>60</v>
      </c>
      <c r="G38" s="169">
        <f>F38*F39</f>
        <v>1200</v>
      </c>
      <c r="H38" s="176"/>
      <c r="I38" s="292">
        <f>G38*12</f>
        <v>14400</v>
      </c>
    </row>
    <row r="39" spans="1:9" s="2" customFormat="1" ht="15" customHeight="1" thickBot="1" x14ac:dyDescent="0.25">
      <c r="A39" s="369" t="s">
        <v>233</v>
      </c>
      <c r="B39" s="370"/>
      <c r="C39" s="164" t="s">
        <v>145</v>
      </c>
      <c r="D39" s="165"/>
      <c r="E39" s="165"/>
      <c r="F39" s="234">
        <v>20</v>
      </c>
      <c r="G39" s="326" t="s">
        <v>258</v>
      </c>
      <c r="H39" s="176"/>
    </row>
    <row r="40" spans="1:9" s="2" customFormat="1" ht="15" customHeight="1" thickBot="1" x14ac:dyDescent="0.25">
      <c r="A40" s="369" t="s">
        <v>256</v>
      </c>
      <c r="B40" s="370"/>
      <c r="C40" s="164" t="s">
        <v>13</v>
      </c>
      <c r="D40" s="165"/>
      <c r="E40" s="165"/>
      <c r="F40" s="234">
        <v>40</v>
      </c>
      <c r="G40" s="326">
        <f>F38/F40</f>
        <v>1.5</v>
      </c>
      <c r="H40" s="176"/>
    </row>
    <row r="41" spans="1:9" s="2" customFormat="1" ht="15" customHeight="1" thickBot="1" x14ac:dyDescent="0.25">
      <c r="A41" s="157"/>
      <c r="B41" s="189"/>
      <c r="C41" s="90"/>
      <c r="D41" s="90"/>
      <c r="E41" s="17"/>
      <c r="F41" s="160"/>
      <c r="G41" s="161"/>
      <c r="H41" s="176"/>
    </row>
    <row r="42" spans="1:9" s="2" customFormat="1" ht="15" customHeight="1" thickBot="1" x14ac:dyDescent="0.25">
      <c r="A42" s="313" t="s">
        <v>245</v>
      </c>
      <c r="B42" s="189"/>
      <c r="C42" s="172" t="s">
        <v>0</v>
      </c>
      <c r="D42" s="373" t="s">
        <v>246</v>
      </c>
      <c r="E42" s="374"/>
      <c r="F42" s="374"/>
      <c r="G42" s="375"/>
      <c r="H42" s="184"/>
    </row>
    <row r="43" spans="1:9" s="6" customFormat="1" ht="15.75" customHeight="1" thickBot="1" x14ac:dyDescent="0.25">
      <c r="A43" s="361" t="s">
        <v>247</v>
      </c>
      <c r="B43" s="348"/>
      <c r="C43" s="314">
        <f>G40/8.8</f>
        <v>0.17045454545454544</v>
      </c>
      <c r="D43" s="347" t="s">
        <v>249</v>
      </c>
      <c r="E43" s="362"/>
      <c r="F43" s="362"/>
      <c r="G43" s="315"/>
      <c r="H43" s="184"/>
      <c r="I43" s="2"/>
    </row>
    <row r="44" spans="1:9" s="2" customFormat="1" ht="15" customHeight="1" thickBot="1" x14ac:dyDescent="0.25">
      <c r="A44" s="157"/>
      <c r="B44" s="189"/>
      <c r="C44" s="90"/>
      <c r="D44" s="90"/>
      <c r="E44" s="17"/>
      <c r="F44" s="160"/>
      <c r="G44" s="161"/>
      <c r="H44" s="176"/>
    </row>
    <row r="45" spans="1:9" s="2" customFormat="1" ht="15" customHeight="1" thickBot="1" x14ac:dyDescent="0.25">
      <c r="A45" s="344" t="s">
        <v>203</v>
      </c>
      <c r="B45" s="345"/>
      <c r="C45" s="345"/>
      <c r="D45" s="345"/>
      <c r="E45" s="345"/>
      <c r="F45" s="345"/>
      <c r="G45" s="346"/>
      <c r="H45" s="175"/>
    </row>
    <row r="46" spans="1:9" ht="11.25" customHeight="1" x14ac:dyDescent="0.2">
      <c r="A46" s="96" t="s">
        <v>23</v>
      </c>
      <c r="B46" s="6"/>
      <c r="E46" s="27"/>
      <c r="F46" s="27"/>
      <c r="G46" s="40"/>
      <c r="H46" s="176"/>
    </row>
    <row r="47" spans="1:9" ht="13.5" thickBot="1" x14ac:dyDescent="0.25">
      <c r="A47" s="96" t="s">
        <v>223</v>
      </c>
      <c r="B47" s="6"/>
      <c r="E47" s="27"/>
      <c r="F47" s="27"/>
      <c r="G47" s="40"/>
      <c r="H47" s="176"/>
    </row>
    <row r="48" spans="1:9" s="7" customFormat="1" ht="13.15" customHeight="1" thickBot="1" x14ac:dyDescent="0.25">
      <c r="A48" s="363" t="s">
        <v>26</v>
      </c>
      <c r="B48" s="364"/>
      <c r="C48" s="212" t="s">
        <v>27</v>
      </c>
      <c r="D48" s="212" t="s">
        <v>20</v>
      </c>
      <c r="E48" s="213" t="s">
        <v>90</v>
      </c>
      <c r="F48" s="213" t="s">
        <v>28</v>
      </c>
      <c r="G48" s="214" t="s">
        <v>29</v>
      </c>
      <c r="H48" s="214" t="s">
        <v>140</v>
      </c>
    </row>
    <row r="49" spans="1:9" x14ac:dyDescent="0.2">
      <c r="A49" s="365" t="s">
        <v>125</v>
      </c>
      <c r="B49" s="366"/>
      <c r="C49" s="8" t="s">
        <v>5</v>
      </c>
      <c r="D49" s="8">
        <v>1</v>
      </c>
      <c r="E49" s="170">
        <f>G30</f>
        <v>2367</v>
      </c>
      <c r="F49" s="9">
        <f>D49*E49</f>
        <v>2367</v>
      </c>
      <c r="G49" s="126"/>
      <c r="H49" s="126"/>
    </row>
    <row r="50" spans="1:9" s="6" customFormat="1" x14ac:dyDescent="0.2">
      <c r="A50" s="367" t="s">
        <v>1</v>
      </c>
      <c r="B50" s="368"/>
      <c r="C50" s="91"/>
      <c r="D50" s="91"/>
      <c r="E50" s="19"/>
      <c r="F50" s="35">
        <f>SUM(F49:F49)</f>
        <v>2367</v>
      </c>
      <c r="G50" s="128"/>
      <c r="H50" s="176"/>
    </row>
    <row r="51" spans="1:9" x14ac:dyDescent="0.2">
      <c r="A51" s="377" t="s">
        <v>2</v>
      </c>
      <c r="B51" s="372"/>
      <c r="C51" s="10" t="s">
        <v>0</v>
      </c>
      <c r="D51" s="41">
        <f>'Enc. Soc. - LR-LP e SN'!C$28*100</f>
        <v>70.61</v>
      </c>
      <c r="E51" s="11">
        <f>F50</f>
        <v>2367</v>
      </c>
      <c r="F51" s="11">
        <f>ROUND(E51*D51/100,2)</f>
        <v>1671.34</v>
      </c>
      <c r="G51" s="127"/>
      <c r="H51" s="176"/>
      <c r="I51" s="6"/>
    </row>
    <row r="52" spans="1:9" s="6" customFormat="1" x14ac:dyDescent="0.2">
      <c r="A52" s="367" t="s">
        <v>91</v>
      </c>
      <c r="B52" s="368"/>
      <c r="C52" s="81"/>
      <c r="D52" s="81"/>
      <c r="E52" s="82"/>
      <c r="F52" s="35">
        <f>F50+F51</f>
        <v>4038.34</v>
      </c>
      <c r="G52" s="128"/>
      <c r="H52" s="176"/>
    </row>
    <row r="53" spans="1:9" ht="13.5" thickBot="1" x14ac:dyDescent="0.25">
      <c r="A53" s="377" t="s">
        <v>3</v>
      </c>
      <c r="B53" s="372"/>
      <c r="C53" s="10" t="s">
        <v>4</v>
      </c>
      <c r="D53" s="171">
        <f>F30</f>
        <v>1</v>
      </c>
      <c r="E53" s="11">
        <f>F52</f>
        <v>4038.34</v>
      </c>
      <c r="F53" s="11">
        <f>D53*E53</f>
        <v>4038.34</v>
      </c>
      <c r="G53" s="215">
        <f>F53</f>
        <v>4038.34</v>
      </c>
      <c r="H53" s="215">
        <f>G53/G$38</f>
        <v>3.3652833333333336</v>
      </c>
      <c r="I53" s="6"/>
    </row>
    <row r="54" spans="1:9" s="151" customFormat="1" ht="13.9" customHeight="1" thickBot="1" x14ac:dyDescent="0.25">
      <c r="A54" s="317"/>
      <c r="B54" s="192"/>
      <c r="C54" s="192"/>
      <c r="D54" s="192"/>
      <c r="E54" s="318" t="s">
        <v>250</v>
      </c>
      <c r="F54" s="316">
        <v>0.17050000000000001</v>
      </c>
      <c r="G54" s="215">
        <f>F53*F54</f>
        <v>688.53697000000011</v>
      </c>
      <c r="H54" s="215">
        <f>G54/G$38</f>
        <v>0.57378080833333345</v>
      </c>
      <c r="I54" s="6"/>
    </row>
    <row r="55" spans="1:9" ht="11.25" customHeight="1" x14ac:dyDescent="0.2">
      <c r="A55" s="95"/>
      <c r="E55" s="27"/>
      <c r="F55" s="27"/>
      <c r="G55" s="125"/>
      <c r="H55" s="176"/>
      <c r="I55" s="6"/>
    </row>
    <row r="56" spans="1:9" ht="11.25" customHeight="1" x14ac:dyDescent="0.2">
      <c r="A56" s="96" t="s">
        <v>224</v>
      </c>
      <c r="B56" s="6"/>
      <c r="E56" s="27"/>
      <c r="F56" s="27"/>
      <c r="G56" s="40"/>
      <c r="H56" s="176"/>
      <c r="I56" s="6"/>
    </row>
    <row r="57" spans="1:9" ht="11.25" customHeight="1" x14ac:dyDescent="0.2">
      <c r="A57" s="379" t="s">
        <v>2</v>
      </c>
      <c r="B57" s="372"/>
      <c r="C57" s="89" t="s">
        <v>0</v>
      </c>
      <c r="D57" s="41">
        <f>'Enc. Soc. - LR-LP e SN'!C$38*100</f>
        <v>32.817279999999997</v>
      </c>
      <c r="E57" s="11">
        <f>F50</f>
        <v>2367</v>
      </c>
      <c r="F57" s="11">
        <f>ROUND(E57*D57/100,2)</f>
        <v>776.79</v>
      </c>
      <c r="G57" s="40"/>
      <c r="H57" s="176"/>
      <c r="I57" s="6"/>
    </row>
    <row r="58" spans="1:9" x14ac:dyDescent="0.2">
      <c r="A58" s="367" t="s">
        <v>91</v>
      </c>
      <c r="B58" s="368"/>
      <c r="C58" s="91"/>
      <c r="D58" s="91"/>
      <c r="E58" s="19"/>
      <c r="F58" s="36">
        <f>E57+F57</f>
        <v>3143.79</v>
      </c>
      <c r="G58" s="40"/>
      <c r="H58" s="176"/>
      <c r="I58" s="6"/>
    </row>
    <row r="59" spans="1:9" ht="13.5" thickBot="1" x14ac:dyDescent="0.25">
      <c r="A59" s="377" t="s">
        <v>3</v>
      </c>
      <c r="B59" s="372"/>
      <c r="C59" s="10" t="s">
        <v>4</v>
      </c>
      <c r="D59" s="10">
        <f>D53</f>
        <v>1</v>
      </c>
      <c r="E59" s="11">
        <f>F58</f>
        <v>3143.79</v>
      </c>
      <c r="F59" s="11">
        <f>D59*E59</f>
        <v>3143.79</v>
      </c>
      <c r="G59" s="215">
        <f>F59</f>
        <v>3143.79</v>
      </c>
      <c r="H59" s="215">
        <f>G59/G$38</f>
        <v>2.6198250000000001</v>
      </c>
      <c r="I59" s="6"/>
    </row>
    <row r="60" spans="1:9" s="151" customFormat="1" ht="13.9" customHeight="1" thickBot="1" x14ac:dyDescent="0.25">
      <c r="A60" s="317"/>
      <c r="B60" s="192"/>
      <c r="C60" s="192"/>
      <c r="D60" s="192"/>
      <c r="E60" s="318" t="s">
        <v>250</v>
      </c>
      <c r="F60" s="316">
        <f>F54</f>
        <v>0.17050000000000001</v>
      </c>
      <c r="G60" s="215">
        <f>F59*F60</f>
        <v>536.01619500000004</v>
      </c>
      <c r="H60" s="215">
        <f>G60/G$38</f>
        <v>0.44668016250000003</v>
      </c>
      <c r="I60" s="6"/>
    </row>
    <row r="61" spans="1:9" ht="11.25" customHeight="1" x14ac:dyDescent="0.2">
      <c r="A61" s="95"/>
      <c r="E61" s="27"/>
      <c r="F61" s="27"/>
      <c r="G61" s="125"/>
      <c r="H61" s="176"/>
      <c r="I61" s="6"/>
    </row>
    <row r="62" spans="1:9" ht="13.5" thickBot="1" x14ac:dyDescent="0.25">
      <c r="A62" s="96" t="s">
        <v>225</v>
      </c>
      <c r="B62" s="6"/>
      <c r="C62" s="93"/>
      <c r="E62" s="4"/>
      <c r="F62" s="4"/>
      <c r="G62" s="40"/>
      <c r="H62" s="176"/>
      <c r="I62" s="6"/>
    </row>
    <row r="63" spans="1:9" ht="13.5" thickBot="1" x14ac:dyDescent="0.25">
      <c r="A63" s="363" t="s">
        <v>26</v>
      </c>
      <c r="B63" s="364"/>
      <c r="C63" s="212" t="s">
        <v>27</v>
      </c>
      <c r="D63" s="212" t="s">
        <v>20</v>
      </c>
      <c r="E63" s="213" t="s">
        <v>90</v>
      </c>
      <c r="F63" s="213" t="s">
        <v>28</v>
      </c>
      <c r="G63" s="214" t="s">
        <v>29</v>
      </c>
      <c r="H63" s="214" t="s">
        <v>140</v>
      </c>
      <c r="I63" s="6"/>
    </row>
    <row r="64" spans="1:9" x14ac:dyDescent="0.2">
      <c r="A64" s="376" t="s">
        <v>40</v>
      </c>
      <c r="B64" s="366"/>
      <c r="C64" s="10" t="s">
        <v>19</v>
      </c>
      <c r="D64" s="32">
        <v>1</v>
      </c>
      <c r="E64" s="235">
        <v>6.6</v>
      </c>
      <c r="F64" s="11"/>
      <c r="G64" s="126"/>
      <c r="H64" s="126"/>
      <c r="I64" s="6"/>
    </row>
    <row r="65" spans="1:9" x14ac:dyDescent="0.2">
      <c r="A65" s="377" t="s">
        <v>41</v>
      </c>
      <c r="B65" s="372"/>
      <c r="C65" s="10" t="s">
        <v>42</v>
      </c>
      <c r="D65" s="21">
        <f>F39</f>
        <v>20</v>
      </c>
      <c r="E65" s="11"/>
      <c r="F65" s="11"/>
      <c r="G65" s="127"/>
      <c r="H65" s="176"/>
      <c r="I65" s="6"/>
    </row>
    <row r="66" spans="1:9" ht="13.5" thickBot="1" x14ac:dyDescent="0.25">
      <c r="A66" s="378" t="s">
        <v>97</v>
      </c>
      <c r="B66" s="372"/>
      <c r="C66" s="8" t="s">
        <v>6</v>
      </c>
      <c r="D66" s="21">
        <f>$D$65*2*(F30)</f>
        <v>40</v>
      </c>
      <c r="E66" s="9">
        <f>IF(E64=0,"",IFERROR((($D$65*2*$E$64)-(F49*0.06*D65/D65))/($D$65*2),"-"))</f>
        <v>3.0495000000000005</v>
      </c>
      <c r="F66" s="9">
        <f>IFERROR(D66*E66,"-")</f>
        <v>121.98000000000002</v>
      </c>
      <c r="G66" s="215">
        <f>F66</f>
        <v>121.98000000000002</v>
      </c>
      <c r="H66" s="281">
        <f>G66/G$38</f>
        <v>0.10165000000000002</v>
      </c>
      <c r="I66" s="6"/>
    </row>
    <row r="67" spans="1:9" s="151" customFormat="1" ht="13.9" customHeight="1" thickBot="1" x14ac:dyDescent="0.25">
      <c r="A67" s="317"/>
      <c r="B67" s="192"/>
      <c r="C67" s="192"/>
      <c r="D67" s="192"/>
      <c r="E67" s="318" t="s">
        <v>250</v>
      </c>
      <c r="F67" s="316">
        <f>F60</f>
        <v>0.17050000000000001</v>
      </c>
      <c r="G67" s="215">
        <f>F66*F67</f>
        <v>20.797590000000003</v>
      </c>
      <c r="H67" s="215">
        <f>G67/G$38</f>
        <v>1.7331325000000002E-2</v>
      </c>
      <c r="I67" s="6"/>
    </row>
    <row r="68" spans="1:9" ht="11.25" customHeight="1" x14ac:dyDescent="0.2">
      <c r="A68" s="95"/>
      <c r="E68" s="27"/>
      <c r="F68" s="27"/>
      <c r="G68" s="125"/>
      <c r="H68" s="176"/>
      <c r="I68" s="6"/>
    </row>
    <row r="69" spans="1:9" ht="13.5" thickBot="1" x14ac:dyDescent="0.25">
      <c r="A69" s="96" t="s">
        <v>226</v>
      </c>
      <c r="B69" s="6"/>
      <c r="E69" s="27"/>
      <c r="F69" s="27"/>
      <c r="G69" s="129"/>
      <c r="H69" s="176"/>
      <c r="I69" s="6"/>
    </row>
    <row r="70" spans="1:9" ht="13.5" thickBot="1" x14ac:dyDescent="0.25">
      <c r="A70" s="216" t="s">
        <v>26</v>
      </c>
      <c r="B70" s="217"/>
      <c r="C70" s="212" t="s">
        <v>27</v>
      </c>
      <c r="D70" s="212" t="s">
        <v>20</v>
      </c>
      <c r="E70" s="213" t="s">
        <v>90</v>
      </c>
      <c r="F70" s="213" t="s">
        <v>28</v>
      </c>
      <c r="G70" s="214" t="s">
        <v>29</v>
      </c>
      <c r="H70" s="214" t="s">
        <v>140</v>
      </c>
      <c r="I70" s="6"/>
    </row>
    <row r="71" spans="1:9" ht="13.5" thickBot="1" x14ac:dyDescent="0.25">
      <c r="A71" s="378" t="s">
        <v>229</v>
      </c>
      <c r="B71" s="372"/>
      <c r="C71" s="89" t="s">
        <v>7</v>
      </c>
      <c r="D71" s="33">
        <f>D65*(F30)</f>
        <v>20</v>
      </c>
      <c r="E71" s="233">
        <f>15+28</f>
        <v>43</v>
      </c>
      <c r="F71" s="23">
        <f>D71*E71</f>
        <v>860</v>
      </c>
      <c r="G71" s="215">
        <f>F71</f>
        <v>860</v>
      </c>
      <c r="H71" s="215">
        <f>G71/G$38</f>
        <v>0.71666666666666667</v>
      </c>
      <c r="I71" s="6"/>
    </row>
    <row r="72" spans="1:9" s="151" customFormat="1" ht="13.9" customHeight="1" thickBot="1" x14ac:dyDescent="0.25">
      <c r="A72" s="317"/>
      <c r="B72" s="192"/>
      <c r="C72" s="192"/>
      <c r="D72" s="192"/>
      <c r="E72" s="318" t="s">
        <v>250</v>
      </c>
      <c r="F72" s="316">
        <f>F67</f>
        <v>0.17050000000000001</v>
      </c>
      <c r="G72" s="215">
        <f>F71*F72</f>
        <v>146.63000000000002</v>
      </c>
      <c r="H72" s="215">
        <f>G72/G$38</f>
        <v>0.12219166666666668</v>
      </c>
      <c r="I72" s="6"/>
    </row>
    <row r="73" spans="1:9" x14ac:dyDescent="0.2">
      <c r="A73" s="95"/>
      <c r="E73" s="92"/>
      <c r="F73" s="92"/>
      <c r="G73" s="40"/>
      <c r="H73" s="176"/>
      <c r="I73" s="6"/>
    </row>
    <row r="74" spans="1:9" ht="13.5" thickBot="1" x14ac:dyDescent="0.25">
      <c r="A74" s="95"/>
      <c r="E74" s="27"/>
      <c r="F74" s="27"/>
      <c r="G74" s="40"/>
      <c r="H74" s="176"/>
      <c r="I74" s="6"/>
    </row>
    <row r="75" spans="1:9" ht="13.5" thickBot="1" x14ac:dyDescent="0.25">
      <c r="A75" s="12" t="s">
        <v>101</v>
      </c>
      <c r="B75" s="13"/>
      <c r="C75" s="13"/>
      <c r="D75" s="13"/>
      <c r="E75" s="14"/>
      <c r="F75" s="15"/>
      <c r="G75" s="218">
        <f>G54+G67+G72</f>
        <v>855.96456000000012</v>
      </c>
      <c r="H75" s="219">
        <f>G75/G$38</f>
        <v>0.71330380000000015</v>
      </c>
      <c r="I75" s="6"/>
    </row>
    <row r="76" spans="1:9" ht="13.5" thickBot="1" x14ac:dyDescent="0.25">
      <c r="A76" s="12" t="s">
        <v>102</v>
      </c>
      <c r="B76" s="13"/>
      <c r="C76" s="13"/>
      <c r="D76" s="13"/>
      <c r="E76" s="14"/>
      <c r="F76" s="15"/>
      <c r="G76" s="220">
        <f>G60+G67+G72</f>
        <v>703.44378500000005</v>
      </c>
      <c r="H76" s="215">
        <f>G76/G$38</f>
        <v>0.58620315416666668</v>
      </c>
      <c r="I76" s="6"/>
    </row>
    <row r="77" spans="1:9" x14ac:dyDescent="0.2">
      <c r="A77" s="95"/>
      <c r="E77" s="27"/>
      <c r="F77" s="27"/>
      <c r="G77" s="125"/>
      <c r="H77" s="176"/>
      <c r="I77" s="6"/>
    </row>
    <row r="78" spans="1:9" x14ac:dyDescent="0.2">
      <c r="A78" s="96" t="s">
        <v>188</v>
      </c>
      <c r="B78" s="6"/>
      <c r="E78" s="27"/>
      <c r="F78" s="27"/>
      <c r="G78" s="40"/>
      <c r="H78" s="176"/>
    </row>
    <row r="79" spans="1:9" ht="13.5" thickBot="1" x14ac:dyDescent="0.25">
      <c r="A79" s="96" t="s">
        <v>189</v>
      </c>
      <c r="B79" s="6"/>
      <c r="E79" s="27"/>
      <c r="F79" s="27"/>
      <c r="G79" s="40"/>
      <c r="H79" s="176"/>
    </row>
    <row r="80" spans="1:9" ht="13.5" thickBot="1" x14ac:dyDescent="0.25">
      <c r="A80" s="216" t="s">
        <v>26</v>
      </c>
      <c r="B80" s="217"/>
      <c r="C80" s="212" t="s">
        <v>27</v>
      </c>
      <c r="D80" s="212" t="s">
        <v>20</v>
      </c>
      <c r="E80" s="213" t="s">
        <v>90</v>
      </c>
      <c r="F80" s="213" t="s">
        <v>28</v>
      </c>
      <c r="G80" s="214" t="s">
        <v>29</v>
      </c>
      <c r="H80" s="214" t="s">
        <v>140</v>
      </c>
    </row>
    <row r="81" spans="1:8" x14ac:dyDescent="0.2">
      <c r="A81" s="365" t="s">
        <v>123</v>
      </c>
      <c r="B81" s="366"/>
      <c r="C81" s="8" t="s">
        <v>7</v>
      </c>
      <c r="D81" s="8">
        <v>1</v>
      </c>
      <c r="E81" s="170">
        <f>G34</f>
        <v>353305</v>
      </c>
      <c r="F81" s="9">
        <f>D81*E81</f>
        <v>353305</v>
      </c>
      <c r="G81" s="126"/>
      <c r="H81" s="126"/>
    </row>
    <row r="82" spans="1:8" x14ac:dyDescent="0.2">
      <c r="A82" s="378" t="s">
        <v>131</v>
      </c>
      <c r="B82" s="372"/>
      <c r="C82" s="10" t="s">
        <v>43</v>
      </c>
      <c r="D82" s="171">
        <f>C34</f>
        <v>10</v>
      </c>
      <c r="E82" s="31"/>
      <c r="F82" s="11"/>
      <c r="G82" s="127"/>
      <c r="H82" s="176"/>
    </row>
    <row r="83" spans="1:8" x14ac:dyDescent="0.2">
      <c r="A83" s="378" t="s">
        <v>126</v>
      </c>
      <c r="B83" s="372"/>
      <c r="C83" s="10" t="s">
        <v>0</v>
      </c>
      <c r="D83" s="41">
        <f>Depr.!B12</f>
        <v>65.180000000000007</v>
      </c>
      <c r="E83" s="178">
        <f>F81</f>
        <v>353305</v>
      </c>
      <c r="F83" s="178">
        <f>D83*E83/100</f>
        <v>230284.19900000002</v>
      </c>
      <c r="G83" s="127"/>
      <c r="H83" s="176"/>
    </row>
    <row r="84" spans="1:8" x14ac:dyDescent="0.2">
      <c r="A84" s="367" t="s">
        <v>132</v>
      </c>
      <c r="B84" s="372"/>
      <c r="C84" s="34" t="s">
        <v>5</v>
      </c>
      <c r="D84" s="34">
        <f>D82*12</f>
        <v>120</v>
      </c>
      <c r="E84" s="35">
        <f>F83</f>
        <v>230284.19900000002</v>
      </c>
      <c r="F84" s="35">
        <f>IFERROR(E84/D84,0)</f>
        <v>1919.0349916666669</v>
      </c>
      <c r="G84" s="127"/>
      <c r="H84" s="176"/>
    </row>
    <row r="85" spans="1:8" x14ac:dyDescent="0.2">
      <c r="A85" s="367" t="s">
        <v>94</v>
      </c>
      <c r="B85" s="372"/>
      <c r="C85" s="145" t="s">
        <v>7</v>
      </c>
      <c r="D85" s="177">
        <f>F34</f>
        <v>1</v>
      </c>
      <c r="E85" s="146">
        <f>F84</f>
        <v>1919.0349916666669</v>
      </c>
      <c r="F85" s="302">
        <f>D85*E85</f>
        <v>1919.0349916666669</v>
      </c>
      <c r="G85" s="40"/>
      <c r="H85" s="176"/>
    </row>
    <row r="86" spans="1:8" ht="13.5" thickBot="1" x14ac:dyDescent="0.25">
      <c r="A86" s="99"/>
      <c r="B86" s="87"/>
      <c r="C86" s="87"/>
      <c r="D86" s="87"/>
      <c r="E86" s="318" t="s">
        <v>250</v>
      </c>
      <c r="F86" s="316">
        <f>F67</f>
        <v>0.17050000000000001</v>
      </c>
      <c r="G86" s="215">
        <f>F85*F86</f>
        <v>327.19546607916675</v>
      </c>
      <c r="H86" s="215">
        <f>G86/G$38</f>
        <v>0.27266288839930564</v>
      </c>
    </row>
    <row r="87" spans="1:8" ht="13.5" thickBot="1" x14ac:dyDescent="0.25">
      <c r="A87" s="96" t="s">
        <v>190</v>
      </c>
      <c r="B87" s="6"/>
      <c r="E87" s="27"/>
      <c r="F87" s="244"/>
      <c r="G87" s="40"/>
      <c r="H87" s="176"/>
    </row>
    <row r="88" spans="1:8" ht="13.5" thickBot="1" x14ac:dyDescent="0.25">
      <c r="A88" s="363" t="s">
        <v>26</v>
      </c>
      <c r="B88" s="364"/>
      <c r="C88" s="212" t="s">
        <v>27</v>
      </c>
      <c r="D88" s="212" t="s">
        <v>20</v>
      </c>
      <c r="E88" s="213" t="s">
        <v>90</v>
      </c>
      <c r="F88" s="213" t="s">
        <v>28</v>
      </c>
      <c r="G88" s="214" t="s">
        <v>29</v>
      </c>
      <c r="H88" s="214" t="s">
        <v>140</v>
      </c>
    </row>
    <row r="89" spans="1:8" x14ac:dyDescent="0.2">
      <c r="A89" s="365" t="s">
        <v>133</v>
      </c>
      <c r="B89" s="366"/>
      <c r="C89" s="8" t="s">
        <v>7</v>
      </c>
      <c r="D89" s="8">
        <v>1</v>
      </c>
      <c r="E89" s="9">
        <f>E81</f>
        <v>353305</v>
      </c>
      <c r="F89" s="9">
        <f>D89*E89</f>
        <v>353305</v>
      </c>
      <c r="G89" s="131"/>
      <c r="H89" s="126"/>
    </row>
    <row r="90" spans="1:8" x14ac:dyDescent="0.2">
      <c r="A90" s="377" t="s">
        <v>86</v>
      </c>
      <c r="B90" s="372"/>
      <c r="C90" s="10" t="s">
        <v>0</v>
      </c>
      <c r="D90" s="236">
        <v>15</v>
      </c>
      <c r="E90" s="11"/>
      <c r="F90" s="11"/>
      <c r="G90" s="130"/>
      <c r="H90" s="176"/>
    </row>
    <row r="91" spans="1:8" x14ac:dyDescent="0.2">
      <c r="A91" s="378" t="s">
        <v>196</v>
      </c>
      <c r="B91" s="372"/>
      <c r="C91" s="10" t="s">
        <v>19</v>
      </c>
      <c r="D91" s="45">
        <f>F89</f>
        <v>353305</v>
      </c>
      <c r="E91" s="11"/>
      <c r="F91" s="11"/>
      <c r="G91" s="130"/>
      <c r="H91" s="176"/>
    </row>
    <row r="92" spans="1:8" x14ac:dyDescent="0.2">
      <c r="A92" s="378" t="s">
        <v>195</v>
      </c>
      <c r="B92" s="372"/>
      <c r="C92" s="10"/>
      <c r="D92" s="45">
        <f>F81-F83</f>
        <v>123020.80099999998</v>
      </c>
      <c r="E92" s="11"/>
      <c r="F92" s="11"/>
      <c r="G92" s="130"/>
      <c r="H92" s="176"/>
    </row>
    <row r="93" spans="1:8" x14ac:dyDescent="0.2">
      <c r="A93" s="378" t="s">
        <v>187</v>
      </c>
      <c r="B93" s="372"/>
      <c r="C93" s="10" t="s">
        <v>19</v>
      </c>
      <c r="D93" s="31">
        <f>(D91-D92)*((D82+1)/(2*D82))+D92</f>
        <v>249677.11045000001</v>
      </c>
      <c r="E93" s="11"/>
      <c r="F93" s="11"/>
      <c r="G93" s="130"/>
      <c r="H93" s="176"/>
    </row>
    <row r="94" spans="1:8" x14ac:dyDescent="0.2">
      <c r="A94" s="367" t="s">
        <v>134</v>
      </c>
      <c r="B94" s="372"/>
      <c r="C94" s="34" t="s">
        <v>19</v>
      </c>
      <c r="D94" s="34"/>
      <c r="E94" s="148">
        <f>ROUND(D90*D93/12/100,2)</f>
        <v>3120.96</v>
      </c>
      <c r="F94" s="35">
        <f>E94</f>
        <v>3120.96</v>
      </c>
      <c r="G94" s="130"/>
      <c r="H94" s="176"/>
    </row>
    <row r="95" spans="1:8" x14ac:dyDescent="0.2">
      <c r="A95" s="367" t="s">
        <v>135</v>
      </c>
      <c r="B95" s="368"/>
      <c r="C95" s="91"/>
      <c r="D95" s="91"/>
      <c r="E95" s="19"/>
      <c r="F95" s="147">
        <f>F94</f>
        <v>3120.96</v>
      </c>
      <c r="G95" s="130"/>
      <c r="H95" s="176"/>
    </row>
    <row r="96" spans="1:8" x14ac:dyDescent="0.2">
      <c r="A96" s="367" t="s">
        <v>94</v>
      </c>
      <c r="B96" s="372"/>
      <c r="C96" s="34" t="s">
        <v>7</v>
      </c>
      <c r="D96" s="10">
        <f>D85</f>
        <v>1</v>
      </c>
      <c r="E96" s="35">
        <f>F95</f>
        <v>3120.96</v>
      </c>
      <c r="F96" s="302">
        <f>D96*E96</f>
        <v>3120.96</v>
      </c>
      <c r="G96" s="130"/>
      <c r="H96" s="176"/>
    </row>
    <row r="97" spans="1:8" ht="11.25" customHeight="1" thickBot="1" x14ac:dyDescent="0.25">
      <c r="A97" s="95"/>
      <c r="E97" s="318" t="s">
        <v>250</v>
      </c>
      <c r="F97" s="316">
        <f>F67</f>
        <v>0.17050000000000001</v>
      </c>
      <c r="G97" s="215">
        <f>F96*F97</f>
        <v>532.12368000000004</v>
      </c>
      <c r="H97" s="215">
        <f>G97/G$38</f>
        <v>0.44343640000000001</v>
      </c>
    </row>
    <row r="98" spans="1:8" ht="13.5" thickBot="1" x14ac:dyDescent="0.25">
      <c r="A98" s="96" t="s">
        <v>191</v>
      </c>
      <c r="B98" s="6"/>
      <c r="E98" s="27"/>
      <c r="F98" s="27"/>
      <c r="G98" s="125"/>
      <c r="H98" s="176"/>
    </row>
    <row r="99" spans="1:8" ht="13.5" thickBot="1" x14ac:dyDescent="0.25">
      <c r="A99" s="363" t="s">
        <v>26</v>
      </c>
      <c r="B99" s="364"/>
      <c r="C99" s="212" t="s">
        <v>27</v>
      </c>
      <c r="D99" s="212" t="s">
        <v>20</v>
      </c>
      <c r="E99" s="213" t="s">
        <v>90</v>
      </c>
      <c r="F99" s="213" t="s">
        <v>28</v>
      </c>
      <c r="G99" s="214" t="s">
        <v>29</v>
      </c>
      <c r="H99" s="214" t="s">
        <v>140</v>
      </c>
    </row>
    <row r="100" spans="1:8" x14ac:dyDescent="0.2">
      <c r="A100" s="376" t="s">
        <v>8</v>
      </c>
      <c r="B100" s="366"/>
      <c r="C100" s="8" t="s">
        <v>7</v>
      </c>
      <c r="D100" s="9">
        <f>D85</f>
        <v>1</v>
      </c>
      <c r="E100" s="9">
        <f>0.01*($F$81)</f>
        <v>3533.05</v>
      </c>
      <c r="F100" s="9">
        <f t="shared" ref="F100:F105" si="5">D100*E100</f>
        <v>3533.05</v>
      </c>
      <c r="G100" s="126"/>
      <c r="H100" s="126"/>
    </row>
    <row r="101" spans="1:8" x14ac:dyDescent="0.2">
      <c r="A101" s="378" t="s">
        <v>230</v>
      </c>
      <c r="B101" s="372"/>
      <c r="C101" s="10" t="s">
        <v>7</v>
      </c>
      <c r="D101" s="9">
        <f>D85</f>
        <v>1</v>
      </c>
      <c r="E101" s="233">
        <v>109.27</v>
      </c>
      <c r="F101" s="11">
        <f t="shared" si="5"/>
        <v>109.27</v>
      </c>
      <c r="G101" s="127"/>
      <c r="H101" s="176"/>
    </row>
    <row r="102" spans="1:8" x14ac:dyDescent="0.2">
      <c r="A102" s="377" t="s">
        <v>9</v>
      </c>
      <c r="B102" s="372"/>
      <c r="C102" s="10" t="s">
        <v>7</v>
      </c>
      <c r="D102" s="9">
        <f>D85</f>
        <v>1</v>
      </c>
      <c r="E102" s="233">
        <v>1373.55</v>
      </c>
      <c r="F102" s="11">
        <f t="shared" si="5"/>
        <v>1373.55</v>
      </c>
      <c r="G102" s="132"/>
      <c r="H102" s="176"/>
    </row>
    <row r="103" spans="1:8" x14ac:dyDescent="0.2">
      <c r="A103" s="378" t="s">
        <v>260</v>
      </c>
      <c r="B103" s="372"/>
      <c r="C103" s="10" t="s">
        <v>7</v>
      </c>
      <c r="D103" s="9">
        <v>1</v>
      </c>
      <c r="E103" s="233">
        <v>1228.52</v>
      </c>
      <c r="F103" s="11">
        <f t="shared" si="5"/>
        <v>1228.52</v>
      </c>
      <c r="G103" s="132"/>
      <c r="H103" s="176"/>
    </row>
    <row r="104" spans="1:8" x14ac:dyDescent="0.2">
      <c r="A104" s="378" t="s">
        <v>244</v>
      </c>
      <c r="B104" s="372"/>
      <c r="C104" s="10" t="s">
        <v>7</v>
      </c>
      <c r="D104" s="9">
        <v>1</v>
      </c>
      <c r="E104" s="233">
        <v>566.17999999999995</v>
      </c>
      <c r="F104" s="11">
        <f t="shared" si="5"/>
        <v>566.17999999999995</v>
      </c>
      <c r="G104" s="132"/>
      <c r="H104" s="176"/>
    </row>
    <row r="105" spans="1:8" x14ac:dyDescent="0.2">
      <c r="A105" s="378" t="s">
        <v>176</v>
      </c>
      <c r="B105" s="372"/>
      <c r="C105" s="10" t="s">
        <v>7</v>
      </c>
      <c r="D105" s="9">
        <v>1</v>
      </c>
      <c r="E105" s="233">
        <v>45</v>
      </c>
      <c r="F105" s="11">
        <f t="shared" si="5"/>
        <v>45</v>
      </c>
      <c r="G105" s="132"/>
      <c r="H105" s="176"/>
    </row>
    <row r="106" spans="1:8" x14ac:dyDescent="0.2">
      <c r="A106" s="367" t="s">
        <v>10</v>
      </c>
      <c r="B106" s="372"/>
      <c r="C106" s="34" t="s">
        <v>5</v>
      </c>
      <c r="D106" s="34">
        <v>12</v>
      </c>
      <c r="E106" s="35">
        <f>SUM(F100:F105)</f>
        <v>6855.57</v>
      </c>
      <c r="F106" s="35">
        <f>ROUND(E106/D106,2)</f>
        <v>571.29999999999995</v>
      </c>
      <c r="G106" s="132"/>
      <c r="H106" s="176"/>
    </row>
    <row r="107" spans="1:8" ht="13.5" thickBot="1" x14ac:dyDescent="0.25">
      <c r="A107" s="300"/>
      <c r="B107" s="301"/>
      <c r="C107" s="301"/>
      <c r="D107" s="301"/>
      <c r="E107" s="318" t="s">
        <v>250</v>
      </c>
      <c r="F107" s="316">
        <f>F67</f>
        <v>0.17050000000000001</v>
      </c>
      <c r="G107" s="215">
        <f>F106*F107</f>
        <v>97.406649999999999</v>
      </c>
      <c r="H107" s="215">
        <f>G107/G$38</f>
        <v>8.1172208333333329E-2</v>
      </c>
    </row>
    <row r="108" spans="1:8" x14ac:dyDescent="0.2">
      <c r="A108" s="96" t="s">
        <v>192</v>
      </c>
      <c r="B108" s="6"/>
      <c r="C108" s="94"/>
      <c r="E108" s="27"/>
      <c r="F108" s="27"/>
      <c r="G108" s="40"/>
      <c r="H108" s="176"/>
    </row>
    <row r="109" spans="1:8" ht="13.5" thickBot="1" x14ac:dyDescent="0.25">
      <c r="A109" s="98" t="s">
        <v>136</v>
      </c>
      <c r="B109" s="191"/>
      <c r="C109" s="173">
        <f>G38</f>
        <v>1200</v>
      </c>
      <c r="E109" s="27"/>
      <c r="F109" s="27"/>
      <c r="G109" s="40"/>
      <c r="H109" s="176"/>
    </row>
    <row r="110" spans="1:8" ht="13.5" thickBot="1" x14ac:dyDescent="0.25">
      <c r="A110" s="363" t="s">
        <v>26</v>
      </c>
      <c r="B110" s="364"/>
      <c r="C110" s="212" t="s">
        <v>27</v>
      </c>
      <c r="D110" s="212" t="s">
        <v>93</v>
      </c>
      <c r="E110" s="213" t="s">
        <v>90</v>
      </c>
      <c r="F110" s="213" t="s">
        <v>28</v>
      </c>
      <c r="G110" s="214" t="s">
        <v>29</v>
      </c>
      <c r="H110" s="214" t="s">
        <v>140</v>
      </c>
    </row>
    <row r="111" spans="1:8" x14ac:dyDescent="0.2">
      <c r="A111" s="376" t="s">
        <v>11</v>
      </c>
      <c r="B111" s="366"/>
      <c r="C111" s="8" t="s">
        <v>12</v>
      </c>
      <c r="D111" s="170">
        <f>F35</f>
        <v>8</v>
      </c>
      <c r="E111" s="170">
        <f>G35</f>
        <v>5.58</v>
      </c>
      <c r="F111" s="9"/>
      <c r="G111" s="126"/>
      <c r="H111" s="126"/>
    </row>
    <row r="112" spans="1:8" x14ac:dyDescent="0.2">
      <c r="A112" s="378" t="s">
        <v>243</v>
      </c>
      <c r="B112" s="372"/>
      <c r="C112" s="10" t="s">
        <v>13</v>
      </c>
      <c r="D112" s="32">
        <f>C109</f>
        <v>1200</v>
      </c>
      <c r="E112" s="86">
        <f>IFERROR(+E111/D111,"-")</f>
        <v>0.69750000000000001</v>
      </c>
      <c r="F112" s="11">
        <f>IFERROR(D112*E112,"-")</f>
        <v>837</v>
      </c>
      <c r="G112" s="127"/>
      <c r="H112" s="176"/>
    </row>
    <row r="113" spans="1:10" x14ac:dyDescent="0.2">
      <c r="A113" s="325" t="s">
        <v>252</v>
      </c>
      <c r="B113" s="324"/>
      <c r="C113" s="10" t="s">
        <v>12</v>
      </c>
      <c r="D113" s="233">
        <v>65</v>
      </c>
      <c r="E113" s="320">
        <v>4</v>
      </c>
      <c r="F113" s="11"/>
      <c r="G113" s="127"/>
      <c r="H113" s="176"/>
    </row>
    <row r="114" spans="1:10" x14ac:dyDescent="0.2">
      <c r="A114" s="325" t="s">
        <v>253</v>
      </c>
      <c r="B114" s="324"/>
      <c r="C114" s="10" t="s">
        <v>13</v>
      </c>
      <c r="D114" s="32">
        <f>C109</f>
        <v>1200</v>
      </c>
      <c r="E114" s="86">
        <f>IFERROR(+E113/D113,"-")</f>
        <v>6.1538461538461542E-2</v>
      </c>
      <c r="F114" s="11">
        <f>IFERROR(D114*E114,"-")</f>
        <v>73.846153846153854</v>
      </c>
      <c r="G114" s="127"/>
      <c r="H114" s="176"/>
    </row>
    <row r="115" spans="1:10" x14ac:dyDescent="0.2">
      <c r="A115" s="378" t="s">
        <v>205</v>
      </c>
      <c r="B115" s="372"/>
      <c r="C115" s="89" t="s">
        <v>206</v>
      </c>
      <c r="D115" s="237">
        <v>10.5</v>
      </c>
      <c r="E115" s="233">
        <v>20.23</v>
      </c>
      <c r="F115" s="11"/>
      <c r="G115" s="127"/>
      <c r="H115" s="176"/>
    </row>
    <row r="116" spans="1:10" x14ac:dyDescent="0.2">
      <c r="A116" s="377" t="s">
        <v>14</v>
      </c>
      <c r="B116" s="372"/>
      <c r="C116" s="10" t="s">
        <v>13</v>
      </c>
      <c r="D116" s="32">
        <f>D112</f>
        <v>1200</v>
      </c>
      <c r="E116" s="83">
        <f>+D115*E115/10000</f>
        <v>2.12415E-2</v>
      </c>
      <c r="F116" s="11">
        <f>D116*E116</f>
        <v>25.489799999999999</v>
      </c>
      <c r="G116" s="127"/>
      <c r="H116" s="176"/>
    </row>
    <row r="117" spans="1:10" x14ac:dyDescent="0.2">
      <c r="A117" s="378" t="s">
        <v>207</v>
      </c>
      <c r="B117" s="372"/>
      <c r="C117" s="89" t="s">
        <v>208</v>
      </c>
      <c r="D117" s="237">
        <v>4.5999999999999996</v>
      </c>
      <c r="E117" s="233">
        <v>23.9</v>
      </c>
      <c r="F117" s="11"/>
      <c r="G117" s="127"/>
      <c r="H117" s="176"/>
    </row>
    <row r="118" spans="1:10" x14ac:dyDescent="0.2">
      <c r="A118" s="377" t="s">
        <v>15</v>
      </c>
      <c r="B118" s="372"/>
      <c r="C118" s="10" t="s">
        <v>13</v>
      </c>
      <c r="D118" s="32">
        <f>D112</f>
        <v>1200</v>
      </c>
      <c r="E118" s="208">
        <f>+D117*E117/100000</f>
        <v>1.0993999999999999E-3</v>
      </c>
      <c r="F118" s="11">
        <f>D118*E118</f>
        <v>1.31928</v>
      </c>
      <c r="G118" s="127"/>
      <c r="H118" s="176"/>
    </row>
    <row r="119" spans="1:10" x14ac:dyDescent="0.2">
      <c r="A119" s="378" t="s">
        <v>210</v>
      </c>
      <c r="B119" s="372"/>
      <c r="C119" s="89" t="s">
        <v>209</v>
      </c>
      <c r="D119" s="237">
        <v>1.7</v>
      </c>
      <c r="E119" s="233">
        <v>23.01</v>
      </c>
      <c r="F119" s="11"/>
      <c r="G119" s="127"/>
      <c r="H119" s="176"/>
    </row>
    <row r="120" spans="1:10" x14ac:dyDescent="0.2">
      <c r="A120" s="377" t="s">
        <v>16</v>
      </c>
      <c r="B120" s="372"/>
      <c r="C120" s="10" t="s">
        <v>13</v>
      </c>
      <c r="D120" s="32">
        <f>D112</f>
        <v>1200</v>
      </c>
      <c r="E120" s="208">
        <f>+D119*E119/80000</f>
        <v>4.8896250000000007E-4</v>
      </c>
      <c r="F120" s="11">
        <f>D120*E120</f>
        <v>0.58675500000000014</v>
      </c>
      <c r="G120" s="127"/>
      <c r="H120" s="176"/>
    </row>
    <row r="121" spans="1:10" x14ac:dyDescent="0.2">
      <c r="A121" s="378" t="s">
        <v>212</v>
      </c>
      <c r="B121" s="372"/>
      <c r="C121" s="89" t="s">
        <v>211</v>
      </c>
      <c r="D121" s="237">
        <v>1</v>
      </c>
      <c r="E121" s="233">
        <v>21.91</v>
      </c>
      <c r="F121" s="11"/>
      <c r="G121" s="127"/>
      <c r="H121" s="176"/>
    </row>
    <row r="122" spans="1:10" x14ac:dyDescent="0.2">
      <c r="A122" s="377" t="s">
        <v>17</v>
      </c>
      <c r="B122" s="372"/>
      <c r="C122" s="10" t="s">
        <v>13</v>
      </c>
      <c r="D122" s="32">
        <f>D112</f>
        <v>1200</v>
      </c>
      <c r="E122" s="83">
        <f>+D121*E121/10000</f>
        <v>2.1909999999999998E-3</v>
      </c>
      <c r="F122" s="11">
        <f>D122*E122</f>
        <v>2.6292</v>
      </c>
      <c r="G122" s="127"/>
      <c r="H122" s="176"/>
    </row>
    <row r="123" spans="1:10" ht="13.5" thickBot="1" x14ac:dyDescent="0.25">
      <c r="A123" s="367" t="s">
        <v>92</v>
      </c>
      <c r="B123" s="372"/>
      <c r="C123" s="34" t="s">
        <v>44</v>
      </c>
      <c r="D123" s="84"/>
      <c r="E123" s="85">
        <f>IFERROR(E112+E116+E118+E120+E122,0)</f>
        <v>0.72252086250000003</v>
      </c>
      <c r="F123" s="35">
        <f>ROUND(SUM(F111:F122),2)</f>
        <v>940.87</v>
      </c>
      <c r="G123" s="215">
        <f>F123</f>
        <v>940.87</v>
      </c>
      <c r="H123" s="215">
        <f>G123/G$38</f>
        <v>0.7840583333333333</v>
      </c>
    </row>
    <row r="124" spans="1:10" ht="11.25" customHeight="1" x14ac:dyDescent="0.2">
      <c r="A124" s="95"/>
      <c r="E124" s="27"/>
      <c r="F124" s="27"/>
      <c r="G124" s="125"/>
      <c r="H124" s="176"/>
    </row>
    <row r="125" spans="1:10" ht="13.5" thickBot="1" x14ac:dyDescent="0.25">
      <c r="A125" s="96" t="s">
        <v>193</v>
      </c>
      <c r="B125" s="6"/>
      <c r="E125" s="27"/>
      <c r="F125" s="27"/>
      <c r="G125" s="40"/>
      <c r="H125" s="176"/>
    </row>
    <row r="126" spans="1:10" ht="13.5" thickBot="1" x14ac:dyDescent="0.25">
      <c r="A126" s="363" t="s">
        <v>26</v>
      </c>
      <c r="B126" s="364"/>
      <c r="C126" s="212" t="s">
        <v>27</v>
      </c>
      <c r="D126" s="212" t="s">
        <v>20</v>
      </c>
      <c r="E126" s="213" t="s">
        <v>90</v>
      </c>
      <c r="F126" s="213" t="s">
        <v>28</v>
      </c>
      <c r="G126" s="214" t="s">
        <v>29</v>
      </c>
      <c r="H126" s="214" t="s">
        <v>140</v>
      </c>
    </row>
    <row r="127" spans="1:10" x14ac:dyDescent="0.2">
      <c r="A127" s="365" t="s">
        <v>168</v>
      </c>
      <c r="B127" s="366"/>
      <c r="C127" s="8" t="s">
        <v>44</v>
      </c>
      <c r="D127" s="32">
        <f>D112</f>
        <v>1200</v>
      </c>
      <c r="E127" s="238">
        <v>0.3</v>
      </c>
      <c r="F127" s="9">
        <f>D127*E127</f>
        <v>360</v>
      </c>
      <c r="G127" s="126"/>
      <c r="H127" s="126"/>
      <c r="J127" s="305"/>
    </row>
    <row r="128" spans="1:10" x14ac:dyDescent="0.2">
      <c r="A128" s="378" t="s">
        <v>127</v>
      </c>
      <c r="B128" s="372"/>
      <c r="C128" s="149" t="s">
        <v>128</v>
      </c>
      <c r="D128" s="240">
        <v>4</v>
      </c>
      <c r="E128" s="239">
        <v>100</v>
      </c>
      <c r="F128" s="150">
        <f>D128*E128</f>
        <v>400</v>
      </c>
      <c r="G128" s="40"/>
      <c r="H128" s="40"/>
    </row>
    <row r="129" spans="1:8" s="151" customFormat="1" ht="13.5" thickBot="1" x14ac:dyDescent="0.25">
      <c r="A129" s="367" t="s">
        <v>129</v>
      </c>
      <c r="B129" s="372"/>
      <c r="C129" s="89" t="s">
        <v>130</v>
      </c>
      <c r="D129" s="152"/>
      <c r="E129" s="23"/>
      <c r="F129" s="146">
        <f>ROUND(SUM(F127:F128),2)</f>
        <v>760</v>
      </c>
      <c r="G129" s="215">
        <f>F129</f>
        <v>760</v>
      </c>
      <c r="H129" s="215">
        <f>G129/G$38</f>
        <v>0.6333333333333333</v>
      </c>
    </row>
    <row r="130" spans="1:8" ht="11.25" customHeight="1" x14ac:dyDescent="0.2">
      <c r="A130" s="95"/>
      <c r="E130" s="27"/>
      <c r="F130" s="27"/>
      <c r="G130" s="125"/>
      <c r="H130" s="176"/>
    </row>
    <row r="131" spans="1:8" ht="13.5" thickBot="1" x14ac:dyDescent="0.25">
      <c r="A131" s="96" t="s">
        <v>194</v>
      </c>
      <c r="B131" s="6"/>
      <c r="E131" s="27"/>
      <c r="F131" s="27"/>
      <c r="G131" s="40"/>
      <c r="H131" s="176"/>
    </row>
    <row r="132" spans="1:8" ht="13.5" thickBot="1" x14ac:dyDescent="0.25">
      <c r="A132" s="363" t="s">
        <v>26</v>
      </c>
      <c r="B132" s="364"/>
      <c r="C132" s="212" t="s">
        <v>27</v>
      </c>
      <c r="D132" s="212" t="s">
        <v>20</v>
      </c>
      <c r="E132" s="213" t="s">
        <v>90</v>
      </c>
      <c r="F132" s="213" t="s">
        <v>28</v>
      </c>
      <c r="G132" s="214" t="s">
        <v>29</v>
      </c>
      <c r="H132" s="214" t="s">
        <v>140</v>
      </c>
    </row>
    <row r="133" spans="1:8" x14ac:dyDescent="0.2">
      <c r="A133" s="365" t="s">
        <v>251</v>
      </c>
      <c r="B133" s="366"/>
      <c r="C133" s="8" t="s">
        <v>7</v>
      </c>
      <c r="D133" s="241">
        <v>6</v>
      </c>
      <c r="E133" s="239">
        <v>750</v>
      </c>
      <c r="F133" s="9">
        <f>D133*E133</f>
        <v>4500</v>
      </c>
      <c r="G133" s="126"/>
      <c r="H133" s="126"/>
    </row>
    <row r="134" spans="1:8" x14ac:dyDescent="0.2">
      <c r="A134" s="285" t="s">
        <v>231</v>
      </c>
      <c r="B134" s="286"/>
      <c r="C134" s="149" t="s">
        <v>27</v>
      </c>
      <c r="D134" s="289">
        <v>0</v>
      </c>
      <c r="E134" s="287"/>
      <c r="F134" s="150"/>
      <c r="G134" s="127"/>
      <c r="H134" s="40"/>
    </row>
    <row r="135" spans="1:8" x14ac:dyDescent="0.2">
      <c r="A135" s="285" t="s">
        <v>232</v>
      </c>
      <c r="B135" s="286"/>
      <c r="C135" s="149" t="s">
        <v>27</v>
      </c>
      <c r="D135" s="150">
        <f>D133*D134</f>
        <v>0</v>
      </c>
      <c r="E135" s="239">
        <v>0</v>
      </c>
      <c r="F135" s="150">
        <f>D135*E135</f>
        <v>0</v>
      </c>
      <c r="G135" s="127"/>
      <c r="H135" s="40"/>
    </row>
    <row r="136" spans="1:8" x14ac:dyDescent="0.2">
      <c r="A136" s="378" t="s">
        <v>124</v>
      </c>
      <c r="B136" s="372"/>
      <c r="C136" s="10" t="s">
        <v>18</v>
      </c>
      <c r="D136" s="290">
        <v>45000</v>
      </c>
      <c r="E136" s="178">
        <f>F133+F135</f>
        <v>4500</v>
      </c>
      <c r="F136" s="178">
        <f>IFERROR(E136/D136,"-")</f>
        <v>0.1</v>
      </c>
      <c r="G136" s="127"/>
      <c r="H136" s="176"/>
    </row>
    <row r="137" spans="1:8" ht="13.5" thickBot="1" x14ac:dyDescent="0.25">
      <c r="A137" s="367" t="s">
        <v>24</v>
      </c>
      <c r="B137" s="372"/>
      <c r="C137" s="10" t="s">
        <v>13</v>
      </c>
      <c r="D137" s="288">
        <f>C109</f>
        <v>1200</v>
      </c>
      <c r="E137" s="178">
        <f>F136</f>
        <v>0.1</v>
      </c>
      <c r="F137" s="178">
        <f>ROUND(D137*E137,2)</f>
        <v>120</v>
      </c>
      <c r="G137" s="215">
        <f>F137</f>
        <v>120</v>
      </c>
      <c r="H137" s="215">
        <f>G137/G$38</f>
        <v>0.1</v>
      </c>
    </row>
    <row r="138" spans="1:8" ht="11.25" customHeight="1" x14ac:dyDescent="0.2">
      <c r="A138" s="95"/>
      <c r="E138" s="27"/>
      <c r="F138" s="27"/>
      <c r="G138" s="125"/>
      <c r="H138" s="176"/>
    </row>
    <row r="139" spans="1:8" ht="13.5" thickBot="1" x14ac:dyDescent="0.25">
      <c r="A139" s="96" t="s">
        <v>238</v>
      </c>
      <c r="B139" s="6"/>
      <c r="E139" s="27"/>
      <c r="F139" s="27"/>
      <c r="G139" s="40"/>
      <c r="H139" s="176"/>
    </row>
    <row r="140" spans="1:8" ht="13.5" thickBot="1" x14ac:dyDescent="0.25">
      <c r="A140" s="363" t="s">
        <v>26</v>
      </c>
      <c r="B140" s="364"/>
      <c r="C140" s="212" t="s">
        <v>27</v>
      </c>
      <c r="D140" s="212" t="s">
        <v>20</v>
      </c>
      <c r="E140" s="213" t="s">
        <v>90</v>
      </c>
      <c r="F140" s="213" t="s">
        <v>28</v>
      </c>
      <c r="G140" s="214" t="s">
        <v>29</v>
      </c>
      <c r="H140" s="214" t="s">
        <v>140</v>
      </c>
    </row>
    <row r="141" spans="1:8" x14ac:dyDescent="0.2">
      <c r="A141" s="365" t="s">
        <v>242</v>
      </c>
      <c r="B141" s="366"/>
      <c r="C141" s="149" t="s">
        <v>141</v>
      </c>
      <c r="D141" s="289">
        <v>1</v>
      </c>
      <c r="E141" s="239">
        <f>149/12</f>
        <v>12.416666666666666</v>
      </c>
      <c r="F141" s="9">
        <f>D141*E141</f>
        <v>12.416666666666666</v>
      </c>
      <c r="G141" s="126"/>
      <c r="H141" s="126"/>
    </row>
    <row r="142" spans="1:8" x14ac:dyDescent="0.2">
      <c r="A142" s="285" t="s">
        <v>239</v>
      </c>
      <c r="B142" s="286"/>
      <c r="C142" s="149" t="s">
        <v>141</v>
      </c>
      <c r="D142" s="289">
        <v>1</v>
      </c>
      <c r="E142" s="239">
        <v>59.99</v>
      </c>
      <c r="F142" s="150">
        <f>D142*E142</f>
        <v>59.99</v>
      </c>
      <c r="G142" s="127"/>
      <c r="H142" s="40"/>
    </row>
    <row r="143" spans="1:8" ht="13.5" thickBot="1" x14ac:dyDescent="0.25">
      <c r="A143" s="367" t="s">
        <v>240</v>
      </c>
      <c r="B143" s="372"/>
      <c r="C143" s="10"/>
      <c r="D143" s="288"/>
      <c r="E143" s="178"/>
      <c r="F143" s="178"/>
      <c r="G143" s="215">
        <f>F141+F142</f>
        <v>72.406666666666666</v>
      </c>
      <c r="H143" s="215">
        <f>G143/G$38</f>
        <v>6.0338888888888886E-2</v>
      </c>
    </row>
    <row r="144" spans="1:8" ht="11.25" customHeight="1" thickBot="1" x14ac:dyDescent="0.25">
      <c r="A144" s="95"/>
      <c r="E144" s="27"/>
      <c r="F144" s="27"/>
      <c r="G144" s="125"/>
      <c r="H144" s="176"/>
    </row>
    <row r="145" spans="1:8" ht="13.5" thickBot="1" x14ac:dyDescent="0.25">
      <c r="A145" s="12" t="s">
        <v>137</v>
      </c>
      <c r="B145" s="13"/>
      <c r="C145" s="13"/>
      <c r="D145" s="13"/>
      <c r="E145" s="14"/>
      <c r="F145" s="15"/>
      <c r="G145" s="221">
        <f>+SUM(G81:G144)</f>
        <v>2850.0024627458333</v>
      </c>
      <c r="H145" s="215">
        <f>G145/G$38</f>
        <v>2.3750020522881945</v>
      </c>
    </row>
    <row r="146" spans="1:8" ht="11.25" customHeight="1" x14ac:dyDescent="0.2">
      <c r="A146" s="95"/>
      <c r="E146" s="27"/>
      <c r="F146" s="27"/>
      <c r="G146" s="125"/>
      <c r="H146" s="176"/>
    </row>
    <row r="147" spans="1:8" ht="13.5" thickBot="1" x14ac:dyDescent="0.25">
      <c r="A147" s="96" t="s">
        <v>148</v>
      </c>
      <c r="B147" s="6"/>
      <c r="C147" s="6"/>
      <c r="D147" s="6"/>
      <c r="E147" s="20"/>
      <c r="F147" s="20"/>
      <c r="G147" s="133"/>
      <c r="H147" s="176"/>
    </row>
    <row r="148" spans="1:8" ht="13.5" thickBot="1" x14ac:dyDescent="0.25">
      <c r="A148" s="363" t="s">
        <v>26</v>
      </c>
      <c r="B148" s="364"/>
      <c r="C148" s="212" t="s">
        <v>27</v>
      </c>
      <c r="D148" s="212" t="s">
        <v>20</v>
      </c>
      <c r="E148" s="213" t="s">
        <v>90</v>
      </c>
      <c r="F148" s="213" t="s">
        <v>28</v>
      </c>
      <c r="G148" s="214" t="s">
        <v>29</v>
      </c>
      <c r="H148" s="214" t="s">
        <v>140</v>
      </c>
    </row>
    <row r="149" spans="1:8" x14ac:dyDescent="0.2">
      <c r="A149" s="365" t="s">
        <v>170</v>
      </c>
      <c r="B149" s="366"/>
      <c r="C149" s="89" t="s">
        <v>169</v>
      </c>
      <c r="D149" s="242">
        <f>1/12</f>
        <v>8.3333333333333329E-2</v>
      </c>
      <c r="E149" s="239">
        <v>28</v>
      </c>
      <c r="F149" s="11">
        <f>D149*E149</f>
        <v>2.333333333333333</v>
      </c>
      <c r="G149" s="134"/>
      <c r="H149" s="126"/>
    </row>
    <row r="150" spans="1:8" x14ac:dyDescent="0.2">
      <c r="A150" s="378" t="s">
        <v>171</v>
      </c>
      <c r="B150" s="372"/>
      <c r="C150" s="89" t="s">
        <v>169</v>
      </c>
      <c r="D150" s="242">
        <f>3/12</f>
        <v>0.25</v>
      </c>
      <c r="E150" s="239">
        <v>19.899999999999999</v>
      </c>
      <c r="F150" s="11">
        <f>D150*E150</f>
        <v>4.9749999999999996</v>
      </c>
      <c r="G150" s="135"/>
      <c r="H150" s="176"/>
    </row>
    <row r="151" spans="1:8" x14ac:dyDescent="0.2">
      <c r="A151" s="378" t="s">
        <v>172</v>
      </c>
      <c r="B151" s="372"/>
      <c r="C151" s="89" t="s">
        <v>169</v>
      </c>
      <c r="D151" s="242">
        <f>2/12</f>
        <v>0.16666666666666666</v>
      </c>
      <c r="E151" s="239">
        <v>14.8</v>
      </c>
      <c r="F151" s="11">
        <f>D151*E151</f>
        <v>2.4666666666666668</v>
      </c>
      <c r="G151" s="135"/>
      <c r="H151" s="176"/>
    </row>
    <row r="152" spans="1:8" ht="13.5" thickBot="1" x14ac:dyDescent="0.25">
      <c r="A152" s="378" t="s">
        <v>173</v>
      </c>
      <c r="B152" s="372"/>
      <c r="C152" s="89" t="s">
        <v>186</v>
      </c>
      <c r="D152" s="242">
        <f>4</f>
        <v>4</v>
      </c>
      <c r="E152" s="239">
        <v>17.98</v>
      </c>
      <c r="F152" s="11">
        <f>D152*E152</f>
        <v>71.92</v>
      </c>
      <c r="G152" s="135"/>
      <c r="H152" s="176"/>
    </row>
    <row r="153" spans="1:8" ht="13.5" thickBot="1" x14ac:dyDescent="0.25">
      <c r="A153" s="378" t="s">
        <v>174</v>
      </c>
      <c r="B153" s="372"/>
      <c r="C153" s="89" t="s">
        <v>169</v>
      </c>
      <c r="D153" s="242">
        <v>4</v>
      </c>
      <c r="E153" s="239">
        <v>4.7</v>
      </c>
      <c r="F153" s="11">
        <f t="shared" ref="F153" si="6">D153*E153</f>
        <v>18.8</v>
      </c>
      <c r="G153" s="219">
        <f>ROUND(SUM(F149:F153),2)</f>
        <v>100.5</v>
      </c>
      <c r="H153" s="219">
        <f>G153/G$38</f>
        <v>8.3750000000000005E-2</v>
      </c>
    </row>
    <row r="154" spans="1:8" ht="11.25" customHeight="1" thickBot="1" x14ac:dyDescent="0.25">
      <c r="A154" s="95"/>
      <c r="E154" s="27"/>
      <c r="F154" s="27"/>
      <c r="G154" s="40"/>
      <c r="H154" s="40"/>
    </row>
    <row r="155" spans="1:8" ht="13.5" thickBot="1" x14ac:dyDescent="0.25">
      <c r="A155" s="12" t="s">
        <v>89</v>
      </c>
      <c r="B155" s="13"/>
      <c r="C155" s="13"/>
      <c r="D155" s="13"/>
      <c r="E155" s="14"/>
      <c r="F155" s="15"/>
      <c r="G155" s="221">
        <f>+G153</f>
        <v>100.5</v>
      </c>
      <c r="H155" s="221">
        <f>G155/G$38</f>
        <v>8.3750000000000005E-2</v>
      </c>
    </row>
    <row r="156" spans="1:8" ht="11.25" customHeight="1" thickBot="1" x14ac:dyDescent="0.25">
      <c r="A156" s="95"/>
      <c r="E156" s="27"/>
      <c r="F156" s="27"/>
      <c r="G156" s="125"/>
      <c r="H156" s="125"/>
    </row>
    <row r="157" spans="1:8" ht="17.25" customHeight="1" thickBot="1" x14ac:dyDescent="0.25">
      <c r="A157" s="12" t="s">
        <v>121</v>
      </c>
      <c r="B157" s="13"/>
      <c r="C157" s="16"/>
      <c r="D157" s="16"/>
      <c r="E157" s="17"/>
      <c r="F157" s="18"/>
      <c r="G157" s="218">
        <f>+G75+G145+G155</f>
        <v>3806.4670227458337</v>
      </c>
      <c r="H157" s="218">
        <f>G157/G$38</f>
        <v>3.1720558522881945</v>
      </c>
    </row>
    <row r="158" spans="1:8" ht="17.25" customHeight="1" thickBot="1" x14ac:dyDescent="0.25">
      <c r="A158" s="12" t="s">
        <v>122</v>
      </c>
      <c r="B158" s="13"/>
      <c r="C158" s="16"/>
      <c r="D158" s="16"/>
      <c r="E158" s="17"/>
      <c r="F158" s="18"/>
      <c r="G158" s="220">
        <f>+G76+G145+G155</f>
        <v>3653.9462477458333</v>
      </c>
      <c r="H158" s="220">
        <f>G158/G$38</f>
        <v>3.0449552064548611</v>
      </c>
    </row>
    <row r="159" spans="1:8" ht="11.25" customHeight="1" x14ac:dyDescent="0.2">
      <c r="A159" s="95"/>
      <c r="E159" s="27"/>
      <c r="F159" s="27"/>
      <c r="G159" s="125"/>
      <c r="H159" s="125"/>
    </row>
    <row r="160" spans="1:8" ht="13.5" thickBot="1" x14ac:dyDescent="0.25">
      <c r="A160" s="96" t="s">
        <v>149</v>
      </c>
      <c r="B160" s="6"/>
      <c r="E160" s="27"/>
      <c r="F160" s="27"/>
      <c r="G160" s="40"/>
      <c r="H160" s="40"/>
    </row>
    <row r="161" spans="1:8" ht="13.5" thickBot="1" x14ac:dyDescent="0.25">
      <c r="A161" s="363" t="s">
        <v>26</v>
      </c>
      <c r="B161" s="364"/>
      <c r="C161" s="212" t="s">
        <v>27</v>
      </c>
      <c r="D161" s="212" t="s">
        <v>20</v>
      </c>
      <c r="E161" s="213" t="s">
        <v>90</v>
      </c>
      <c r="F161" s="213" t="s">
        <v>28</v>
      </c>
      <c r="G161" s="214" t="s">
        <v>29</v>
      </c>
      <c r="H161" s="214" t="s">
        <v>140</v>
      </c>
    </row>
    <row r="162" spans="1:8" ht="13.5" thickBot="1" x14ac:dyDescent="0.25">
      <c r="A162" s="365" t="s">
        <v>150</v>
      </c>
      <c r="B162" s="366"/>
      <c r="C162" s="8" t="s">
        <v>0</v>
      </c>
      <c r="D162" s="41">
        <f>BDI!C11*100</f>
        <v>31.75</v>
      </c>
      <c r="E162" s="9">
        <f>+G157</f>
        <v>3806.4670227458337</v>
      </c>
      <c r="F162" s="9">
        <f>ROUND(D162*E162/100,2)</f>
        <v>1208.55</v>
      </c>
      <c r="G162" s="221">
        <f>+F162</f>
        <v>1208.55</v>
      </c>
      <c r="H162" s="221">
        <f>G162/G$38</f>
        <v>1.007125</v>
      </c>
    </row>
    <row r="163" spans="1:8" x14ac:dyDescent="0.2">
      <c r="A163" s="95"/>
      <c r="E163" s="27"/>
      <c r="F163" s="27"/>
      <c r="G163" s="125"/>
      <c r="H163" s="125"/>
    </row>
    <row r="164" spans="1:8" ht="11.25" customHeight="1" thickBot="1" x14ac:dyDescent="0.25">
      <c r="A164" s="95"/>
      <c r="E164" s="27"/>
      <c r="F164" s="27"/>
      <c r="G164" s="40"/>
      <c r="H164" s="40"/>
    </row>
    <row r="165" spans="1:8" ht="13.5" thickBot="1" x14ac:dyDescent="0.25">
      <c r="A165" s="12" t="s">
        <v>151</v>
      </c>
      <c r="B165" s="13"/>
      <c r="C165" s="16"/>
      <c r="D165" s="16"/>
      <c r="E165" s="17"/>
      <c r="F165" s="18"/>
      <c r="G165" s="220">
        <f>G162</f>
        <v>1208.55</v>
      </c>
      <c r="H165" s="220">
        <f>G165/G$38</f>
        <v>1.007125</v>
      </c>
    </row>
    <row r="166" spans="1:8" ht="13.5" thickBot="1" x14ac:dyDescent="0.25">
      <c r="A166" s="96"/>
      <c r="B166" s="6"/>
      <c r="C166" s="6"/>
      <c r="D166" s="6"/>
      <c r="E166" s="20"/>
      <c r="F166" s="20"/>
      <c r="G166" s="136"/>
      <c r="H166" s="136"/>
    </row>
    <row r="167" spans="1:8" ht="24.75" customHeight="1" thickBot="1" x14ac:dyDescent="0.25">
      <c r="A167" s="12" t="s">
        <v>152</v>
      </c>
      <c r="B167" s="13"/>
      <c r="C167" s="16"/>
      <c r="D167" s="16"/>
      <c r="E167" s="17"/>
      <c r="F167" s="18"/>
      <c r="G167" s="183">
        <f>G157+G165</f>
        <v>5015.0170227458339</v>
      </c>
      <c r="H167" s="220">
        <f>G167/G$38</f>
        <v>4.1791808522881952</v>
      </c>
    </row>
    <row r="168" spans="1:8" ht="12.6" customHeight="1" x14ac:dyDescent="0.2">
      <c r="A168" s="100"/>
      <c r="B168" s="24"/>
      <c r="C168" s="24"/>
      <c r="D168" s="24"/>
      <c r="E168" s="25"/>
      <c r="F168" s="25"/>
      <c r="G168" s="137"/>
      <c r="H168" s="137"/>
    </row>
    <row r="169" spans="1:8" ht="16.149999999999999" customHeight="1" x14ac:dyDescent="0.2">
      <c r="A169" s="378" t="s">
        <v>153</v>
      </c>
      <c r="B169" s="368"/>
      <c r="C169" s="79"/>
      <c r="D169" s="79"/>
      <c r="E169" s="144">
        <f>C109</f>
        <v>1200</v>
      </c>
      <c r="F169" s="143" t="s">
        <v>139</v>
      </c>
      <c r="G169" s="40"/>
      <c r="H169" s="40"/>
    </row>
    <row r="170" spans="1:8" ht="13.5" thickBot="1" x14ac:dyDescent="0.25">
      <c r="A170" s="95"/>
      <c r="E170" s="27"/>
      <c r="F170" s="27"/>
      <c r="G170" s="40"/>
      <c r="H170" s="40"/>
    </row>
    <row r="171" spans="1:8" ht="25.5" customHeight="1" thickBot="1" x14ac:dyDescent="0.25">
      <c r="A171" s="12" t="s">
        <v>154</v>
      </c>
      <c r="B171" s="13"/>
      <c r="C171" s="13"/>
      <c r="D171" s="13"/>
      <c r="E171" s="14"/>
      <c r="F171" s="142" t="s">
        <v>140</v>
      </c>
      <c r="G171" s="381">
        <f>ROUND(IFERROR(G167/E169,"-"),2)</f>
        <v>4.18</v>
      </c>
      <c r="H171" s="382"/>
    </row>
    <row r="172" spans="1:8" ht="12.6" customHeight="1" x14ac:dyDescent="0.2">
      <c r="A172" s="96"/>
      <c r="B172" s="6"/>
      <c r="C172" s="6"/>
      <c r="D172" s="6"/>
      <c r="E172" s="20"/>
      <c r="F172" s="20"/>
      <c r="G172" s="138"/>
      <c r="H172" s="138"/>
    </row>
    <row r="173" spans="1:8" x14ac:dyDescent="0.2">
      <c r="A173" s="96" t="s">
        <v>155</v>
      </c>
      <c r="B173" s="6"/>
      <c r="E173" s="27"/>
      <c r="F173" s="27"/>
      <c r="G173" s="40"/>
      <c r="H173" s="40"/>
    </row>
    <row r="174" spans="1:8" ht="11.25" customHeight="1" thickBot="1" x14ac:dyDescent="0.25">
      <c r="A174" s="95"/>
      <c r="E174" s="27"/>
      <c r="F174" s="27"/>
      <c r="G174" s="40"/>
      <c r="H174" s="40"/>
    </row>
    <row r="175" spans="1:8" ht="13.5" thickBot="1" x14ac:dyDescent="0.25">
      <c r="A175" s="216" t="s">
        <v>26</v>
      </c>
      <c r="B175" s="217"/>
      <c r="C175" s="212" t="s">
        <v>27</v>
      </c>
      <c r="D175" s="212" t="s">
        <v>20</v>
      </c>
      <c r="E175" s="213" t="s">
        <v>90</v>
      </c>
      <c r="F175" s="213" t="s">
        <v>28</v>
      </c>
      <c r="G175" s="214" t="s">
        <v>29</v>
      </c>
      <c r="H175" s="214" t="s">
        <v>140</v>
      </c>
    </row>
    <row r="176" spans="1:8" ht="13.5" thickBot="1" x14ac:dyDescent="0.25">
      <c r="A176" s="365" t="s">
        <v>138</v>
      </c>
      <c r="B176" s="366"/>
      <c r="C176" s="8" t="s">
        <v>0</v>
      </c>
      <c r="D176" s="41">
        <f>BDI!C$24*100</f>
        <v>23.93</v>
      </c>
      <c r="E176" s="9">
        <f>G157</f>
        <v>3806.4670227458337</v>
      </c>
      <c r="F176" s="9">
        <f>ROUND(D176*E176/100,2)</f>
        <v>910.89</v>
      </c>
      <c r="G176" s="221">
        <f>+F176</f>
        <v>910.89</v>
      </c>
      <c r="H176" s="221">
        <f>G176/G$38</f>
        <v>0.75907499999999994</v>
      </c>
    </row>
    <row r="177" spans="1:8" x14ac:dyDescent="0.2">
      <c r="A177" s="95"/>
      <c r="E177" s="27"/>
      <c r="F177" s="27"/>
      <c r="G177" s="138"/>
      <c r="H177" s="138"/>
    </row>
    <row r="178" spans="1:8" ht="11.25" customHeight="1" thickBot="1" x14ac:dyDescent="0.25">
      <c r="A178" s="95"/>
      <c r="E178" s="27"/>
      <c r="F178" s="27"/>
      <c r="G178" s="40"/>
      <c r="H178" s="40"/>
    </row>
    <row r="179" spans="1:8" ht="13.5" thickBot="1" x14ac:dyDescent="0.25">
      <c r="A179" s="12" t="s">
        <v>156</v>
      </c>
      <c r="B179" s="13"/>
      <c r="C179" s="16"/>
      <c r="D179" s="16"/>
      <c r="E179" s="17"/>
      <c r="F179" s="18"/>
      <c r="G179" s="220">
        <f>G176</f>
        <v>910.89</v>
      </c>
      <c r="H179" s="220">
        <f>G179/G$38</f>
        <v>0.75907499999999994</v>
      </c>
    </row>
    <row r="180" spans="1:8" ht="13.5" thickBot="1" x14ac:dyDescent="0.25">
      <c r="A180" s="96"/>
      <c r="B180" s="6"/>
      <c r="C180" s="6"/>
      <c r="D180" s="6"/>
      <c r="E180" s="20"/>
      <c r="F180" s="20"/>
      <c r="G180" s="136"/>
      <c r="H180" s="136"/>
    </row>
    <row r="181" spans="1:8" ht="24.75" customHeight="1" thickBot="1" x14ac:dyDescent="0.25">
      <c r="A181" s="12" t="s">
        <v>157</v>
      </c>
      <c r="B181" s="13"/>
      <c r="C181" s="16"/>
      <c r="D181" s="16"/>
      <c r="E181" s="17"/>
      <c r="F181" s="18"/>
      <c r="G181" s="183">
        <f>G157+G179</f>
        <v>4717.357022745834</v>
      </c>
      <c r="H181" s="220">
        <f>G181/G$38</f>
        <v>3.9311308522881951</v>
      </c>
    </row>
    <row r="182" spans="1:8" ht="12.6" customHeight="1" x14ac:dyDescent="0.2">
      <c r="A182" s="100"/>
      <c r="B182" s="24"/>
      <c r="C182" s="24"/>
      <c r="D182" s="24"/>
      <c r="E182" s="25"/>
      <c r="F182" s="25"/>
      <c r="G182" s="137"/>
      <c r="H182" s="137"/>
    </row>
    <row r="183" spans="1:8" ht="16.149999999999999" customHeight="1" x14ac:dyDescent="0.2">
      <c r="A183" s="141" t="s">
        <v>158</v>
      </c>
      <c r="B183" s="192"/>
      <c r="C183" s="79"/>
      <c r="D183" s="79"/>
      <c r="E183" s="144">
        <f>E$169</f>
        <v>1200</v>
      </c>
      <c r="F183" s="143" t="s">
        <v>139</v>
      </c>
      <c r="G183" s="40"/>
      <c r="H183" s="40"/>
    </row>
    <row r="184" spans="1:8" ht="13.5" thickBot="1" x14ac:dyDescent="0.25">
      <c r="A184" s="95"/>
      <c r="E184" s="27"/>
      <c r="F184" s="27"/>
      <c r="G184" s="40"/>
      <c r="H184" s="40"/>
    </row>
    <row r="185" spans="1:8" ht="25.5" customHeight="1" thickBot="1" x14ac:dyDescent="0.25">
      <c r="A185" s="12" t="s">
        <v>159</v>
      </c>
      <c r="B185" s="13"/>
      <c r="C185" s="13"/>
      <c r="D185" s="13"/>
      <c r="E185" s="14"/>
      <c r="F185" s="142" t="s">
        <v>140</v>
      </c>
      <c r="G185" s="381">
        <f>ROUND(IFERROR(G181/E183,"-"),2)</f>
        <v>3.93</v>
      </c>
      <c r="H185" s="382"/>
    </row>
    <row r="186" spans="1:8" x14ac:dyDescent="0.2">
      <c r="A186" s="113"/>
      <c r="B186" s="114"/>
      <c r="C186" s="114"/>
      <c r="D186" s="114"/>
      <c r="E186" s="115"/>
      <c r="F186" s="115"/>
      <c r="G186" s="125"/>
      <c r="H186" s="125"/>
    </row>
    <row r="187" spans="1:8" x14ac:dyDescent="0.2">
      <c r="A187" s="124" t="s">
        <v>160</v>
      </c>
      <c r="B187" s="193"/>
      <c r="E187" s="27"/>
      <c r="F187" s="27"/>
      <c r="G187" s="40"/>
      <c r="H187" s="40"/>
    </row>
    <row r="188" spans="1:8" ht="11.25" customHeight="1" thickBot="1" x14ac:dyDescent="0.25">
      <c r="A188" s="95"/>
      <c r="E188" s="27"/>
      <c r="F188" s="27"/>
      <c r="G188" s="40"/>
      <c r="H188" s="40"/>
    </row>
    <row r="189" spans="1:8" ht="13.5" thickBot="1" x14ac:dyDescent="0.25">
      <c r="A189" s="216" t="s">
        <v>26</v>
      </c>
      <c r="B189" s="217"/>
      <c r="C189" s="212" t="s">
        <v>27</v>
      </c>
      <c r="D189" s="212" t="s">
        <v>20</v>
      </c>
      <c r="E189" s="213" t="s">
        <v>90</v>
      </c>
      <c r="F189" s="213" t="s">
        <v>28</v>
      </c>
      <c r="G189" s="214" t="s">
        <v>29</v>
      </c>
      <c r="H189" s="214" t="s">
        <v>140</v>
      </c>
    </row>
    <row r="190" spans="1:8" ht="13.5" thickBot="1" x14ac:dyDescent="0.25">
      <c r="A190" s="97" t="s">
        <v>161</v>
      </c>
      <c r="B190" s="190"/>
      <c r="C190" s="8" t="s">
        <v>0</v>
      </c>
      <c r="D190" s="41">
        <f>BDI!C35*100</f>
        <v>16.93</v>
      </c>
      <c r="E190" s="9">
        <f>G158</f>
        <v>3653.9462477458333</v>
      </c>
      <c r="F190" s="9">
        <f>ROUND(D190*E190/100,2)</f>
        <v>618.61</v>
      </c>
      <c r="G190" s="221">
        <f>+F190</f>
        <v>618.61</v>
      </c>
      <c r="H190" s="221">
        <f>G190/G$38</f>
        <v>0.51550833333333335</v>
      </c>
    </row>
    <row r="191" spans="1:8" x14ac:dyDescent="0.2">
      <c r="A191" s="95"/>
      <c r="E191" s="27"/>
      <c r="F191" s="27"/>
      <c r="G191" s="125"/>
      <c r="H191" s="125"/>
    </row>
    <row r="192" spans="1:8" ht="11.25" customHeight="1" thickBot="1" x14ac:dyDescent="0.25">
      <c r="A192" s="95"/>
      <c r="E192" s="27"/>
      <c r="F192" s="27"/>
      <c r="G192" s="40"/>
      <c r="H192" s="40"/>
    </row>
    <row r="193" spans="1:11" ht="13.5" thickBot="1" x14ac:dyDescent="0.25">
      <c r="A193" s="12" t="s">
        <v>162</v>
      </c>
      <c r="B193" s="13"/>
      <c r="C193" s="16"/>
      <c r="D193" s="16"/>
      <c r="E193" s="17"/>
      <c r="F193" s="18"/>
      <c r="G193" s="220">
        <f>G190</f>
        <v>618.61</v>
      </c>
      <c r="H193" s="220">
        <f>G193/G$38</f>
        <v>0.51550833333333335</v>
      </c>
    </row>
    <row r="194" spans="1:11" ht="13.5" thickBot="1" x14ac:dyDescent="0.25">
      <c r="A194" s="96"/>
      <c r="B194" s="6"/>
      <c r="C194" s="6"/>
      <c r="D194" s="6"/>
      <c r="E194" s="20"/>
      <c r="F194" s="20"/>
      <c r="G194" s="136"/>
      <c r="H194" s="136"/>
    </row>
    <row r="195" spans="1:11" ht="24.75" customHeight="1" thickBot="1" x14ac:dyDescent="0.25">
      <c r="A195" s="12" t="s">
        <v>163</v>
      </c>
      <c r="B195" s="13"/>
      <c r="C195" s="16"/>
      <c r="D195" s="16"/>
      <c r="E195" s="17"/>
      <c r="F195" s="18"/>
      <c r="G195" s="220">
        <f>E190+G193</f>
        <v>4272.5562477458334</v>
      </c>
      <c r="H195" s="220">
        <f>G195/G$38</f>
        <v>3.5604635397881945</v>
      </c>
    </row>
    <row r="196" spans="1:11" ht="12.6" customHeight="1" x14ac:dyDescent="0.2">
      <c r="A196" s="100"/>
      <c r="B196" s="24"/>
      <c r="C196" s="24"/>
      <c r="D196" s="24"/>
      <c r="E196" s="25"/>
      <c r="F196" s="25"/>
      <c r="G196" s="137"/>
      <c r="H196" s="137"/>
    </row>
    <row r="197" spans="1:11" ht="12.6" customHeight="1" x14ac:dyDescent="0.2">
      <c r="A197" s="100" t="s">
        <v>120</v>
      </c>
      <c r="B197" s="24"/>
      <c r="C197" s="24"/>
      <c r="D197" s="24"/>
      <c r="E197" s="25"/>
      <c r="F197" s="25"/>
      <c r="G197" s="139"/>
      <c r="H197" s="139"/>
    </row>
    <row r="198" spans="1:11" x14ac:dyDescent="0.2">
      <c r="A198" s="140" t="s">
        <v>117</v>
      </c>
      <c r="B198" s="6"/>
      <c r="E198" s="27"/>
      <c r="F198" s="27"/>
      <c r="G198" s="40"/>
      <c r="H198" s="40"/>
    </row>
    <row r="199" spans="1:11" x14ac:dyDescent="0.2">
      <c r="A199" s="96" t="s">
        <v>115</v>
      </c>
      <c r="B199" s="6"/>
      <c r="E199" s="27"/>
      <c r="F199" s="27"/>
      <c r="G199" s="40"/>
      <c r="H199" s="40"/>
    </row>
    <row r="200" spans="1:11" x14ac:dyDescent="0.2">
      <c r="A200" s="383" t="s">
        <v>257</v>
      </c>
      <c r="B200" s="384"/>
      <c r="E200" s="27"/>
      <c r="F200" s="27"/>
      <c r="G200" s="40"/>
      <c r="H200" s="40"/>
    </row>
    <row r="201" spans="1:11" ht="11.25" customHeight="1" thickBot="1" x14ac:dyDescent="0.25">
      <c r="A201" s="116"/>
      <c r="E201" s="27"/>
      <c r="F201" s="27"/>
      <c r="G201" s="40"/>
      <c r="H201" s="40"/>
    </row>
    <row r="202" spans="1:11" ht="15.75" thickBot="1" x14ac:dyDescent="0.3">
      <c r="A202" s="216" t="s">
        <v>26</v>
      </c>
      <c r="B202" s="217"/>
      <c r="C202" s="212" t="s">
        <v>27</v>
      </c>
      <c r="D202" s="212" t="s">
        <v>20</v>
      </c>
      <c r="E202" s="213" t="s">
        <v>116</v>
      </c>
      <c r="F202" s="213" t="s">
        <v>28</v>
      </c>
      <c r="G202" s="214" t="s">
        <v>29</v>
      </c>
      <c r="H202" s="214" t="s">
        <v>140</v>
      </c>
      <c r="I202" s="306"/>
      <c r="J202" s="307"/>
      <c r="K202" s="306"/>
    </row>
    <row r="203" spans="1:11" ht="15.75" thickBot="1" x14ac:dyDescent="0.3">
      <c r="A203" s="365" t="s">
        <v>164</v>
      </c>
      <c r="B203" s="366"/>
      <c r="C203" s="117" t="s">
        <v>0</v>
      </c>
      <c r="D203" s="282">
        <v>6</v>
      </c>
      <c r="E203" s="118">
        <f>G195</f>
        <v>4272.5562477458334</v>
      </c>
      <c r="F203" s="9">
        <f>ROUND(G206*(D203/100),2)</f>
        <v>272.72000000000003</v>
      </c>
      <c r="G203" s="220">
        <f>F203</f>
        <v>272.72000000000003</v>
      </c>
      <c r="H203" s="220">
        <f>G203/G$38</f>
        <v>0.2272666666666667</v>
      </c>
      <c r="I203" s="308">
        <f>G206*12</f>
        <v>54543.271247819153</v>
      </c>
      <c r="J203" s="309"/>
      <c r="K203" s="309"/>
    </row>
    <row r="204" spans="1:11" ht="15.75" x14ac:dyDescent="0.25">
      <c r="A204" s="95"/>
      <c r="E204" s="27"/>
      <c r="F204" s="27"/>
      <c r="G204" s="137"/>
      <c r="H204" s="137"/>
      <c r="I204" s="306">
        <v>6</v>
      </c>
      <c r="J204" s="306">
        <f>I203*I204/100</f>
        <v>3272.5962748691491</v>
      </c>
      <c r="K204" s="306"/>
    </row>
    <row r="205" spans="1:11" ht="15.75" thickBot="1" x14ac:dyDescent="0.3">
      <c r="A205" s="119"/>
      <c r="B205" s="120"/>
      <c r="C205" s="120"/>
      <c r="D205" s="120"/>
      <c r="E205" s="121"/>
      <c r="F205" s="121"/>
      <c r="G205" s="40"/>
      <c r="H205" s="40"/>
      <c r="I205" s="310"/>
      <c r="J205" s="306">
        <f>J204-I205</f>
        <v>3272.5962748691491</v>
      </c>
      <c r="K205" s="311"/>
    </row>
    <row r="206" spans="1:11" ht="24.75" customHeight="1" thickBot="1" x14ac:dyDescent="0.25">
      <c r="A206" s="12" t="s">
        <v>165</v>
      </c>
      <c r="B206" s="13"/>
      <c r="C206" s="16"/>
      <c r="D206" s="16"/>
      <c r="E206" s="17"/>
      <c r="F206" s="18"/>
      <c r="G206" s="183">
        <f>E203/((100-D203)/100)</f>
        <v>4545.2726039849294</v>
      </c>
      <c r="H206" s="220">
        <f>G206/G$38</f>
        <v>3.7877271699874413</v>
      </c>
      <c r="J206" s="321">
        <f>J205/I203</f>
        <v>0.06</v>
      </c>
    </row>
    <row r="207" spans="1:11" ht="12.6" customHeight="1" x14ac:dyDescent="0.2">
      <c r="A207" s="100"/>
      <c r="B207" s="24"/>
      <c r="C207" s="24"/>
      <c r="D207" s="24"/>
      <c r="E207" s="25"/>
      <c r="F207" s="25"/>
      <c r="G207" s="137"/>
      <c r="H207" s="137"/>
    </row>
    <row r="208" spans="1:11" ht="16.149999999999999" customHeight="1" x14ac:dyDescent="0.2">
      <c r="A208" s="141" t="s">
        <v>166</v>
      </c>
      <c r="B208" s="192"/>
      <c r="C208" s="79"/>
      <c r="D208" s="79"/>
      <c r="E208" s="144">
        <f>E$169</f>
        <v>1200</v>
      </c>
      <c r="F208" s="143" t="s">
        <v>139</v>
      </c>
      <c r="G208" s="40"/>
      <c r="H208" s="40"/>
    </row>
    <row r="209" spans="1:8" ht="13.5" thickBot="1" x14ac:dyDescent="0.25">
      <c r="A209" s="95"/>
      <c r="E209" s="27"/>
      <c r="F209" s="27"/>
      <c r="G209" s="40"/>
      <c r="H209" s="40"/>
    </row>
    <row r="210" spans="1:8" ht="25.5" customHeight="1" thickBot="1" x14ac:dyDescent="0.25">
      <c r="A210" s="12" t="s">
        <v>167</v>
      </c>
      <c r="B210" s="13"/>
      <c r="C210" s="13"/>
      <c r="D210" s="13"/>
      <c r="E210" s="14"/>
      <c r="F210" s="142" t="s">
        <v>140</v>
      </c>
      <c r="G210" s="381">
        <f>ROUND(IFERROR(G206/E208,"-"),2)</f>
        <v>3.79</v>
      </c>
      <c r="H210" s="382"/>
    </row>
    <row r="211" spans="1:8" ht="9" customHeight="1" x14ac:dyDescent="0.2">
      <c r="E211" s="4"/>
      <c r="F211" s="4"/>
      <c r="G211" s="4"/>
      <c r="H211" s="27"/>
    </row>
    <row r="212" spans="1:8" x14ac:dyDescent="0.2">
      <c r="H212" s="27"/>
    </row>
    <row r="213" spans="1:8" x14ac:dyDescent="0.2">
      <c r="H213" s="27"/>
    </row>
    <row r="214" spans="1:8" x14ac:dyDescent="0.2">
      <c r="A214" s="6"/>
      <c r="B214" s="6"/>
      <c r="C214" s="6"/>
      <c r="D214" s="6"/>
      <c r="E214" s="277"/>
      <c r="F214" s="277"/>
      <c r="G214" s="277"/>
      <c r="H214" s="20"/>
    </row>
    <row r="215" spans="1:8" x14ac:dyDescent="0.2">
      <c r="A215" s="6"/>
      <c r="B215" s="6"/>
      <c r="C215" s="6"/>
      <c r="D215" s="6"/>
      <c r="E215" s="277"/>
      <c r="F215" s="277"/>
      <c r="G215" s="277"/>
      <c r="H215" s="20"/>
    </row>
    <row r="216" spans="1:8" x14ac:dyDescent="0.2">
      <c r="A216" s="6"/>
      <c r="B216" s="6"/>
      <c r="C216" s="6"/>
      <c r="D216" s="6"/>
      <c r="E216" s="277"/>
      <c r="F216" s="277"/>
      <c r="G216" s="277"/>
      <c r="H216" s="20"/>
    </row>
    <row r="217" spans="1:8" x14ac:dyDescent="0.2">
      <c r="A217" s="6"/>
      <c r="B217" s="6"/>
      <c r="C217" s="6"/>
      <c r="D217" s="6"/>
      <c r="E217" s="277"/>
      <c r="F217" s="277"/>
      <c r="G217" s="277"/>
      <c r="H217" s="20"/>
    </row>
    <row r="218" spans="1:8" x14ac:dyDescent="0.2">
      <c r="A218" s="6"/>
      <c r="B218" s="6"/>
      <c r="C218" s="380"/>
      <c r="D218" s="380"/>
      <c r="E218" s="380"/>
      <c r="F218" s="277"/>
      <c r="G218" s="277"/>
      <c r="H218" s="20"/>
    </row>
    <row r="219" spans="1:8" x14ac:dyDescent="0.2">
      <c r="A219" s="6"/>
      <c r="B219" s="6"/>
      <c r="C219" s="380"/>
      <c r="D219" s="380"/>
      <c r="E219" s="380"/>
      <c r="F219" s="277"/>
      <c r="G219" s="277"/>
      <c r="H219" s="20"/>
    </row>
    <row r="220" spans="1:8" x14ac:dyDescent="0.2">
      <c r="A220" s="6"/>
      <c r="B220" s="6"/>
      <c r="C220" s="380"/>
      <c r="D220" s="380"/>
      <c r="E220" s="380"/>
      <c r="F220" s="277"/>
      <c r="G220" s="277"/>
      <c r="H220" s="20"/>
    </row>
    <row r="221" spans="1:8" x14ac:dyDescent="0.2">
      <c r="H221" s="27"/>
    </row>
    <row r="222" spans="1:8" x14ac:dyDescent="0.2">
      <c r="H222" s="27"/>
    </row>
    <row r="223" spans="1:8" x14ac:dyDescent="0.2">
      <c r="H223" s="27"/>
    </row>
  </sheetData>
  <mergeCells count="117">
    <mergeCell ref="C219:E219"/>
    <mergeCell ref="C220:E220"/>
    <mergeCell ref="A176:B176"/>
    <mergeCell ref="G185:H185"/>
    <mergeCell ref="A200:B200"/>
    <mergeCell ref="A203:B203"/>
    <mergeCell ref="G210:H210"/>
    <mergeCell ref="C218:E218"/>
    <mergeCell ref="A152:B152"/>
    <mergeCell ref="A153:B153"/>
    <mergeCell ref="A161:B161"/>
    <mergeCell ref="A162:B162"/>
    <mergeCell ref="A169:B169"/>
    <mergeCell ref="G171:H171"/>
    <mergeCell ref="A141:B141"/>
    <mergeCell ref="A143:B143"/>
    <mergeCell ref="A148:B148"/>
    <mergeCell ref="A149:B149"/>
    <mergeCell ref="A150:B150"/>
    <mergeCell ref="A151:B151"/>
    <mergeCell ref="A129:B129"/>
    <mergeCell ref="A132:B132"/>
    <mergeCell ref="A133:B133"/>
    <mergeCell ref="A136:B136"/>
    <mergeCell ref="A137:B137"/>
    <mergeCell ref="A140:B140"/>
    <mergeCell ref="A121:B121"/>
    <mergeCell ref="A122:B122"/>
    <mergeCell ref="A123:B123"/>
    <mergeCell ref="A126:B126"/>
    <mergeCell ref="A127:B127"/>
    <mergeCell ref="A128:B128"/>
    <mergeCell ref="A115:B115"/>
    <mergeCell ref="A116:B116"/>
    <mergeCell ref="A117:B117"/>
    <mergeCell ref="A118:B118"/>
    <mergeCell ref="A119:B119"/>
    <mergeCell ref="A120:B120"/>
    <mergeCell ref="A104:B104"/>
    <mergeCell ref="A105:B105"/>
    <mergeCell ref="A106:B106"/>
    <mergeCell ref="A110:B110"/>
    <mergeCell ref="A111:B111"/>
    <mergeCell ref="A112:B112"/>
    <mergeCell ref="A96:B96"/>
    <mergeCell ref="A99:B99"/>
    <mergeCell ref="A100:B100"/>
    <mergeCell ref="A101:B101"/>
    <mergeCell ref="A102:B102"/>
    <mergeCell ref="A103:B103"/>
    <mergeCell ref="A90:B90"/>
    <mergeCell ref="A91:B91"/>
    <mergeCell ref="A92:B92"/>
    <mergeCell ref="A93:B93"/>
    <mergeCell ref="A94:B94"/>
    <mergeCell ref="A95:B95"/>
    <mergeCell ref="A82:B82"/>
    <mergeCell ref="A83:B83"/>
    <mergeCell ref="A84:B84"/>
    <mergeCell ref="A85:B85"/>
    <mergeCell ref="A88:B88"/>
    <mergeCell ref="A89:B89"/>
    <mergeCell ref="A63:B63"/>
    <mergeCell ref="A64:B64"/>
    <mergeCell ref="A65:B65"/>
    <mergeCell ref="A66:B66"/>
    <mergeCell ref="A71:B71"/>
    <mergeCell ref="A81:B81"/>
    <mergeCell ref="A51:B51"/>
    <mergeCell ref="A52:B52"/>
    <mergeCell ref="A53:B53"/>
    <mergeCell ref="A57:B57"/>
    <mergeCell ref="A58:B58"/>
    <mergeCell ref="A59:B59"/>
    <mergeCell ref="A43:B43"/>
    <mergeCell ref="D43:F43"/>
    <mergeCell ref="A45:G45"/>
    <mergeCell ref="A48:B48"/>
    <mergeCell ref="A49:B49"/>
    <mergeCell ref="A50:B50"/>
    <mergeCell ref="A35:B35"/>
    <mergeCell ref="A37:B37"/>
    <mergeCell ref="A38:B38"/>
    <mergeCell ref="A39:B39"/>
    <mergeCell ref="A40:B40"/>
    <mergeCell ref="D42:G42"/>
    <mergeCell ref="A28:G28"/>
    <mergeCell ref="A29:B29"/>
    <mergeCell ref="A30:B30"/>
    <mergeCell ref="A31:B31"/>
    <mergeCell ref="A33:B33"/>
    <mergeCell ref="A34:B34"/>
    <mergeCell ref="A21:B21"/>
    <mergeCell ref="A22:B22"/>
    <mergeCell ref="A23:B23"/>
    <mergeCell ref="A24:B24"/>
    <mergeCell ref="A25:B25"/>
    <mergeCell ref="A26:B26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H1"/>
    <mergeCell ref="D3:E3"/>
    <mergeCell ref="G3:H3"/>
    <mergeCell ref="B4:C4"/>
    <mergeCell ref="C7:D7"/>
    <mergeCell ref="E7:F7"/>
    <mergeCell ref="G7:H7"/>
    <mergeCell ref="A14:B14"/>
    <mergeCell ref="A15:B15"/>
  </mergeCells>
  <pageMargins left="0.39370078740157483" right="0" top="0.59055118110236227" bottom="0.39370078740157483" header="0" footer="0"/>
  <pageSetup paperSize="9" scale="82" fitToHeight="0" orientation="portrait" r:id="rId1"/>
  <headerFooter alignWithMargins="0">
    <oddFooter>&amp;R&amp;P de &amp;N</oddFooter>
  </headerFooter>
  <rowBreaks count="3" manualBreakCount="3">
    <brk id="60" max="7" man="1"/>
    <brk id="123" max="7" man="1"/>
    <brk id="185" max="7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"/>
  <sheetViews>
    <sheetView topLeftCell="A16" zoomScaleNormal="100" workbookViewId="0">
      <selection sqref="A1:C1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385" t="s">
        <v>180</v>
      </c>
      <c r="B1" s="386"/>
      <c r="C1" s="387"/>
      <c r="D1" s="46"/>
      <c r="E1" s="46"/>
      <c r="F1" s="46"/>
    </row>
    <row r="2" spans="1:6" ht="18" x14ac:dyDescent="0.2">
      <c r="A2" s="388" t="s">
        <v>181</v>
      </c>
      <c r="B2" s="389"/>
      <c r="C2" s="390"/>
      <c r="D2" s="46"/>
      <c r="E2" s="46"/>
      <c r="F2" s="46"/>
    </row>
    <row r="3" spans="1:6" ht="15" x14ac:dyDescent="0.2">
      <c r="A3" s="80" t="s">
        <v>45</v>
      </c>
      <c r="B3" s="179" t="s">
        <v>46</v>
      </c>
      <c r="C3" s="180" t="s">
        <v>104</v>
      </c>
      <c r="D3" s="49"/>
    </row>
    <row r="4" spans="1:6" ht="14.25" x14ac:dyDescent="0.2">
      <c r="A4" s="47" t="s">
        <v>47</v>
      </c>
      <c r="B4" s="48" t="s">
        <v>21</v>
      </c>
      <c r="C4" s="245">
        <v>0.2</v>
      </c>
      <c r="D4" s="49"/>
    </row>
    <row r="5" spans="1:6" ht="14.25" x14ac:dyDescent="0.2">
      <c r="A5" s="47" t="s">
        <v>48</v>
      </c>
      <c r="B5" s="48" t="s">
        <v>49</v>
      </c>
      <c r="C5" s="245">
        <v>1.4999999999999999E-2</v>
      </c>
      <c r="D5" s="49"/>
    </row>
    <row r="6" spans="1:6" ht="14.25" x14ac:dyDescent="0.2">
      <c r="A6" s="47" t="s">
        <v>50</v>
      </c>
      <c r="B6" s="48" t="s">
        <v>51</v>
      </c>
      <c r="C6" s="245">
        <v>0.01</v>
      </c>
      <c r="D6" s="49"/>
    </row>
    <row r="7" spans="1:6" ht="14.25" x14ac:dyDescent="0.2">
      <c r="A7" s="47" t="s">
        <v>52</v>
      </c>
      <c r="B7" s="48" t="s">
        <v>53</v>
      </c>
      <c r="C7" s="245">
        <v>2E-3</v>
      </c>
      <c r="D7" s="49"/>
    </row>
    <row r="8" spans="1:6" ht="14.25" x14ac:dyDescent="0.2">
      <c r="A8" s="47" t="s">
        <v>54</v>
      </c>
      <c r="B8" s="48" t="s">
        <v>55</v>
      </c>
      <c r="C8" s="245">
        <v>6.0000000000000001E-3</v>
      </c>
      <c r="D8" s="49"/>
    </row>
    <row r="9" spans="1:6" ht="14.25" x14ac:dyDescent="0.2">
      <c r="A9" s="47" t="s">
        <v>56</v>
      </c>
      <c r="B9" s="48" t="s">
        <v>57</v>
      </c>
      <c r="C9" s="245">
        <v>2.5000000000000001E-2</v>
      </c>
      <c r="D9" s="49"/>
    </row>
    <row r="10" spans="1:6" ht="14.25" x14ac:dyDescent="0.2">
      <c r="A10" s="47" t="s">
        <v>58</v>
      </c>
      <c r="B10" s="48" t="s">
        <v>59</v>
      </c>
      <c r="C10" s="245">
        <v>0.03</v>
      </c>
      <c r="D10" s="49"/>
    </row>
    <row r="11" spans="1:6" ht="14.25" x14ac:dyDescent="0.2">
      <c r="A11" s="47" t="s">
        <v>60</v>
      </c>
      <c r="B11" s="48" t="s">
        <v>22</v>
      </c>
      <c r="C11" s="245">
        <v>0.08</v>
      </c>
      <c r="D11" s="49"/>
    </row>
    <row r="12" spans="1:6" ht="15" x14ac:dyDescent="0.2">
      <c r="A12" s="47" t="s">
        <v>61</v>
      </c>
      <c r="B12" s="50" t="s">
        <v>62</v>
      </c>
      <c r="C12" s="51">
        <f>SUM(C4:C11)</f>
        <v>0.36800000000000005</v>
      </c>
      <c r="D12" s="49"/>
    </row>
    <row r="13" spans="1:6" ht="15" x14ac:dyDescent="0.2">
      <c r="A13" s="52"/>
      <c r="B13" s="53"/>
      <c r="C13" s="54"/>
      <c r="D13" s="49"/>
    </row>
    <row r="14" spans="1:6" ht="14.25" x14ac:dyDescent="0.2">
      <c r="A14" s="47" t="s">
        <v>63</v>
      </c>
      <c r="B14" s="55" t="s">
        <v>64</v>
      </c>
      <c r="C14" s="245">
        <v>0.1111</v>
      </c>
      <c r="D14" s="49"/>
    </row>
    <row r="15" spans="1:6" ht="14.25" x14ac:dyDescent="0.2">
      <c r="A15" s="47" t="s">
        <v>65</v>
      </c>
      <c r="B15" s="55" t="s">
        <v>66</v>
      </c>
      <c r="C15" s="245">
        <v>8.3299999999999999E-2</v>
      </c>
      <c r="D15" s="49"/>
    </row>
    <row r="16" spans="1:6" ht="14.25" x14ac:dyDescent="0.2">
      <c r="A16" s="47" t="s">
        <v>88</v>
      </c>
      <c r="B16" s="55" t="s">
        <v>68</v>
      </c>
      <c r="C16" s="245">
        <v>5.0000000000000001E-4</v>
      </c>
      <c r="D16" s="49"/>
    </row>
    <row r="17" spans="1:7" ht="14.25" x14ac:dyDescent="0.2">
      <c r="A17" s="47" t="s">
        <v>67</v>
      </c>
      <c r="B17" s="55" t="s">
        <v>70</v>
      </c>
      <c r="C17" s="245">
        <v>5.0000000000000001E-3</v>
      </c>
      <c r="D17" s="49"/>
    </row>
    <row r="18" spans="1:7" ht="14.25" x14ac:dyDescent="0.2">
      <c r="A18" s="47" t="s">
        <v>69</v>
      </c>
      <c r="B18" s="55" t="s">
        <v>71</v>
      </c>
      <c r="C18" s="245">
        <v>1E-3</v>
      </c>
      <c r="D18" s="49"/>
    </row>
    <row r="19" spans="1:7" ht="15" x14ac:dyDescent="0.2">
      <c r="A19" s="47" t="s">
        <v>72</v>
      </c>
      <c r="B19" s="50" t="s">
        <v>73</v>
      </c>
      <c r="C19" s="51">
        <f>SUM(C14:C18)</f>
        <v>0.20090000000000002</v>
      </c>
      <c r="D19" s="56"/>
    </row>
    <row r="20" spans="1:7" ht="15" x14ac:dyDescent="0.2">
      <c r="A20" s="52"/>
      <c r="B20" s="53"/>
      <c r="C20" s="54"/>
      <c r="D20" s="56"/>
    </row>
    <row r="21" spans="1:7" ht="14.25" x14ac:dyDescent="0.2">
      <c r="A21" s="47" t="s">
        <v>74</v>
      </c>
      <c r="B21" s="48" t="s">
        <v>75</v>
      </c>
      <c r="C21" s="245">
        <v>2.9000000000000001E-2</v>
      </c>
      <c r="D21" s="49"/>
      <c r="E21" s="57"/>
    </row>
    <row r="22" spans="1:7" ht="14.25" x14ac:dyDescent="0.2">
      <c r="A22" s="47" t="s">
        <v>87</v>
      </c>
      <c r="B22" s="48" t="s">
        <v>76</v>
      </c>
      <c r="C22" s="245">
        <v>3.2000000000000001E-2</v>
      </c>
      <c r="D22" s="49"/>
      <c r="G22" s="57"/>
    </row>
    <row r="23" spans="1:7" ht="15" x14ac:dyDescent="0.2">
      <c r="A23" s="47" t="s">
        <v>77</v>
      </c>
      <c r="B23" s="50" t="s">
        <v>78</v>
      </c>
      <c r="C23" s="51">
        <f>SUM(C21:C22)</f>
        <v>6.0999999999999999E-2</v>
      </c>
      <c r="D23" s="56"/>
    </row>
    <row r="24" spans="1:7" ht="15" x14ac:dyDescent="0.2">
      <c r="A24" s="52"/>
      <c r="B24" s="53"/>
      <c r="C24" s="54"/>
      <c r="D24" s="56"/>
    </row>
    <row r="25" spans="1:7" ht="14.25" x14ac:dyDescent="0.2">
      <c r="A25" s="47" t="s">
        <v>79</v>
      </c>
      <c r="B25" s="48" t="s">
        <v>80</v>
      </c>
      <c r="C25" s="252">
        <f>ROUND(C12*C19,4)</f>
        <v>7.3899999999999993E-2</v>
      </c>
      <c r="D25" s="185"/>
    </row>
    <row r="26" spans="1:7" ht="28.5" x14ac:dyDescent="0.2">
      <c r="A26" s="47" t="s">
        <v>81</v>
      </c>
      <c r="B26" s="58" t="s">
        <v>95</v>
      </c>
      <c r="C26" s="252">
        <f>ROUND((C21*C11),4)</f>
        <v>2.3E-3</v>
      </c>
      <c r="D26" s="49"/>
    </row>
    <row r="27" spans="1:7" ht="15" x14ac:dyDescent="0.2">
      <c r="A27" s="47" t="s">
        <v>82</v>
      </c>
      <c r="B27" s="50" t="s">
        <v>83</v>
      </c>
      <c r="C27" s="51">
        <f>SUM(C25:C26)</f>
        <v>7.619999999999999E-2</v>
      </c>
      <c r="D27" s="56"/>
    </row>
    <row r="28" spans="1:7" ht="15.75" thickBot="1" x14ac:dyDescent="0.25">
      <c r="A28" s="186"/>
      <c r="B28" s="187" t="s">
        <v>84</v>
      </c>
      <c r="C28" s="188">
        <f>C27+C23+C19+C12</f>
        <v>0.70610000000000006</v>
      </c>
      <c r="D28" s="56"/>
    </row>
    <row r="29" spans="1:7" ht="15.75" thickBot="1" x14ac:dyDescent="0.25">
      <c r="A29" s="49"/>
      <c r="B29" s="59"/>
      <c r="C29" s="60"/>
      <c r="D29" s="56"/>
    </row>
    <row r="30" spans="1:7" ht="18.75" thickBot="1" x14ac:dyDescent="0.25">
      <c r="A30" s="391" t="s">
        <v>180</v>
      </c>
      <c r="B30" s="392"/>
      <c r="C30" s="393"/>
      <c r="D30" s="56"/>
      <c r="E30" s="46"/>
    </row>
    <row r="31" spans="1:7" customFormat="1" ht="18.75" thickBot="1" x14ac:dyDescent="0.25">
      <c r="A31" s="391" t="s">
        <v>197</v>
      </c>
      <c r="B31" s="392"/>
      <c r="C31" s="393"/>
      <c r="D31" s="56"/>
    </row>
    <row r="32" spans="1:7" s="88" customFormat="1" ht="15" x14ac:dyDescent="0.2">
      <c r="A32" s="201" t="s">
        <v>204</v>
      </c>
      <c r="B32" s="201" t="s">
        <v>46</v>
      </c>
      <c r="C32" s="202" t="s">
        <v>104</v>
      </c>
      <c r="D32" s="56"/>
    </row>
    <row r="33" spans="1:3" s="88" customFormat="1" ht="14.25" x14ac:dyDescent="0.2">
      <c r="A33" s="207">
        <v>1</v>
      </c>
      <c r="B33" s="181" t="s">
        <v>22</v>
      </c>
      <c r="C33" s="253">
        <v>0.08</v>
      </c>
    </row>
    <row r="34" spans="1:3" s="88" customFormat="1" ht="14.25" x14ac:dyDescent="0.2">
      <c r="A34" s="207">
        <v>2</v>
      </c>
      <c r="B34" s="182" t="s">
        <v>98</v>
      </c>
      <c r="C34" s="246">
        <v>0.1111</v>
      </c>
    </row>
    <row r="35" spans="1:3" s="88" customFormat="1" ht="14.25" x14ac:dyDescent="0.2">
      <c r="A35" s="207">
        <v>3</v>
      </c>
      <c r="B35" s="182" t="s">
        <v>99</v>
      </c>
      <c r="C35" s="246">
        <v>8.3299999999999999E-2</v>
      </c>
    </row>
    <row r="36" spans="1:3" s="88" customFormat="1" ht="14.25" x14ac:dyDescent="0.2">
      <c r="A36" s="207">
        <v>4</v>
      </c>
      <c r="B36" s="182" t="s">
        <v>216</v>
      </c>
      <c r="C36" s="246">
        <v>3.2000000000000001E-2</v>
      </c>
    </row>
    <row r="37" spans="1:3" s="88" customFormat="1" ht="15" thickBot="1" x14ac:dyDescent="0.25">
      <c r="A37" s="207">
        <v>5</v>
      </c>
      <c r="B37" s="203" t="s">
        <v>100</v>
      </c>
      <c r="C37" s="251">
        <f>(C34+C35)*(C33+C36)</f>
        <v>2.1772800000000002E-2</v>
      </c>
    </row>
    <row r="38" spans="1:3" s="88" customFormat="1" ht="15.75" thickBot="1" x14ac:dyDescent="0.3">
      <c r="A38" s="204" t="s">
        <v>105</v>
      </c>
      <c r="B38" s="205"/>
      <c r="C38" s="206">
        <f>SUM(C33:C37)</f>
        <v>0.32817279999999999</v>
      </c>
    </row>
    <row r="39" spans="1:3" customFormat="1" x14ac:dyDescent="0.2"/>
    <row r="40" spans="1:3" ht="14.25" x14ac:dyDescent="0.2">
      <c r="A40" s="49"/>
      <c r="B40" s="61"/>
      <c r="C40" s="63"/>
    </row>
    <row r="41" spans="1:3" ht="14.25" x14ac:dyDescent="0.2">
      <c r="A41" s="49"/>
      <c r="B41" s="64"/>
      <c r="C41" s="49"/>
    </row>
    <row r="42" spans="1:3" ht="14.25" x14ac:dyDescent="0.2">
      <c r="A42" s="49"/>
      <c r="B42" s="61"/>
      <c r="C42" s="63"/>
    </row>
    <row r="43" spans="1:3" ht="14.25" x14ac:dyDescent="0.2">
      <c r="A43" s="49"/>
      <c r="B43" s="64"/>
      <c r="C43" s="49"/>
    </row>
    <row r="44" spans="1:3" ht="14.25" x14ac:dyDescent="0.2">
      <c r="A44" s="49"/>
      <c r="B44" s="61"/>
      <c r="C44" s="63"/>
    </row>
    <row r="45" spans="1:3" ht="14.25" x14ac:dyDescent="0.2">
      <c r="A45" s="49"/>
      <c r="B45" s="64"/>
      <c r="C45" s="49"/>
    </row>
    <row r="46" spans="1:3" ht="14.25" x14ac:dyDescent="0.2">
      <c r="A46" s="49"/>
      <c r="B46" s="61"/>
      <c r="C46" s="63"/>
    </row>
    <row r="47" spans="1:3" ht="16.5" x14ac:dyDescent="0.2">
      <c r="A47" s="62"/>
    </row>
    <row r="50" spans="1:1" x14ac:dyDescent="0.2">
      <c r="A50" s="65"/>
    </row>
  </sheetData>
  <mergeCells count="4">
    <mergeCell ref="A1:C1"/>
    <mergeCell ref="A2:C2"/>
    <mergeCell ref="A30:C30"/>
    <mergeCell ref="A31:C3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zoomScaleNormal="100" workbookViewId="0">
      <selection activeCell="C8" sqref="C8"/>
    </sheetView>
  </sheetViews>
  <sheetFormatPr defaultRowHeight="12.75" x14ac:dyDescent="0.2"/>
  <cols>
    <col min="1" max="1" width="43.85546875" customWidth="1"/>
    <col min="2" max="3" width="12" customWidth="1"/>
    <col min="4" max="4" width="7" customWidth="1"/>
    <col min="5" max="5" width="16.7109375" customWidth="1"/>
    <col min="6" max="6" width="1.5703125" customWidth="1"/>
    <col min="7" max="7" width="45.140625" customWidth="1"/>
  </cols>
  <sheetData>
    <row r="1" spans="1:5" s="2" customFormat="1" ht="15.6" customHeight="1" thickBot="1" x14ac:dyDescent="0.25">
      <c r="A1" s="394" t="s">
        <v>107</v>
      </c>
      <c r="B1" s="395"/>
      <c r="C1" s="395"/>
      <c r="D1" s="395"/>
      <c r="E1" s="396"/>
    </row>
    <row r="2" spans="1:5" ht="16.5" thickBot="1" x14ac:dyDescent="0.25">
      <c r="A2" s="397" t="s">
        <v>119</v>
      </c>
      <c r="B2" s="398"/>
      <c r="C2" s="398"/>
      <c r="D2" s="398"/>
      <c r="E2" s="399"/>
    </row>
    <row r="3" spans="1:5" ht="30" x14ac:dyDescent="0.2">
      <c r="A3" s="270" t="s">
        <v>46</v>
      </c>
      <c r="B3" s="271" t="s">
        <v>217</v>
      </c>
      <c r="C3" s="272" t="s">
        <v>218</v>
      </c>
      <c r="D3" s="44"/>
      <c r="E3" s="273" t="s">
        <v>219</v>
      </c>
    </row>
    <row r="4" spans="1:5" ht="14.25" x14ac:dyDescent="0.2">
      <c r="A4" s="254" t="s">
        <v>30</v>
      </c>
      <c r="B4" s="255" t="s">
        <v>31</v>
      </c>
      <c r="C4" s="256">
        <v>0.05</v>
      </c>
      <c r="E4" s="257">
        <f>C4</f>
        <v>0.05</v>
      </c>
    </row>
    <row r="5" spans="1:5" ht="14.25" x14ac:dyDescent="0.2">
      <c r="A5" s="68" t="s">
        <v>32</v>
      </c>
      <c r="B5" s="225" t="s">
        <v>33</v>
      </c>
      <c r="C5" s="248">
        <v>1.2999999999999999E-2</v>
      </c>
      <c r="E5" s="258">
        <f>C5</f>
        <v>1.2999999999999999E-2</v>
      </c>
    </row>
    <row r="6" spans="1:5" ht="15" x14ac:dyDescent="0.2">
      <c r="A6" s="68" t="s">
        <v>34</v>
      </c>
      <c r="B6" s="225" t="s">
        <v>35</v>
      </c>
      <c r="C6" s="249">
        <v>0.1</v>
      </c>
      <c r="E6" s="259">
        <f>C6</f>
        <v>0.1</v>
      </c>
    </row>
    <row r="7" spans="1:5" ht="14.25" x14ac:dyDescent="0.2">
      <c r="A7" s="68" t="s">
        <v>220</v>
      </c>
      <c r="B7" s="402" t="s">
        <v>36</v>
      </c>
      <c r="C7" s="248">
        <v>0.02</v>
      </c>
      <c r="E7" s="260">
        <v>2.4E-2</v>
      </c>
    </row>
    <row r="8" spans="1:5" ht="15" thickBot="1" x14ac:dyDescent="0.25">
      <c r="A8" s="69" t="s">
        <v>37</v>
      </c>
      <c r="B8" s="403"/>
      <c r="C8" s="250">
        <v>9.2499999999999999E-2</v>
      </c>
      <c r="E8" s="261">
        <f>C8</f>
        <v>9.2499999999999999E-2</v>
      </c>
    </row>
    <row r="9" spans="1:5" ht="14.25" x14ac:dyDescent="0.2">
      <c r="A9" s="70" t="s">
        <v>38</v>
      </c>
      <c r="B9" s="71"/>
      <c r="C9" s="72"/>
      <c r="E9" s="268"/>
    </row>
    <row r="10" spans="1:5" ht="15" thickBot="1" x14ac:dyDescent="0.25">
      <c r="A10" s="262" t="s">
        <v>177</v>
      </c>
      <c r="B10" s="263"/>
      <c r="C10" s="264"/>
      <c r="E10" s="269"/>
    </row>
    <row r="11" spans="1:5" ht="27" customHeight="1" thickBot="1" x14ac:dyDescent="0.25">
      <c r="A11" s="265" t="s">
        <v>39</v>
      </c>
      <c r="B11" s="266"/>
      <c r="C11" s="267">
        <f>ROUND((((1+C4+C5)*(1+C6))/(1-(C7+C8))-1),4)</f>
        <v>0.3175</v>
      </c>
      <c r="D11" s="275"/>
      <c r="E11" s="274">
        <f>ROUND((((1+E4+E5)*(1+E6))/(1-(E7+E8))-1),4)</f>
        <v>0.32350000000000001</v>
      </c>
    </row>
    <row r="12" spans="1:5" ht="14.25" x14ac:dyDescent="0.2">
      <c r="A12" s="44"/>
      <c r="B12" s="44"/>
      <c r="C12" s="44"/>
      <c r="E12" s="44"/>
    </row>
    <row r="13" spans="1:5" ht="15" thickBot="1" x14ac:dyDescent="0.25">
      <c r="A13" s="44"/>
      <c r="B13" s="44"/>
      <c r="C13" s="44"/>
      <c r="E13" s="44"/>
    </row>
    <row r="14" spans="1:5" s="2" customFormat="1" ht="15.6" customHeight="1" thickBot="1" x14ac:dyDescent="0.25">
      <c r="A14" s="394" t="s">
        <v>106</v>
      </c>
      <c r="B14" s="395"/>
      <c r="C14" s="395"/>
      <c r="D14" s="395"/>
      <c r="E14" s="396"/>
    </row>
    <row r="15" spans="1:5" ht="16.5" thickBot="1" x14ac:dyDescent="0.25">
      <c r="A15" s="397" t="s">
        <v>119</v>
      </c>
      <c r="B15" s="398"/>
      <c r="C15" s="398"/>
      <c r="D15" s="398"/>
      <c r="E15" s="399"/>
    </row>
    <row r="16" spans="1:5" ht="30" x14ac:dyDescent="0.2">
      <c r="A16" s="270" t="s">
        <v>46</v>
      </c>
      <c r="B16" s="271" t="s">
        <v>217</v>
      </c>
      <c r="C16" s="272" t="s">
        <v>218</v>
      </c>
      <c r="D16" s="44"/>
      <c r="E16" s="273" t="s">
        <v>219</v>
      </c>
    </row>
    <row r="17" spans="1:5" ht="14.25" x14ac:dyDescent="0.2">
      <c r="A17" s="254" t="s">
        <v>30</v>
      </c>
      <c r="B17" s="255" t="s">
        <v>31</v>
      </c>
      <c r="C17" s="256">
        <v>0.05</v>
      </c>
      <c r="E17" s="257">
        <f>C17</f>
        <v>0.05</v>
      </c>
    </row>
    <row r="18" spans="1:5" ht="14.25" x14ac:dyDescent="0.2">
      <c r="A18" s="68" t="s">
        <v>32</v>
      </c>
      <c r="B18" s="225" t="s">
        <v>33</v>
      </c>
      <c r="C18" s="248">
        <v>1.2999999999999999E-2</v>
      </c>
      <c r="E18" s="258">
        <f>C18</f>
        <v>1.2999999999999999E-2</v>
      </c>
    </row>
    <row r="19" spans="1:5" ht="15" x14ac:dyDescent="0.2">
      <c r="A19" s="68" t="s">
        <v>34</v>
      </c>
      <c r="B19" s="225" t="s">
        <v>35</v>
      </c>
      <c r="C19" s="249">
        <v>0.1</v>
      </c>
      <c r="E19" s="259">
        <f>C19</f>
        <v>0.1</v>
      </c>
    </row>
    <row r="20" spans="1:5" ht="14.25" x14ac:dyDescent="0.2">
      <c r="A20" s="68" t="s">
        <v>220</v>
      </c>
      <c r="B20" s="402" t="s">
        <v>36</v>
      </c>
      <c r="C20" s="248">
        <v>0.02</v>
      </c>
      <c r="E20" s="260">
        <v>2.4E-2</v>
      </c>
    </row>
    <row r="21" spans="1:5" ht="15" thickBot="1" x14ac:dyDescent="0.25">
      <c r="A21" s="69" t="s">
        <v>37</v>
      </c>
      <c r="B21" s="403"/>
      <c r="C21" s="250">
        <v>3.6499999999999998E-2</v>
      </c>
      <c r="E21" s="261">
        <f>C21</f>
        <v>3.6499999999999998E-2</v>
      </c>
    </row>
    <row r="22" spans="1:5" ht="14.25" x14ac:dyDescent="0.2">
      <c r="A22" s="70" t="s">
        <v>38</v>
      </c>
      <c r="B22" s="71"/>
      <c r="C22" s="72"/>
      <c r="E22" s="268"/>
    </row>
    <row r="23" spans="1:5" ht="15" thickBot="1" x14ac:dyDescent="0.25">
      <c r="A23" s="73" t="s">
        <v>177</v>
      </c>
      <c r="B23" s="74"/>
      <c r="C23" s="75"/>
      <c r="E23" s="269"/>
    </row>
    <row r="24" spans="1:5" ht="27" customHeight="1" thickBot="1" x14ac:dyDescent="0.25">
      <c r="A24" s="76" t="s">
        <v>39</v>
      </c>
      <c r="B24" s="77"/>
      <c r="C24" s="78">
        <f>ROUND((((1+C17+C18)*(1+C19))/(1-(C20+C21))-1),4)</f>
        <v>0.23930000000000001</v>
      </c>
      <c r="D24" s="275"/>
      <c r="E24" s="274">
        <f>ROUND((((1+E17+E18)*(1+E19))/(1-(E20+E21))-1),4)</f>
        <v>0.24460000000000001</v>
      </c>
    </row>
    <row r="26" spans="1:5" ht="13.5" thickBot="1" x14ac:dyDescent="0.25"/>
    <row r="27" spans="1:5" s="2" customFormat="1" ht="15.6" customHeight="1" thickBot="1" x14ac:dyDescent="0.25">
      <c r="A27" s="394" t="s">
        <v>103</v>
      </c>
      <c r="B27" s="395"/>
      <c r="C27" s="395"/>
      <c r="D27" s="395"/>
      <c r="E27" s="396"/>
    </row>
    <row r="28" spans="1:5" ht="16.5" thickBot="1" x14ac:dyDescent="0.25">
      <c r="A28" s="397" t="s">
        <v>179</v>
      </c>
      <c r="B28" s="398"/>
      <c r="C28" s="398"/>
      <c r="D28" s="398"/>
      <c r="E28" s="399"/>
    </row>
    <row r="29" spans="1:5" ht="30.75" thickBot="1" x14ac:dyDescent="0.25">
      <c r="A29" s="270" t="s">
        <v>46</v>
      </c>
      <c r="B29" s="271" t="s">
        <v>217</v>
      </c>
      <c r="C29" s="272" t="s">
        <v>218</v>
      </c>
      <c r="D29" s="44"/>
      <c r="E29" s="273" t="s">
        <v>219</v>
      </c>
    </row>
    <row r="30" spans="1:5" ht="14.25" x14ac:dyDescent="0.2">
      <c r="A30" s="66" t="s">
        <v>30</v>
      </c>
      <c r="B30" s="67" t="s">
        <v>31</v>
      </c>
      <c r="C30" s="247">
        <v>0.05</v>
      </c>
      <c r="E30" s="276">
        <f>C30</f>
        <v>0.05</v>
      </c>
    </row>
    <row r="31" spans="1:5" ht="14.25" x14ac:dyDescent="0.2">
      <c r="A31" s="68" t="s">
        <v>32</v>
      </c>
      <c r="B31" s="225" t="s">
        <v>33</v>
      </c>
      <c r="C31" s="248">
        <v>1.2999999999999999E-2</v>
      </c>
      <c r="E31" s="258">
        <f>C31</f>
        <v>1.2999999999999999E-2</v>
      </c>
    </row>
    <row r="32" spans="1:5" ht="15.75" thickBot="1" x14ac:dyDescent="0.25">
      <c r="A32" s="68" t="s">
        <v>34</v>
      </c>
      <c r="B32" s="225" t="s">
        <v>35</v>
      </c>
      <c r="C32" s="249">
        <v>0.1</v>
      </c>
      <c r="E32" s="259">
        <f>C32</f>
        <v>0.1</v>
      </c>
    </row>
    <row r="33" spans="1:5" ht="14.25" x14ac:dyDescent="0.2">
      <c r="A33" s="70" t="s">
        <v>113</v>
      </c>
      <c r="B33" s="71"/>
      <c r="C33" s="72"/>
      <c r="E33" s="268"/>
    </row>
    <row r="34" spans="1:5" ht="15" thickBot="1" x14ac:dyDescent="0.25">
      <c r="A34" s="73" t="s">
        <v>178</v>
      </c>
      <c r="B34" s="74"/>
      <c r="C34" s="75"/>
      <c r="E34" s="269"/>
    </row>
    <row r="35" spans="1:5" ht="27" customHeight="1" thickBot="1" x14ac:dyDescent="0.25">
      <c r="A35" s="400" t="s">
        <v>114</v>
      </c>
      <c r="B35" s="401"/>
      <c r="C35" s="78">
        <f>ROUND((((1+C30+C31)*(1+C32))-1),4)</f>
        <v>0.16930000000000001</v>
      </c>
      <c r="D35" s="275"/>
      <c r="E35" s="274">
        <f>ROUND((((1+E30+E31)*(1+E32))-1),4)</f>
        <v>0.16930000000000001</v>
      </c>
    </row>
  </sheetData>
  <mergeCells count="9">
    <mergeCell ref="A1:E1"/>
    <mergeCell ref="A2:E2"/>
    <mergeCell ref="A14:E14"/>
    <mergeCell ref="A15:E15"/>
    <mergeCell ref="A35:B35"/>
    <mergeCell ref="B20:B21"/>
    <mergeCell ref="B7:B8"/>
    <mergeCell ref="A27:E27"/>
    <mergeCell ref="A28:E28"/>
  </mergeCells>
  <pageMargins left="0.39370078740157483" right="0.19685039370078741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B9" sqref="B9"/>
    </sheetView>
  </sheetViews>
  <sheetFormatPr defaultColWidth="9.140625" defaultRowHeight="12.75" x14ac:dyDescent="0.2"/>
  <cols>
    <col min="1" max="1" width="23.42578125" style="293" customWidth="1"/>
    <col min="2" max="2" width="20.7109375" style="293" bestFit="1" customWidth="1"/>
    <col min="3" max="3" width="18" style="293" customWidth="1"/>
    <col min="4" max="16384" width="9.140625" style="293"/>
  </cols>
  <sheetData>
    <row r="1" spans="1:3" ht="19.149999999999999" customHeight="1" x14ac:dyDescent="0.2">
      <c r="A1" s="404" t="s">
        <v>234</v>
      </c>
      <c r="B1" s="404"/>
      <c r="C1" s="404"/>
    </row>
    <row r="2" spans="1:3" ht="19.149999999999999" customHeight="1" x14ac:dyDescent="0.2">
      <c r="A2" s="294" t="s">
        <v>235</v>
      </c>
      <c r="B2" s="295" t="s">
        <v>236</v>
      </c>
      <c r="C2" s="295" t="s">
        <v>237</v>
      </c>
    </row>
    <row r="3" spans="1:3" ht="19.149999999999999" customHeight="1" x14ac:dyDescent="0.2">
      <c r="A3" s="296">
        <v>1</v>
      </c>
      <c r="B3" s="297">
        <v>33.629999999999995</v>
      </c>
      <c r="C3" s="297">
        <f>100-B3</f>
        <v>66.37</v>
      </c>
    </row>
    <row r="4" spans="1:3" ht="19.149999999999999" customHeight="1" x14ac:dyDescent="0.2">
      <c r="A4" s="298">
        <v>2</v>
      </c>
      <c r="B4" s="299">
        <v>43.13</v>
      </c>
      <c r="C4" s="299">
        <f t="shared" ref="C4:C12" si="0">100-B4</f>
        <v>56.87</v>
      </c>
    </row>
    <row r="5" spans="1:3" ht="19.149999999999999" customHeight="1" x14ac:dyDescent="0.2">
      <c r="A5" s="298">
        <v>3</v>
      </c>
      <c r="B5" s="299">
        <v>48.68</v>
      </c>
      <c r="C5" s="299">
        <f t="shared" si="0"/>
        <v>51.32</v>
      </c>
    </row>
    <row r="6" spans="1:3" ht="19.149999999999999" customHeight="1" x14ac:dyDescent="0.2">
      <c r="A6" s="298">
        <v>4</v>
      </c>
      <c r="B6" s="299">
        <v>52.62</v>
      </c>
      <c r="C6" s="299">
        <f t="shared" si="0"/>
        <v>47.38</v>
      </c>
    </row>
    <row r="7" spans="1:3" ht="19.149999999999999" customHeight="1" x14ac:dyDescent="0.2">
      <c r="A7" s="298">
        <v>5</v>
      </c>
      <c r="B7" s="299">
        <v>55.68</v>
      </c>
      <c r="C7" s="299">
        <f t="shared" si="0"/>
        <v>44.32</v>
      </c>
    </row>
    <row r="8" spans="1:3" ht="19.149999999999999" customHeight="1" x14ac:dyDescent="0.2">
      <c r="A8" s="298">
        <v>6</v>
      </c>
      <c r="B8" s="299">
        <v>58.18</v>
      </c>
      <c r="C8" s="299">
        <f t="shared" si="0"/>
        <v>41.82</v>
      </c>
    </row>
    <row r="9" spans="1:3" ht="19.149999999999999" customHeight="1" x14ac:dyDescent="0.2">
      <c r="A9" s="298">
        <v>7</v>
      </c>
      <c r="B9" s="299">
        <v>60.29</v>
      </c>
      <c r="C9" s="299">
        <f t="shared" si="0"/>
        <v>39.71</v>
      </c>
    </row>
    <row r="10" spans="1:3" ht="19.149999999999999" customHeight="1" x14ac:dyDescent="0.2">
      <c r="A10" s="298">
        <v>8</v>
      </c>
      <c r="B10" s="299">
        <v>62.12</v>
      </c>
      <c r="C10" s="299">
        <f t="shared" si="0"/>
        <v>37.880000000000003</v>
      </c>
    </row>
    <row r="11" spans="1:3" ht="19.149999999999999" customHeight="1" x14ac:dyDescent="0.2">
      <c r="A11" s="298">
        <v>9</v>
      </c>
      <c r="B11" s="299">
        <v>63.73</v>
      </c>
      <c r="C11" s="299">
        <f t="shared" si="0"/>
        <v>36.270000000000003</v>
      </c>
    </row>
    <row r="12" spans="1:3" ht="19.149999999999999" customHeight="1" x14ac:dyDescent="0.2">
      <c r="A12" s="303">
        <v>10</v>
      </c>
      <c r="B12" s="304">
        <v>65.180000000000007</v>
      </c>
      <c r="C12" s="304">
        <f t="shared" si="0"/>
        <v>34.819999999999993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Van 18 lugares- Centro Dia</vt:lpstr>
      <vt:lpstr>Enc. Soc. - LR-LP e SN</vt:lpstr>
      <vt:lpstr>BDI</vt:lpstr>
      <vt:lpstr>Depr.</vt:lpstr>
      <vt:lpstr>'Enc. Soc. - LR-LP e SN'!Area_de_impressao</vt:lpstr>
      <vt:lpstr>'Van 18 lugares- Centro Dia'!Area_de_impressao</vt:lpstr>
      <vt:lpstr>'Van 18 lugares- Centro Dia'!Titulos_de_impressao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Beatris Regina Vogel</cp:lastModifiedBy>
  <cp:lastPrinted>2025-09-25T16:56:09Z</cp:lastPrinted>
  <dcterms:created xsi:type="dcterms:W3CDTF">2000-12-13T10:02:50Z</dcterms:created>
  <dcterms:modified xsi:type="dcterms:W3CDTF">2025-10-15T18:54:42Z</dcterms:modified>
</cp:coreProperties>
</file>